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pen\APBDesa\APBDesa 2026\New folder\APBDesa FIX\"/>
    </mc:Choice>
  </mc:AlternateContent>
  <xr:revisionPtr revIDLastSave="0" documentId="8_{D7AD28F5-6CC7-4E23-9D36-5923A23654AA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DU RKP" sheetId="9" r:id="rId1"/>
    <sheet name="BPJS" sheetId="40" r:id="rId2"/>
    <sheet name="BID 1 b" sheetId="27" r:id="rId3"/>
    <sheet name="Bid 2b" sheetId="28" r:id="rId4"/>
    <sheet name="Bid 3b" sheetId="31" r:id="rId5"/>
    <sheet name="BID 4 b" sheetId="29" r:id="rId6"/>
    <sheet name="Bid 5b" sheetId="36" r:id="rId7"/>
    <sheet name=" Hitungan 2026" sheetId="35" r:id="rId8"/>
    <sheet name="Penjabaran APBDesa" sheetId="37" r:id="rId9"/>
    <sheet name="APBDES" sheetId="41" r:id="rId10"/>
    <sheet name="RKKD" sheetId="51" r:id="rId11"/>
    <sheet name="RAK" sheetId="42" r:id="rId12"/>
    <sheet name="RKA Kesra" sheetId="48" r:id="rId13"/>
    <sheet name="RKA Pelayanan" sheetId="47" r:id="rId14"/>
    <sheet name="RKA PEM" sheetId="46" r:id="rId15"/>
    <sheet name="RKA Umum" sheetId="44" r:id="rId16"/>
    <sheet name="RKA Perencanaan" sheetId="45" r:id="rId17"/>
    <sheet name="RKP 2026" sheetId="26" r:id="rId18"/>
    <sheet name="Sheet1" sheetId="34" r:id="rId19"/>
    <sheet name="Pencermatan RPJM" sheetId="30" r:id="rId20"/>
    <sheet name="Jadwal Pengukurang Fisik" sheetId="32" r:id="rId21"/>
    <sheet name="Prioritas Penggunaan DD 2025" sheetId="22" r:id="rId22"/>
    <sheet name="Rencana Pembiayaan Desa" sheetId="15" r:id="rId23"/>
    <sheet name="Daftar Usulan SDGs VI B" sheetId="11" r:id="rId24"/>
    <sheet name="Kerja Sama Antar Desa VI.C" sheetId="12" r:id="rId25"/>
    <sheet name="LPPK" sheetId="13" r:id="rId26"/>
    <sheet name="Kerja Sama Pihak Ke 3 VI.D" sheetId="14" r:id="rId27"/>
  </sheets>
  <externalReferences>
    <externalReference r:id="rId28"/>
  </externalReferences>
  <definedNames>
    <definedName name="_xlnm._FilterDatabase" localSheetId="9" hidden="1">APBDES!$A$28:$J$276</definedName>
    <definedName name="_xlnm._FilterDatabase" localSheetId="8" hidden="1">'Penjabaran APBDesa'!$A$891:$L$1019</definedName>
    <definedName name="_xlnm._FilterDatabase" localSheetId="11" hidden="1">RAK!$A$13:$X$1030</definedName>
    <definedName name="_xlnm._FilterDatabase" localSheetId="12" hidden="1">'RKA Kesra'!$A$12:$Y$314</definedName>
    <definedName name="_xlnm._FilterDatabase" localSheetId="13" hidden="1">'RKA Pelayanan'!$A$12:$Y$367</definedName>
    <definedName name="_xlnm._FilterDatabase" localSheetId="14" hidden="1">'RKA PEM'!$A$12:$X$76</definedName>
    <definedName name="_xlnm._FilterDatabase" localSheetId="16" hidden="1">'RKA Perencanaan'!$A$12:$X$108</definedName>
    <definedName name="_xlnm._FilterDatabase" localSheetId="15" hidden="1">'RKA Umum'!$A$12:$X$173</definedName>
    <definedName name="_xlnm.Print_Area" localSheetId="2">'BID 1 b'!$A$1:$G$27</definedName>
    <definedName name="_xlnm.Print_Area" localSheetId="3">'Bid 2b'!$A$1:$G$153</definedName>
    <definedName name="_xlnm.Print_Area" localSheetId="4">'Bid 3b'!$A$1:$G$32</definedName>
    <definedName name="_xlnm.Print_Area" localSheetId="5">'BID 4 b'!$A$1:$G$55</definedName>
    <definedName name="_xlnm.Print_Area" localSheetId="6">'Bid 5b'!$A$31:$G$56</definedName>
    <definedName name="_xlnm.Print_Area" localSheetId="0">'DU RKP'!$A$1:$J$26</definedName>
    <definedName name="_xlnm.Print_Area" localSheetId="20">'Jadwal Pengukurang Fisik'!$A$1:$C$16</definedName>
    <definedName name="_xlnm.Print_Area" localSheetId="19">'Pencermatan RPJM'!$B$215:$E$255</definedName>
    <definedName name="_xlnm.Print_Area" localSheetId="8">'Penjabaran APBDesa'!$A$12:$L$1035</definedName>
    <definedName name="_xlnm.Print_Area" localSheetId="11">RAK!$A$1:$X$1036</definedName>
    <definedName name="_xlnm.Print_Area" localSheetId="22">'Rencana Pembiayaan Desa'!$A$1:$J$127</definedName>
    <definedName name="_xlnm.Print_Area" localSheetId="12">'RKA Kesra'!$A$1:$X$319</definedName>
    <definedName name="_xlnm.Print_Area" localSheetId="13">'RKA Pelayanan'!$A$1:$X$373</definedName>
    <definedName name="_xlnm.Print_Area" localSheetId="14">'RKA PEM'!$A$1:$X$81</definedName>
    <definedName name="_xlnm.Print_Area" localSheetId="16">'RKA Perencanaan'!$A$1:$X$113</definedName>
    <definedName name="_xlnm.Print_Area" localSheetId="15">'RKA Umum'!$A$1:$X$178</definedName>
    <definedName name="_xlnm.Print_Area" localSheetId="10">RKKD!$A$7:$S$136</definedName>
    <definedName name="_xlnm.Print_Titles" localSheetId="8">'Penjabaran APBDesa'!$16:$19</definedName>
    <definedName name="_xlnm.Print_Titles" localSheetId="11">RAK!$11:$14</definedName>
    <definedName name="_xlnm.Print_Titles" localSheetId="12">'RKA Kesra'!$9:$12</definedName>
    <definedName name="_xlnm.Print_Titles" localSheetId="13">'RKA Pelayanan'!$9:$12</definedName>
    <definedName name="_xlnm.Print_Titles" localSheetId="14">'RKA PEM'!$9:$12</definedName>
    <definedName name="_xlnm.Print_Titles" localSheetId="16">'RKA Perencanaan'!$9:$12</definedName>
    <definedName name="_xlnm.Print_Titles" localSheetId="15">'RKA Umum'!$9:$12</definedName>
    <definedName name="_xlnm.Print_Titles" localSheetId="10">RKKD!$15:$17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7" i="42" l="1"/>
  <c r="Y27" i="42" s="1"/>
  <c r="Y18" i="42"/>
  <c r="Y19" i="42"/>
  <c r="Y20" i="42"/>
  <c r="Y21" i="42"/>
  <c r="Y22" i="42"/>
  <c r="Y23" i="42"/>
  <c r="Y24" i="42"/>
  <c r="Y25" i="42"/>
  <c r="Y26" i="42"/>
  <c r="Y28" i="42"/>
  <c r="Y29" i="42"/>
  <c r="Y30" i="42"/>
  <c r="Y31" i="42"/>
  <c r="Y32" i="42"/>
  <c r="Y33" i="42"/>
  <c r="Y34" i="42"/>
  <c r="Y17" i="42"/>
  <c r="X18" i="42"/>
  <c r="X19" i="42"/>
  <c r="X20" i="42"/>
  <c r="X21" i="42"/>
  <c r="X22" i="42"/>
  <c r="X23" i="42"/>
  <c r="X24" i="42"/>
  <c r="X25" i="42"/>
  <c r="X26" i="42"/>
  <c r="X28" i="42"/>
  <c r="X29" i="42"/>
  <c r="X30" i="42"/>
  <c r="X31" i="42"/>
  <c r="X32" i="42"/>
  <c r="X33" i="42"/>
  <c r="X34" i="42"/>
  <c r="X17" i="42"/>
  <c r="X15" i="45" l="1"/>
  <c r="Y15" i="45" s="1"/>
  <c r="X16" i="45"/>
  <c r="Y16" i="45" s="1"/>
  <c r="X17" i="45"/>
  <c r="Y17" i="45" s="1"/>
  <c r="X18" i="45"/>
  <c r="Y18" i="45" s="1"/>
  <c r="X19" i="45"/>
  <c r="Y19" i="45" s="1"/>
  <c r="X20" i="45"/>
  <c r="Y20" i="45" s="1"/>
  <c r="X21" i="45"/>
  <c r="Y21" i="45" s="1"/>
  <c r="X22" i="45"/>
  <c r="Y22" i="45" s="1"/>
  <c r="X23" i="45"/>
  <c r="Y23" i="45" s="1"/>
  <c r="X24" i="45"/>
  <c r="Y24" i="45" s="1"/>
  <c r="X25" i="45"/>
  <c r="Y25" i="45" s="1"/>
  <c r="X26" i="45"/>
  <c r="Y26" i="45" s="1"/>
  <c r="X27" i="45"/>
  <c r="Y27" i="45" s="1"/>
  <c r="X28" i="45"/>
  <c r="Y28" i="45" s="1"/>
  <c r="X29" i="45"/>
  <c r="Y29" i="45" s="1"/>
  <c r="X30" i="45"/>
  <c r="Y30" i="45" s="1"/>
  <c r="X31" i="45"/>
  <c r="Y31" i="45" s="1"/>
  <c r="X32" i="45"/>
  <c r="Y32" i="45" s="1"/>
  <c r="X33" i="45"/>
  <c r="Y33" i="45" s="1"/>
  <c r="X34" i="45"/>
  <c r="Y34" i="45" s="1"/>
  <c r="X35" i="45"/>
  <c r="Y35" i="45" s="1"/>
  <c r="X36" i="45"/>
  <c r="Y36" i="45" s="1"/>
  <c r="X37" i="45"/>
  <c r="Y37" i="45" s="1"/>
  <c r="X38" i="45"/>
  <c r="Y38" i="45" s="1"/>
  <c r="X39" i="45"/>
  <c r="Y39" i="45" s="1"/>
  <c r="X40" i="45"/>
  <c r="Y40" i="45" s="1"/>
  <c r="X41" i="45"/>
  <c r="Y41" i="45" s="1"/>
  <c r="X42" i="45"/>
  <c r="Y42" i="45" s="1"/>
  <c r="X43" i="45"/>
  <c r="Y43" i="45" s="1"/>
  <c r="X44" i="45"/>
  <c r="Y44" i="45" s="1"/>
  <c r="X45" i="45"/>
  <c r="Y45" i="45" s="1"/>
  <c r="X46" i="45"/>
  <c r="Y46" i="45" s="1"/>
  <c r="X47" i="45"/>
  <c r="Y47" i="45" s="1"/>
  <c r="X48" i="45"/>
  <c r="Y48" i="45" s="1"/>
  <c r="X49" i="45"/>
  <c r="Y49" i="45" s="1"/>
  <c r="X50" i="45"/>
  <c r="Y50" i="45" s="1"/>
  <c r="X51" i="45"/>
  <c r="Y51" i="45" s="1"/>
  <c r="X52" i="45"/>
  <c r="Y52" i="45" s="1"/>
  <c r="X53" i="45"/>
  <c r="Y53" i="45" s="1"/>
  <c r="X54" i="45"/>
  <c r="Y54" i="45" s="1"/>
  <c r="X55" i="45"/>
  <c r="Y55" i="45" s="1"/>
  <c r="X56" i="45"/>
  <c r="Y56" i="45" s="1"/>
  <c r="X57" i="45"/>
  <c r="Y57" i="45" s="1"/>
  <c r="X58" i="45"/>
  <c r="Y58" i="45" s="1"/>
  <c r="X59" i="45"/>
  <c r="Y59" i="45" s="1"/>
  <c r="X60" i="45"/>
  <c r="Y60" i="45" s="1"/>
  <c r="X61" i="45"/>
  <c r="Y61" i="45" s="1"/>
  <c r="X62" i="45"/>
  <c r="Y62" i="45" s="1"/>
  <c r="X63" i="45"/>
  <c r="Y63" i="45" s="1"/>
  <c r="X64" i="45"/>
  <c r="Y64" i="45" s="1"/>
  <c r="X65" i="45"/>
  <c r="Y65" i="45" s="1"/>
  <c r="X66" i="45"/>
  <c r="Y66" i="45" s="1"/>
  <c r="X67" i="45"/>
  <c r="Y67" i="45" s="1"/>
  <c r="X68" i="45"/>
  <c r="Y68" i="45" s="1"/>
  <c r="X69" i="45"/>
  <c r="Y69" i="45" s="1"/>
  <c r="X70" i="45"/>
  <c r="Y70" i="45" s="1"/>
  <c r="X71" i="45"/>
  <c r="Y71" i="45" s="1"/>
  <c r="X72" i="45"/>
  <c r="Y72" i="45" s="1"/>
  <c r="X73" i="45"/>
  <c r="Y73" i="45" s="1"/>
  <c r="X74" i="45"/>
  <c r="X75" i="45"/>
  <c r="Y75" i="45" s="1"/>
  <c r="X76" i="45"/>
  <c r="Y76" i="45" s="1"/>
  <c r="X77" i="45"/>
  <c r="Y77" i="45" s="1"/>
  <c r="X78" i="45"/>
  <c r="Y78" i="45" s="1"/>
  <c r="X79" i="45"/>
  <c r="Y79" i="45" s="1"/>
  <c r="X80" i="45"/>
  <c r="Y80" i="45" s="1"/>
  <c r="X81" i="45"/>
  <c r="Y81" i="45" s="1"/>
  <c r="X82" i="45"/>
  <c r="Y82" i="45" s="1"/>
  <c r="X83" i="45"/>
  <c r="Y83" i="45" s="1"/>
  <c r="X84" i="45"/>
  <c r="Y84" i="45" s="1"/>
  <c r="X85" i="45"/>
  <c r="Y85" i="45" s="1"/>
  <c r="X86" i="45"/>
  <c r="Y86" i="45" s="1"/>
  <c r="X87" i="45"/>
  <c r="Y87" i="45" s="1"/>
  <c r="X88" i="45"/>
  <c r="Y88" i="45" s="1"/>
  <c r="X89" i="45"/>
  <c r="Y89" i="45" s="1"/>
  <c r="X90" i="45"/>
  <c r="Y90" i="45" s="1"/>
  <c r="X91" i="45"/>
  <c r="Y91" i="45" s="1"/>
  <c r="X92" i="45"/>
  <c r="X93" i="45"/>
  <c r="Y93" i="45" s="1"/>
  <c r="X94" i="45"/>
  <c r="Y94" i="45" s="1"/>
  <c r="X95" i="45"/>
  <c r="Y95" i="45" s="1"/>
  <c r="X96" i="45"/>
  <c r="Y96" i="45" s="1"/>
  <c r="X97" i="45"/>
  <c r="Y97" i="45" s="1"/>
  <c r="X98" i="45"/>
  <c r="Y98" i="45" s="1"/>
  <c r="X99" i="45"/>
  <c r="Y99" i="45" s="1"/>
  <c r="X100" i="45"/>
  <c r="Y100" i="45" s="1"/>
  <c r="X101" i="45"/>
  <c r="Y101" i="45" s="1"/>
  <c r="X102" i="45"/>
  <c r="Y102" i="45" s="1"/>
  <c r="X103" i="45"/>
  <c r="Y103" i="45" s="1"/>
  <c r="X104" i="45"/>
  <c r="Y104" i="45" s="1"/>
  <c r="X105" i="45"/>
  <c r="Y105" i="45" s="1"/>
  <c r="X106" i="45"/>
  <c r="Y106" i="45" s="1"/>
  <c r="X107" i="45"/>
  <c r="Y107" i="45" s="1"/>
  <c r="X108" i="45"/>
  <c r="Y108" i="45" s="1"/>
  <c r="X14" i="45"/>
  <c r="Y14" i="45" s="1"/>
  <c r="Y15" i="44"/>
  <c r="Y16" i="44"/>
  <c r="Y17" i="44"/>
  <c r="Y18" i="44"/>
  <c r="Y19" i="44"/>
  <c r="Y20" i="44"/>
  <c r="Y21" i="44"/>
  <c r="Y22" i="44"/>
  <c r="Y23" i="44"/>
  <c r="Y24" i="44"/>
  <c r="Y25" i="44"/>
  <c r="Y26" i="44"/>
  <c r="Y27" i="44"/>
  <c r="Y28" i="44"/>
  <c r="Y29" i="44"/>
  <c r="Y30" i="44"/>
  <c r="Y31" i="44"/>
  <c r="Y32" i="44"/>
  <c r="Y33" i="44"/>
  <c r="Y34" i="44"/>
  <c r="Y35" i="44"/>
  <c r="Y36" i="44"/>
  <c r="Y37" i="44"/>
  <c r="Y38" i="44"/>
  <c r="Y39" i="44"/>
  <c r="Y40" i="44"/>
  <c r="Y41" i="44"/>
  <c r="Y42" i="44"/>
  <c r="Y43" i="44"/>
  <c r="Y44" i="44"/>
  <c r="Y45" i="44"/>
  <c r="Y46" i="44"/>
  <c r="Y47" i="44"/>
  <c r="Y48" i="44"/>
  <c r="Y49" i="44"/>
  <c r="Y50" i="44"/>
  <c r="Y51" i="44"/>
  <c r="Y52" i="44"/>
  <c r="Y53" i="44"/>
  <c r="Y54" i="44"/>
  <c r="Y55" i="44"/>
  <c r="Y56" i="44"/>
  <c r="Y57" i="44"/>
  <c r="Y58" i="44"/>
  <c r="Y59" i="44"/>
  <c r="Y60" i="44"/>
  <c r="Y61" i="44"/>
  <c r="Y62" i="44"/>
  <c r="Y63" i="44"/>
  <c r="Y64" i="44"/>
  <c r="Y65" i="44"/>
  <c r="Y66" i="44"/>
  <c r="Y67" i="44"/>
  <c r="Y68" i="44"/>
  <c r="Y69" i="44"/>
  <c r="Y70" i="44"/>
  <c r="Y71" i="44"/>
  <c r="Y72" i="44"/>
  <c r="Y73" i="44"/>
  <c r="Y74" i="44"/>
  <c r="Y75" i="44"/>
  <c r="Y76" i="44"/>
  <c r="Y77" i="44"/>
  <c r="Y78" i="44"/>
  <c r="Y79" i="44"/>
  <c r="Y80" i="44"/>
  <c r="Y81" i="44"/>
  <c r="Y82" i="44"/>
  <c r="Y83" i="44"/>
  <c r="Y84" i="44"/>
  <c r="Y85" i="44"/>
  <c r="Y86" i="44"/>
  <c r="Y87" i="44"/>
  <c r="Y88" i="44"/>
  <c r="Y89" i="44"/>
  <c r="Y90" i="44"/>
  <c r="Y91" i="44"/>
  <c r="Y92" i="44"/>
  <c r="Y93" i="44"/>
  <c r="Y94" i="44"/>
  <c r="Y95" i="44"/>
  <c r="Y96" i="44"/>
  <c r="Y97" i="44"/>
  <c r="Y98" i="44"/>
  <c r="Y99" i="44"/>
  <c r="Y100" i="44"/>
  <c r="Y101" i="44"/>
  <c r="Y102" i="44"/>
  <c r="Y103" i="44"/>
  <c r="Y104" i="44"/>
  <c r="Y105" i="44"/>
  <c r="Y106" i="44"/>
  <c r="Y107" i="44"/>
  <c r="Y108" i="44"/>
  <c r="Y109" i="44"/>
  <c r="Y110" i="44"/>
  <c r="Y111" i="44"/>
  <c r="Y112" i="44"/>
  <c r="Y113" i="44"/>
  <c r="Y114" i="44"/>
  <c r="Y115" i="44"/>
  <c r="Y116" i="44"/>
  <c r="Y117" i="44"/>
  <c r="Y118" i="44"/>
  <c r="Y119" i="44"/>
  <c r="Y120" i="44"/>
  <c r="Y121" i="44"/>
  <c r="Y122" i="44"/>
  <c r="Y123" i="44"/>
  <c r="Y124" i="44"/>
  <c r="Y125" i="44"/>
  <c r="Y126" i="44"/>
  <c r="Y127" i="44"/>
  <c r="Y128" i="44"/>
  <c r="Y129" i="44"/>
  <c r="Y130" i="44"/>
  <c r="Y131" i="44"/>
  <c r="Y132" i="44"/>
  <c r="Y133" i="44"/>
  <c r="Y134" i="44"/>
  <c r="Y135" i="44"/>
  <c r="Y136" i="44"/>
  <c r="Y137" i="44"/>
  <c r="Y138" i="44"/>
  <c r="Y139" i="44"/>
  <c r="Y140" i="44"/>
  <c r="Y141" i="44"/>
  <c r="Y142" i="44"/>
  <c r="Y143" i="44"/>
  <c r="Y144" i="44"/>
  <c r="Y145" i="44"/>
  <c r="Y146" i="44"/>
  <c r="Y147" i="44"/>
  <c r="Y148" i="44"/>
  <c r="Y149" i="44"/>
  <c r="Y150" i="44"/>
  <c r="Y151" i="44"/>
  <c r="Y152" i="44"/>
  <c r="Y153" i="44"/>
  <c r="Y154" i="44"/>
  <c r="Y155" i="44"/>
  <c r="Y156" i="44"/>
  <c r="Y157" i="44"/>
  <c r="Y158" i="44"/>
  <c r="Y159" i="44"/>
  <c r="Y160" i="44"/>
  <c r="Y161" i="44"/>
  <c r="Y162" i="44"/>
  <c r="Y163" i="44"/>
  <c r="Y164" i="44"/>
  <c r="Y165" i="44"/>
  <c r="Y166" i="44"/>
  <c r="Y167" i="44"/>
  <c r="Y168" i="44"/>
  <c r="Y169" i="44"/>
  <c r="Y170" i="44"/>
  <c r="Y171" i="44"/>
  <c r="Y172" i="44"/>
  <c r="Y173" i="44"/>
  <c r="Y14" i="44"/>
  <c r="X15" i="44"/>
  <c r="X16" i="44"/>
  <c r="X17" i="44"/>
  <c r="X18" i="44"/>
  <c r="X19" i="44"/>
  <c r="X20" i="44"/>
  <c r="X21" i="44"/>
  <c r="X22" i="44"/>
  <c r="X23" i="44"/>
  <c r="X24" i="44"/>
  <c r="X25" i="44"/>
  <c r="X26" i="44"/>
  <c r="X27" i="44"/>
  <c r="X28" i="44"/>
  <c r="X29" i="44"/>
  <c r="X30" i="44"/>
  <c r="X31" i="44"/>
  <c r="X32" i="44"/>
  <c r="X33" i="44"/>
  <c r="X34" i="44"/>
  <c r="X35" i="44"/>
  <c r="X36" i="44"/>
  <c r="X37" i="44"/>
  <c r="X38" i="44"/>
  <c r="X39" i="44"/>
  <c r="X40" i="44"/>
  <c r="X41" i="44"/>
  <c r="X42" i="44"/>
  <c r="X43" i="44"/>
  <c r="X44" i="44"/>
  <c r="X45" i="44"/>
  <c r="X46" i="44"/>
  <c r="X47" i="44"/>
  <c r="X48" i="44"/>
  <c r="X49" i="44"/>
  <c r="X50" i="44"/>
  <c r="X51" i="44"/>
  <c r="X52" i="44"/>
  <c r="X53" i="44"/>
  <c r="X54" i="44"/>
  <c r="X55" i="44"/>
  <c r="X56" i="44"/>
  <c r="X57" i="44"/>
  <c r="X58" i="44"/>
  <c r="X59" i="44"/>
  <c r="X60" i="44"/>
  <c r="X61" i="44"/>
  <c r="X62" i="44"/>
  <c r="X63" i="44"/>
  <c r="X64" i="44"/>
  <c r="X65" i="44"/>
  <c r="X66" i="44"/>
  <c r="X67" i="44"/>
  <c r="X68" i="44"/>
  <c r="X69" i="44"/>
  <c r="X70" i="44"/>
  <c r="X71" i="44"/>
  <c r="X72" i="44"/>
  <c r="X73" i="44"/>
  <c r="X74" i="44"/>
  <c r="X75" i="44"/>
  <c r="X76" i="44"/>
  <c r="X77" i="44"/>
  <c r="X78" i="44"/>
  <c r="X79" i="44"/>
  <c r="X80" i="44"/>
  <c r="X81" i="44"/>
  <c r="X82" i="44"/>
  <c r="X83" i="44"/>
  <c r="X84" i="44"/>
  <c r="X85" i="44"/>
  <c r="X86" i="44"/>
  <c r="X87" i="44"/>
  <c r="X88" i="44"/>
  <c r="X89" i="44"/>
  <c r="X90" i="44"/>
  <c r="X91" i="44"/>
  <c r="X92" i="44"/>
  <c r="X93" i="44"/>
  <c r="X94" i="44"/>
  <c r="X95" i="44"/>
  <c r="X96" i="44"/>
  <c r="X97" i="44"/>
  <c r="X98" i="44"/>
  <c r="X99" i="44"/>
  <c r="X100" i="44"/>
  <c r="X101" i="44"/>
  <c r="X102" i="44"/>
  <c r="X103" i="44"/>
  <c r="X104" i="44"/>
  <c r="X105" i="44"/>
  <c r="X106" i="44"/>
  <c r="X107" i="44"/>
  <c r="X108" i="44"/>
  <c r="X109" i="44"/>
  <c r="X110" i="44"/>
  <c r="X111" i="44"/>
  <c r="X112" i="44"/>
  <c r="X113" i="44"/>
  <c r="X114" i="44"/>
  <c r="X115" i="44"/>
  <c r="X116" i="44"/>
  <c r="X117" i="44"/>
  <c r="X118" i="44"/>
  <c r="X119" i="44"/>
  <c r="X120" i="44"/>
  <c r="X121" i="44"/>
  <c r="X122" i="44"/>
  <c r="X123" i="44"/>
  <c r="X124" i="44"/>
  <c r="X125" i="44"/>
  <c r="X126" i="44"/>
  <c r="X127" i="44"/>
  <c r="X128" i="44"/>
  <c r="X129" i="44"/>
  <c r="X130" i="44"/>
  <c r="X131" i="44"/>
  <c r="X132" i="44"/>
  <c r="X133" i="44"/>
  <c r="X134" i="44"/>
  <c r="X135" i="44"/>
  <c r="X136" i="44"/>
  <c r="X137" i="44"/>
  <c r="X138" i="44"/>
  <c r="X139" i="44"/>
  <c r="X140" i="44"/>
  <c r="X141" i="44"/>
  <c r="X142" i="44"/>
  <c r="X143" i="44"/>
  <c r="X144" i="44"/>
  <c r="X145" i="44"/>
  <c r="X146" i="44"/>
  <c r="X147" i="44"/>
  <c r="X148" i="44"/>
  <c r="X149" i="44"/>
  <c r="X150" i="44"/>
  <c r="X151" i="44"/>
  <c r="X152" i="44"/>
  <c r="X153" i="44"/>
  <c r="X154" i="44"/>
  <c r="X155" i="44"/>
  <c r="X156" i="44"/>
  <c r="X157" i="44"/>
  <c r="X158" i="44"/>
  <c r="X159" i="44"/>
  <c r="X160" i="44"/>
  <c r="X161" i="44"/>
  <c r="X162" i="44"/>
  <c r="X163" i="44"/>
  <c r="X164" i="44"/>
  <c r="X165" i="44"/>
  <c r="X166" i="44"/>
  <c r="X167" i="44"/>
  <c r="X168" i="44"/>
  <c r="X169" i="44"/>
  <c r="X170" i="44"/>
  <c r="X171" i="44"/>
  <c r="X172" i="44"/>
  <c r="X173" i="44"/>
  <c r="X14" i="44"/>
  <c r="Y15" i="46"/>
  <c r="Y16" i="46"/>
  <c r="Y17" i="46"/>
  <c r="Y18" i="46"/>
  <c r="Y19" i="46"/>
  <c r="Y20" i="46"/>
  <c r="Y21" i="46"/>
  <c r="Y22" i="46"/>
  <c r="Y23" i="46"/>
  <c r="Y24" i="46"/>
  <c r="Y25" i="46"/>
  <c r="Y26" i="46"/>
  <c r="Y27" i="46"/>
  <c r="Y28" i="46"/>
  <c r="Y29" i="46"/>
  <c r="Y30" i="46"/>
  <c r="Y31" i="46"/>
  <c r="Y32" i="46"/>
  <c r="Y33" i="46"/>
  <c r="Y34" i="46"/>
  <c r="Y35" i="46"/>
  <c r="Y36" i="46"/>
  <c r="Y37" i="46"/>
  <c r="Y38" i="46"/>
  <c r="Y39" i="46"/>
  <c r="Y40" i="46"/>
  <c r="Y41" i="46"/>
  <c r="Y42" i="46"/>
  <c r="Y43" i="46"/>
  <c r="Y44" i="46"/>
  <c r="Y45" i="46"/>
  <c r="Y46" i="46"/>
  <c r="Y47" i="46"/>
  <c r="Y48" i="46"/>
  <c r="Y49" i="46"/>
  <c r="Y50" i="46"/>
  <c r="Y51" i="46"/>
  <c r="Y52" i="46"/>
  <c r="Y53" i="46"/>
  <c r="Y54" i="46"/>
  <c r="Y55" i="46"/>
  <c r="Y56" i="46"/>
  <c r="Y57" i="46"/>
  <c r="Y58" i="46"/>
  <c r="Y59" i="46"/>
  <c r="Y60" i="46"/>
  <c r="Y61" i="46"/>
  <c r="Y62" i="46"/>
  <c r="Y63" i="46"/>
  <c r="Y64" i="46"/>
  <c r="Y65" i="46"/>
  <c r="Y66" i="46"/>
  <c r="Y67" i="46"/>
  <c r="Y68" i="46"/>
  <c r="Y69" i="46"/>
  <c r="Y70" i="46"/>
  <c r="Y71" i="46"/>
  <c r="Y72" i="46"/>
  <c r="Y73" i="46"/>
  <c r="Y74" i="46"/>
  <c r="Y75" i="46"/>
  <c r="Y76" i="46"/>
  <c r="Y14" i="46"/>
  <c r="X14" i="46"/>
  <c r="X15" i="46"/>
  <c r="X16" i="46"/>
  <c r="X17" i="46"/>
  <c r="X18" i="46"/>
  <c r="X19" i="46"/>
  <c r="X20" i="46"/>
  <c r="X21" i="46"/>
  <c r="X22" i="46"/>
  <c r="X23" i="46"/>
  <c r="X24" i="46"/>
  <c r="X25" i="46"/>
  <c r="X26" i="46"/>
  <c r="X27" i="46"/>
  <c r="X28" i="46"/>
  <c r="X29" i="46"/>
  <c r="X30" i="46"/>
  <c r="X31" i="46"/>
  <c r="X32" i="46"/>
  <c r="X33" i="46"/>
  <c r="X34" i="46"/>
  <c r="X35" i="46"/>
  <c r="X36" i="46"/>
  <c r="X37" i="46"/>
  <c r="X38" i="46"/>
  <c r="X39" i="46"/>
  <c r="X40" i="46"/>
  <c r="X41" i="46"/>
  <c r="X42" i="46"/>
  <c r="X43" i="46"/>
  <c r="X44" i="46"/>
  <c r="X45" i="46"/>
  <c r="X46" i="46"/>
  <c r="X47" i="46"/>
  <c r="X48" i="46"/>
  <c r="X49" i="46"/>
  <c r="X50" i="46"/>
  <c r="X51" i="46"/>
  <c r="X52" i="46"/>
  <c r="X53" i="46"/>
  <c r="X54" i="46"/>
  <c r="X55" i="46"/>
  <c r="X56" i="46"/>
  <c r="X57" i="46"/>
  <c r="X58" i="46"/>
  <c r="X59" i="46"/>
  <c r="X60" i="46"/>
  <c r="X61" i="46"/>
  <c r="X62" i="46"/>
  <c r="X63" i="46"/>
  <c r="X64" i="46"/>
  <c r="X65" i="46"/>
  <c r="X66" i="46"/>
  <c r="X67" i="46"/>
  <c r="X68" i="46"/>
  <c r="X69" i="46"/>
  <c r="X70" i="46"/>
  <c r="X71" i="46"/>
  <c r="X72" i="46"/>
  <c r="X73" i="46"/>
  <c r="X74" i="46"/>
  <c r="X75" i="46"/>
  <c r="X76" i="46"/>
  <c r="X13" i="46"/>
  <c r="X15" i="47"/>
  <c r="Y15" i="47" s="1"/>
  <c r="X16" i="47"/>
  <c r="Y16" i="47" s="1"/>
  <c r="X17" i="47"/>
  <c r="Y17" i="47" s="1"/>
  <c r="X18" i="47"/>
  <c r="Y18" i="47" s="1"/>
  <c r="X19" i="47"/>
  <c r="Y19" i="47" s="1"/>
  <c r="X20" i="47"/>
  <c r="Y20" i="47" s="1"/>
  <c r="X21" i="47"/>
  <c r="Y21" i="47" s="1"/>
  <c r="X22" i="47"/>
  <c r="Y22" i="47" s="1"/>
  <c r="X23" i="47"/>
  <c r="Y23" i="47" s="1"/>
  <c r="X24" i="47"/>
  <c r="Y24" i="47" s="1"/>
  <c r="X25" i="47"/>
  <c r="Y25" i="47" s="1"/>
  <c r="X26" i="47"/>
  <c r="Y26" i="47" s="1"/>
  <c r="X27" i="47"/>
  <c r="Y27" i="47" s="1"/>
  <c r="X28" i="47"/>
  <c r="Y28" i="47" s="1"/>
  <c r="X29" i="47"/>
  <c r="Y29" i="47" s="1"/>
  <c r="X30" i="47"/>
  <c r="Y30" i="47" s="1"/>
  <c r="X31" i="47"/>
  <c r="Y31" i="47" s="1"/>
  <c r="X32" i="47"/>
  <c r="Y32" i="47" s="1"/>
  <c r="X33" i="47"/>
  <c r="Y33" i="47" s="1"/>
  <c r="X34" i="47"/>
  <c r="Y34" i="47" s="1"/>
  <c r="X35" i="47"/>
  <c r="Y35" i="47" s="1"/>
  <c r="X36" i="47"/>
  <c r="Y36" i="47" s="1"/>
  <c r="X37" i="47"/>
  <c r="Y37" i="47" s="1"/>
  <c r="X38" i="47"/>
  <c r="Y38" i="47" s="1"/>
  <c r="X39" i="47"/>
  <c r="Y39" i="47" s="1"/>
  <c r="X40" i="47"/>
  <c r="Y40" i="47" s="1"/>
  <c r="X41" i="47"/>
  <c r="Y41" i="47" s="1"/>
  <c r="X42" i="47"/>
  <c r="Y42" i="47" s="1"/>
  <c r="X43" i="47"/>
  <c r="Y43" i="47" s="1"/>
  <c r="X44" i="47"/>
  <c r="Y44" i="47" s="1"/>
  <c r="X45" i="47"/>
  <c r="Y45" i="47" s="1"/>
  <c r="X46" i="47"/>
  <c r="Y46" i="47" s="1"/>
  <c r="X47" i="47"/>
  <c r="Y47" i="47" s="1"/>
  <c r="X48" i="47"/>
  <c r="Y48" i="47" s="1"/>
  <c r="X49" i="47"/>
  <c r="Y49" i="47" s="1"/>
  <c r="X50" i="47"/>
  <c r="Y50" i="47" s="1"/>
  <c r="X51" i="47"/>
  <c r="Y51" i="47" s="1"/>
  <c r="X52" i="47"/>
  <c r="Y52" i="47" s="1"/>
  <c r="X53" i="47"/>
  <c r="Y53" i="47" s="1"/>
  <c r="X54" i="47"/>
  <c r="Y54" i="47" s="1"/>
  <c r="X55" i="47"/>
  <c r="Y55" i="47" s="1"/>
  <c r="X56" i="47"/>
  <c r="Y56" i="47" s="1"/>
  <c r="X57" i="47"/>
  <c r="Y57" i="47" s="1"/>
  <c r="X58" i="47"/>
  <c r="Y58" i="47" s="1"/>
  <c r="X59" i="47"/>
  <c r="Y59" i="47" s="1"/>
  <c r="X60" i="47"/>
  <c r="Y60" i="47" s="1"/>
  <c r="X61" i="47"/>
  <c r="Y61" i="47" s="1"/>
  <c r="X62" i="47"/>
  <c r="Y62" i="47" s="1"/>
  <c r="X63" i="47"/>
  <c r="Y63" i="47" s="1"/>
  <c r="X64" i="47"/>
  <c r="Y64" i="47" s="1"/>
  <c r="X65" i="47"/>
  <c r="Y65" i="47" s="1"/>
  <c r="X66" i="47"/>
  <c r="Y66" i="47" s="1"/>
  <c r="X67" i="47"/>
  <c r="Y67" i="47" s="1"/>
  <c r="X68" i="47"/>
  <c r="Y68" i="47" s="1"/>
  <c r="X69" i="47"/>
  <c r="Y69" i="47" s="1"/>
  <c r="X70" i="47"/>
  <c r="Y70" i="47" s="1"/>
  <c r="X71" i="47"/>
  <c r="Y71" i="47" s="1"/>
  <c r="X72" i="47"/>
  <c r="Y72" i="47" s="1"/>
  <c r="X73" i="47"/>
  <c r="Y73" i="47" s="1"/>
  <c r="X74" i="47"/>
  <c r="Y74" i="47" s="1"/>
  <c r="X75" i="47"/>
  <c r="Y75" i="47" s="1"/>
  <c r="X76" i="47"/>
  <c r="Y76" i="47" s="1"/>
  <c r="X77" i="47"/>
  <c r="Y77" i="47" s="1"/>
  <c r="X78" i="47"/>
  <c r="Y78" i="47" s="1"/>
  <c r="X79" i="47"/>
  <c r="Y79" i="47" s="1"/>
  <c r="X80" i="47"/>
  <c r="Y80" i="47" s="1"/>
  <c r="X81" i="47"/>
  <c r="Y81" i="47" s="1"/>
  <c r="X82" i="47"/>
  <c r="Y82" i="47" s="1"/>
  <c r="X83" i="47"/>
  <c r="Y83" i="47" s="1"/>
  <c r="X84" i="47"/>
  <c r="Y84" i="47" s="1"/>
  <c r="X85" i="47"/>
  <c r="Y85" i="47" s="1"/>
  <c r="X86" i="47"/>
  <c r="Y86" i="47" s="1"/>
  <c r="X87" i="47"/>
  <c r="Y87" i="47" s="1"/>
  <c r="X88" i="47"/>
  <c r="Y88" i="47" s="1"/>
  <c r="X89" i="47"/>
  <c r="Y89" i="47" s="1"/>
  <c r="X90" i="47"/>
  <c r="Y90" i="47" s="1"/>
  <c r="X91" i="47"/>
  <c r="Y91" i="47" s="1"/>
  <c r="X92" i="47"/>
  <c r="Y92" i="47" s="1"/>
  <c r="X93" i="47"/>
  <c r="Y93" i="47" s="1"/>
  <c r="X94" i="47"/>
  <c r="Y94" i="47" s="1"/>
  <c r="X95" i="47"/>
  <c r="Y95" i="47" s="1"/>
  <c r="X96" i="47"/>
  <c r="Y96" i="47" s="1"/>
  <c r="X97" i="47"/>
  <c r="Y97" i="47" s="1"/>
  <c r="X98" i="47"/>
  <c r="Y98" i="47" s="1"/>
  <c r="X99" i="47"/>
  <c r="Y99" i="47" s="1"/>
  <c r="X100" i="47"/>
  <c r="Y100" i="47" s="1"/>
  <c r="X101" i="47"/>
  <c r="Y101" i="47" s="1"/>
  <c r="X102" i="47"/>
  <c r="Y102" i="47" s="1"/>
  <c r="X103" i="47"/>
  <c r="Y103" i="47" s="1"/>
  <c r="X104" i="47"/>
  <c r="Y104" i="47" s="1"/>
  <c r="X105" i="47"/>
  <c r="Y105" i="47" s="1"/>
  <c r="X106" i="47"/>
  <c r="Y106" i="47" s="1"/>
  <c r="X107" i="47"/>
  <c r="Y107" i="47" s="1"/>
  <c r="X108" i="47"/>
  <c r="Y108" i="47" s="1"/>
  <c r="X109" i="47"/>
  <c r="Y109" i="47" s="1"/>
  <c r="X110" i="47"/>
  <c r="Y110" i="47" s="1"/>
  <c r="X111" i="47"/>
  <c r="Y111" i="47" s="1"/>
  <c r="X112" i="47"/>
  <c r="Y112" i="47" s="1"/>
  <c r="X113" i="47"/>
  <c r="Y113" i="47" s="1"/>
  <c r="X114" i="47"/>
  <c r="Y114" i="47" s="1"/>
  <c r="X115" i="47"/>
  <c r="Y115" i="47" s="1"/>
  <c r="X116" i="47"/>
  <c r="Y116" i="47" s="1"/>
  <c r="X117" i="47"/>
  <c r="Y117" i="47" s="1"/>
  <c r="X118" i="47"/>
  <c r="Y118" i="47" s="1"/>
  <c r="X119" i="47"/>
  <c r="Y119" i="47" s="1"/>
  <c r="X120" i="47"/>
  <c r="Y120" i="47" s="1"/>
  <c r="X121" i="47"/>
  <c r="Y121" i="47" s="1"/>
  <c r="X122" i="47"/>
  <c r="Y122" i="47" s="1"/>
  <c r="X123" i="47"/>
  <c r="Y123" i="47" s="1"/>
  <c r="X124" i="47"/>
  <c r="Y124" i="47" s="1"/>
  <c r="X125" i="47"/>
  <c r="Y125" i="47" s="1"/>
  <c r="X126" i="47"/>
  <c r="Y126" i="47" s="1"/>
  <c r="X127" i="47"/>
  <c r="Y127" i="47" s="1"/>
  <c r="X128" i="47"/>
  <c r="Y128" i="47" s="1"/>
  <c r="X129" i="47"/>
  <c r="X130" i="47"/>
  <c r="X131" i="47"/>
  <c r="Y131" i="47" s="1"/>
  <c r="X132" i="47"/>
  <c r="Y132" i="47" s="1"/>
  <c r="X133" i="47"/>
  <c r="Y133" i="47" s="1"/>
  <c r="X134" i="47"/>
  <c r="Y134" i="47" s="1"/>
  <c r="X135" i="47"/>
  <c r="Y135" i="47" s="1"/>
  <c r="X136" i="47"/>
  <c r="Y136" i="47" s="1"/>
  <c r="X137" i="47"/>
  <c r="Y137" i="47" s="1"/>
  <c r="X138" i="47"/>
  <c r="Y138" i="47" s="1"/>
  <c r="X139" i="47"/>
  <c r="Y139" i="47" s="1"/>
  <c r="X140" i="47"/>
  <c r="Y140" i="47" s="1"/>
  <c r="X141" i="47"/>
  <c r="Y141" i="47" s="1"/>
  <c r="X142" i="47"/>
  <c r="Y142" i="47" s="1"/>
  <c r="X143" i="47"/>
  <c r="Y143" i="47" s="1"/>
  <c r="X144" i="47"/>
  <c r="Y144" i="47" s="1"/>
  <c r="X145" i="47"/>
  <c r="Y145" i="47" s="1"/>
  <c r="X146" i="47"/>
  <c r="Y146" i="47" s="1"/>
  <c r="X147" i="47"/>
  <c r="Y147" i="47" s="1"/>
  <c r="X148" i="47"/>
  <c r="Y148" i="47" s="1"/>
  <c r="X149" i="47"/>
  <c r="Y149" i="47" s="1"/>
  <c r="X150" i="47"/>
  <c r="Y150" i="47" s="1"/>
  <c r="X151" i="47"/>
  <c r="Y151" i="47" s="1"/>
  <c r="X152" i="47"/>
  <c r="Y152" i="47" s="1"/>
  <c r="X153" i="47"/>
  <c r="Y153" i="47" s="1"/>
  <c r="X154" i="47"/>
  <c r="Y154" i="47" s="1"/>
  <c r="X155" i="47"/>
  <c r="Y155" i="47" s="1"/>
  <c r="X156" i="47"/>
  <c r="Y156" i="47" s="1"/>
  <c r="X157" i="47"/>
  <c r="Y157" i="47" s="1"/>
  <c r="X158" i="47"/>
  <c r="Y158" i="47" s="1"/>
  <c r="X159" i="47"/>
  <c r="Y159" i="47" s="1"/>
  <c r="X160" i="47"/>
  <c r="Y160" i="47" s="1"/>
  <c r="X161" i="47"/>
  <c r="Y161" i="47" s="1"/>
  <c r="X162" i="47"/>
  <c r="Y162" i="47" s="1"/>
  <c r="X163" i="47"/>
  <c r="Y163" i="47" s="1"/>
  <c r="X164" i="47"/>
  <c r="Y164" i="47" s="1"/>
  <c r="X165" i="47"/>
  <c r="Y165" i="47" s="1"/>
  <c r="X166" i="47"/>
  <c r="Y166" i="47" s="1"/>
  <c r="X167" i="47"/>
  <c r="Y167" i="47" s="1"/>
  <c r="X168" i="47"/>
  <c r="Y168" i="47" s="1"/>
  <c r="X169" i="47"/>
  <c r="Y169" i="47" s="1"/>
  <c r="X170" i="47"/>
  <c r="Y170" i="47" s="1"/>
  <c r="X171" i="47"/>
  <c r="Y171" i="47" s="1"/>
  <c r="X172" i="47"/>
  <c r="Y172" i="47" s="1"/>
  <c r="X173" i="47"/>
  <c r="Y173" i="47" s="1"/>
  <c r="X174" i="47"/>
  <c r="Y174" i="47" s="1"/>
  <c r="X175" i="47"/>
  <c r="Y175" i="47" s="1"/>
  <c r="X176" i="47"/>
  <c r="Y176" i="47" s="1"/>
  <c r="X177" i="47"/>
  <c r="Y177" i="47" s="1"/>
  <c r="X178" i="47"/>
  <c r="Y178" i="47" s="1"/>
  <c r="X179" i="47"/>
  <c r="Y179" i="47" s="1"/>
  <c r="X180" i="47"/>
  <c r="Y180" i="47" s="1"/>
  <c r="X181" i="47"/>
  <c r="Y181" i="47" s="1"/>
  <c r="X182" i="47"/>
  <c r="Y182" i="47" s="1"/>
  <c r="X183" i="47"/>
  <c r="Y183" i="47" s="1"/>
  <c r="X184" i="47"/>
  <c r="Y184" i="47" s="1"/>
  <c r="X185" i="47"/>
  <c r="Y185" i="47" s="1"/>
  <c r="X186" i="47"/>
  <c r="Y186" i="47" s="1"/>
  <c r="X187" i="47"/>
  <c r="Y187" i="47" s="1"/>
  <c r="X188" i="47"/>
  <c r="Y188" i="47" s="1"/>
  <c r="X189" i="47"/>
  <c r="Y189" i="47" s="1"/>
  <c r="X190" i="47"/>
  <c r="Y190" i="47" s="1"/>
  <c r="X191" i="47"/>
  <c r="Y191" i="47" s="1"/>
  <c r="X192" i="47"/>
  <c r="Y192" i="47" s="1"/>
  <c r="X193" i="47"/>
  <c r="Y193" i="47" s="1"/>
  <c r="X194" i="47"/>
  <c r="Y194" i="47" s="1"/>
  <c r="X195" i="47"/>
  <c r="Y195" i="47" s="1"/>
  <c r="X196" i="47"/>
  <c r="Y196" i="47" s="1"/>
  <c r="X197" i="47"/>
  <c r="Y197" i="47" s="1"/>
  <c r="X198" i="47"/>
  <c r="Y198" i="47" s="1"/>
  <c r="X199" i="47"/>
  <c r="Y199" i="47" s="1"/>
  <c r="X200" i="47"/>
  <c r="Y200" i="47" s="1"/>
  <c r="X201" i="47"/>
  <c r="Y201" i="47" s="1"/>
  <c r="X202" i="47"/>
  <c r="Y202" i="47" s="1"/>
  <c r="X203" i="47"/>
  <c r="Y203" i="47" s="1"/>
  <c r="X204" i="47"/>
  <c r="Y204" i="47" s="1"/>
  <c r="X205" i="47"/>
  <c r="Y205" i="47" s="1"/>
  <c r="X206" i="47"/>
  <c r="Y206" i="47" s="1"/>
  <c r="X207" i="47"/>
  <c r="Y207" i="47" s="1"/>
  <c r="X208" i="47"/>
  <c r="Y208" i="47" s="1"/>
  <c r="X209" i="47"/>
  <c r="Y209" i="47" s="1"/>
  <c r="X210" i="47"/>
  <c r="Y210" i="47" s="1"/>
  <c r="X211" i="47"/>
  <c r="Y211" i="47" s="1"/>
  <c r="X212" i="47"/>
  <c r="Y212" i="47" s="1"/>
  <c r="X213" i="47"/>
  <c r="Y213" i="47" s="1"/>
  <c r="X214" i="47"/>
  <c r="Y214" i="47" s="1"/>
  <c r="X215" i="47"/>
  <c r="Y215" i="47" s="1"/>
  <c r="X216" i="47"/>
  <c r="Y216" i="47" s="1"/>
  <c r="X217" i="47"/>
  <c r="Y217" i="47" s="1"/>
  <c r="X218" i="47"/>
  <c r="Y218" i="47" s="1"/>
  <c r="X219" i="47"/>
  <c r="Y219" i="47" s="1"/>
  <c r="X220" i="47"/>
  <c r="Y220" i="47" s="1"/>
  <c r="X221" i="47"/>
  <c r="Y221" i="47" s="1"/>
  <c r="X222" i="47"/>
  <c r="Y222" i="47" s="1"/>
  <c r="X223" i="47"/>
  <c r="Y223" i="47" s="1"/>
  <c r="X224" i="47"/>
  <c r="Y224" i="47" s="1"/>
  <c r="X225" i="47"/>
  <c r="Y225" i="47" s="1"/>
  <c r="X226" i="47"/>
  <c r="Y226" i="47" s="1"/>
  <c r="X227" i="47"/>
  <c r="Y227" i="47" s="1"/>
  <c r="X228" i="47"/>
  <c r="Y228" i="47" s="1"/>
  <c r="X229" i="47"/>
  <c r="Y229" i="47" s="1"/>
  <c r="X230" i="47"/>
  <c r="Y230" i="47" s="1"/>
  <c r="X231" i="47"/>
  <c r="Y231" i="47" s="1"/>
  <c r="X232" i="47"/>
  <c r="Y232" i="47" s="1"/>
  <c r="X233" i="47"/>
  <c r="Y233" i="47" s="1"/>
  <c r="X234" i="47"/>
  <c r="Y234" i="47" s="1"/>
  <c r="X235" i="47"/>
  <c r="Y235" i="47" s="1"/>
  <c r="X236" i="47"/>
  <c r="Y236" i="47" s="1"/>
  <c r="X237" i="47"/>
  <c r="Y237" i="47" s="1"/>
  <c r="X238" i="47"/>
  <c r="Y238" i="47" s="1"/>
  <c r="X239" i="47"/>
  <c r="Y239" i="47" s="1"/>
  <c r="X240" i="47"/>
  <c r="Y240" i="47" s="1"/>
  <c r="X241" i="47"/>
  <c r="Y241" i="47" s="1"/>
  <c r="X242" i="47"/>
  <c r="Y242" i="47" s="1"/>
  <c r="X243" i="47"/>
  <c r="Y243" i="47" s="1"/>
  <c r="X244" i="47"/>
  <c r="Y244" i="47" s="1"/>
  <c r="X245" i="47"/>
  <c r="Y245" i="47" s="1"/>
  <c r="X246" i="47"/>
  <c r="Y246" i="47" s="1"/>
  <c r="X247" i="47"/>
  <c r="Y247" i="47" s="1"/>
  <c r="X248" i="47"/>
  <c r="Y248" i="47" s="1"/>
  <c r="X249" i="47"/>
  <c r="Y249" i="47" s="1"/>
  <c r="X250" i="47"/>
  <c r="Y250" i="47" s="1"/>
  <c r="X251" i="47"/>
  <c r="Y251" i="47" s="1"/>
  <c r="X252" i="47"/>
  <c r="Y252" i="47" s="1"/>
  <c r="X253" i="47"/>
  <c r="Y253" i="47" s="1"/>
  <c r="X254" i="47"/>
  <c r="Y254" i="47" s="1"/>
  <c r="X255" i="47"/>
  <c r="Y255" i="47" s="1"/>
  <c r="X256" i="47"/>
  <c r="Y256" i="47" s="1"/>
  <c r="X257" i="47"/>
  <c r="Y257" i="47" s="1"/>
  <c r="X258" i="47"/>
  <c r="Y258" i="47" s="1"/>
  <c r="X259" i="47"/>
  <c r="Y259" i="47" s="1"/>
  <c r="X260" i="47"/>
  <c r="Y260" i="47" s="1"/>
  <c r="X261" i="47"/>
  <c r="Y261" i="47" s="1"/>
  <c r="X262" i="47"/>
  <c r="Y262" i="47" s="1"/>
  <c r="X263" i="47"/>
  <c r="Y263" i="47" s="1"/>
  <c r="X264" i="47"/>
  <c r="Y264" i="47" s="1"/>
  <c r="X265" i="47"/>
  <c r="Y265" i="47" s="1"/>
  <c r="X266" i="47"/>
  <c r="Y266" i="47" s="1"/>
  <c r="X267" i="47"/>
  <c r="Y267" i="47" s="1"/>
  <c r="X268" i="47"/>
  <c r="Y268" i="47" s="1"/>
  <c r="X269" i="47"/>
  <c r="Y269" i="47" s="1"/>
  <c r="X270" i="47"/>
  <c r="Y270" i="47" s="1"/>
  <c r="X271" i="47"/>
  <c r="Y271" i="47" s="1"/>
  <c r="X272" i="47"/>
  <c r="Y272" i="47" s="1"/>
  <c r="X273" i="47"/>
  <c r="Y273" i="47" s="1"/>
  <c r="X274" i="47"/>
  <c r="Y274" i="47" s="1"/>
  <c r="X275" i="47"/>
  <c r="Y275" i="47" s="1"/>
  <c r="X276" i="47"/>
  <c r="Y276" i="47" s="1"/>
  <c r="X277" i="47"/>
  <c r="Y277" i="47" s="1"/>
  <c r="X278" i="47"/>
  <c r="Y278" i="47" s="1"/>
  <c r="X279" i="47"/>
  <c r="Y279" i="47" s="1"/>
  <c r="X280" i="47"/>
  <c r="Y280" i="47" s="1"/>
  <c r="X281" i="47"/>
  <c r="Y281" i="47" s="1"/>
  <c r="X282" i="47"/>
  <c r="Y282" i="47" s="1"/>
  <c r="X283" i="47"/>
  <c r="Y283" i="47" s="1"/>
  <c r="X284" i="47"/>
  <c r="Y284" i="47" s="1"/>
  <c r="X285" i="47"/>
  <c r="Y285" i="47" s="1"/>
  <c r="X286" i="47"/>
  <c r="Y286" i="47" s="1"/>
  <c r="X287" i="47"/>
  <c r="Y287" i="47" s="1"/>
  <c r="X288" i="47"/>
  <c r="Y288" i="47" s="1"/>
  <c r="X289" i="47"/>
  <c r="Y289" i="47" s="1"/>
  <c r="X290" i="47"/>
  <c r="Y290" i="47" s="1"/>
  <c r="X291" i="47"/>
  <c r="Y291" i="47" s="1"/>
  <c r="X292" i="47"/>
  <c r="Y292" i="47" s="1"/>
  <c r="X293" i="47"/>
  <c r="Y293" i="47" s="1"/>
  <c r="X294" i="47"/>
  <c r="Y294" i="47" s="1"/>
  <c r="X295" i="47"/>
  <c r="Y295" i="47" s="1"/>
  <c r="X296" i="47"/>
  <c r="Y296" i="47" s="1"/>
  <c r="X297" i="47"/>
  <c r="Y297" i="47" s="1"/>
  <c r="X298" i="47"/>
  <c r="Y298" i="47" s="1"/>
  <c r="X299" i="47"/>
  <c r="Y299" i="47" s="1"/>
  <c r="X300" i="47"/>
  <c r="Y300" i="47" s="1"/>
  <c r="X301" i="47"/>
  <c r="Y301" i="47" s="1"/>
  <c r="X302" i="47"/>
  <c r="Y302" i="47" s="1"/>
  <c r="X303" i="47"/>
  <c r="Y303" i="47" s="1"/>
  <c r="X304" i="47"/>
  <c r="Y304" i="47" s="1"/>
  <c r="X305" i="47"/>
  <c r="Y305" i="47" s="1"/>
  <c r="X306" i="47"/>
  <c r="Y306" i="47" s="1"/>
  <c r="X307" i="47"/>
  <c r="Y307" i="47" s="1"/>
  <c r="X308" i="47"/>
  <c r="Y308" i="47" s="1"/>
  <c r="X309" i="47"/>
  <c r="Y309" i="47" s="1"/>
  <c r="X310" i="47"/>
  <c r="Y310" i="47" s="1"/>
  <c r="X311" i="47"/>
  <c r="Y311" i="47" s="1"/>
  <c r="X312" i="47"/>
  <c r="Y312" i="47" s="1"/>
  <c r="X313" i="47"/>
  <c r="Y313" i="47" s="1"/>
  <c r="X314" i="47"/>
  <c r="Y314" i="47" s="1"/>
  <c r="X315" i="47"/>
  <c r="Y315" i="47" s="1"/>
  <c r="X316" i="47"/>
  <c r="Y316" i="47" s="1"/>
  <c r="X317" i="47"/>
  <c r="Y317" i="47" s="1"/>
  <c r="X318" i="47"/>
  <c r="Y318" i="47" s="1"/>
  <c r="X319" i="47"/>
  <c r="Y319" i="47" s="1"/>
  <c r="X320" i="47"/>
  <c r="X321" i="47"/>
  <c r="Y321" i="47" s="1"/>
  <c r="X322" i="47"/>
  <c r="Y322" i="47" s="1"/>
  <c r="X323" i="47"/>
  <c r="Y323" i="47" s="1"/>
  <c r="X324" i="47"/>
  <c r="Y324" i="47" s="1"/>
  <c r="X325" i="47"/>
  <c r="Y325" i="47" s="1"/>
  <c r="X326" i="47"/>
  <c r="Y326" i="47" s="1"/>
  <c r="X327" i="47"/>
  <c r="Y327" i="47" s="1"/>
  <c r="X328" i="47"/>
  <c r="Y328" i="47" s="1"/>
  <c r="X329" i="47"/>
  <c r="Y329" i="47" s="1"/>
  <c r="X330" i="47"/>
  <c r="Y330" i="47" s="1"/>
  <c r="X331" i="47"/>
  <c r="Y331" i="47" s="1"/>
  <c r="X332" i="47"/>
  <c r="Y332" i="47" s="1"/>
  <c r="X333" i="47"/>
  <c r="Y333" i="47" s="1"/>
  <c r="X334" i="47"/>
  <c r="Y334" i="47" s="1"/>
  <c r="X335" i="47"/>
  <c r="Y335" i="47" s="1"/>
  <c r="X336" i="47"/>
  <c r="Y336" i="47" s="1"/>
  <c r="X337" i="47"/>
  <c r="Y337" i="47" s="1"/>
  <c r="X338" i="47"/>
  <c r="Y338" i="47" s="1"/>
  <c r="X339" i="47"/>
  <c r="Y339" i="47" s="1"/>
  <c r="X340" i="47"/>
  <c r="Y340" i="47" s="1"/>
  <c r="X341" i="47"/>
  <c r="Y341" i="47" s="1"/>
  <c r="X342" i="47"/>
  <c r="Y342" i="47" s="1"/>
  <c r="X343" i="47"/>
  <c r="Y343" i="47" s="1"/>
  <c r="X344" i="47"/>
  <c r="Y344" i="47" s="1"/>
  <c r="X345" i="47"/>
  <c r="Y345" i="47" s="1"/>
  <c r="X346" i="47"/>
  <c r="Y346" i="47" s="1"/>
  <c r="X347" i="47"/>
  <c r="Y347" i="47" s="1"/>
  <c r="X348" i="47"/>
  <c r="Y348" i="47" s="1"/>
  <c r="X349" i="47"/>
  <c r="Y349" i="47" s="1"/>
  <c r="X350" i="47"/>
  <c r="Y350" i="47" s="1"/>
  <c r="X351" i="47"/>
  <c r="Y351" i="47" s="1"/>
  <c r="X352" i="47"/>
  <c r="Y352" i="47" s="1"/>
  <c r="X353" i="47"/>
  <c r="Y353" i="47" s="1"/>
  <c r="X354" i="47"/>
  <c r="Y354" i="47" s="1"/>
  <c r="X355" i="47"/>
  <c r="Y355" i="47" s="1"/>
  <c r="X356" i="47"/>
  <c r="Y356" i="47" s="1"/>
  <c r="X357" i="47"/>
  <c r="Y357" i="47" s="1"/>
  <c r="X358" i="47"/>
  <c r="Y358" i="47" s="1"/>
  <c r="X359" i="47"/>
  <c r="Y359" i="47" s="1"/>
  <c r="X360" i="47"/>
  <c r="Y360" i="47" s="1"/>
  <c r="X361" i="47"/>
  <c r="Y361" i="47" s="1"/>
  <c r="X362" i="47"/>
  <c r="Y362" i="47" s="1"/>
  <c r="X363" i="47"/>
  <c r="Y363" i="47" s="1"/>
  <c r="X364" i="47"/>
  <c r="Y364" i="47" s="1"/>
  <c r="X365" i="47"/>
  <c r="Y365" i="47" s="1"/>
  <c r="X366" i="47"/>
  <c r="Y366" i="47" s="1"/>
  <c r="X367" i="47"/>
  <c r="Y367" i="47" s="1"/>
  <c r="X14" i="47"/>
  <c r="Y14" i="47" s="1"/>
  <c r="X15" i="48"/>
  <c r="X16" i="48"/>
  <c r="X17" i="48"/>
  <c r="X18" i="48"/>
  <c r="X19" i="48"/>
  <c r="Y19" i="48" s="1"/>
  <c r="X20" i="48"/>
  <c r="Y20" i="48" s="1"/>
  <c r="X21" i="48"/>
  <c r="Y21" i="48" s="1"/>
  <c r="X22" i="48"/>
  <c r="Y22" i="48" s="1"/>
  <c r="X23" i="48"/>
  <c r="X24" i="48"/>
  <c r="X25" i="48"/>
  <c r="Y25" i="48" s="1"/>
  <c r="X26" i="48"/>
  <c r="X27" i="48"/>
  <c r="X28" i="48"/>
  <c r="Y28" i="48" s="1"/>
  <c r="X29" i="48"/>
  <c r="Y29" i="48" s="1"/>
  <c r="X30" i="48"/>
  <c r="Y30" i="48" s="1"/>
  <c r="X31" i="48"/>
  <c r="X32" i="48"/>
  <c r="X33" i="48"/>
  <c r="Y33" i="48" s="1"/>
  <c r="X34" i="48"/>
  <c r="X35" i="48"/>
  <c r="Y35" i="48" s="1"/>
  <c r="X36" i="48"/>
  <c r="Y36" i="48" s="1"/>
  <c r="X37" i="48"/>
  <c r="Y37" i="48" s="1"/>
  <c r="X38" i="48"/>
  <c r="Y38" i="48" s="1"/>
  <c r="X39" i="48"/>
  <c r="X40" i="48"/>
  <c r="X41" i="48"/>
  <c r="X42" i="48"/>
  <c r="X43" i="48"/>
  <c r="Y43" i="48" s="1"/>
  <c r="X44" i="48"/>
  <c r="Y44" i="48" s="1"/>
  <c r="X45" i="48"/>
  <c r="Y45" i="48" s="1"/>
  <c r="X46" i="48"/>
  <c r="Y46" i="48" s="1"/>
  <c r="X47" i="48"/>
  <c r="X48" i="48"/>
  <c r="X49" i="48"/>
  <c r="Y49" i="48" s="1"/>
  <c r="X50" i="48"/>
  <c r="X51" i="48"/>
  <c r="X52" i="48"/>
  <c r="Y52" i="48" s="1"/>
  <c r="X53" i="48"/>
  <c r="Y53" i="48" s="1"/>
  <c r="X54" i="48"/>
  <c r="Y54" i="48" s="1"/>
  <c r="X55" i="48"/>
  <c r="X56" i="48"/>
  <c r="X57" i="48"/>
  <c r="X58" i="48"/>
  <c r="X59" i="48"/>
  <c r="Y59" i="48" s="1"/>
  <c r="X60" i="48"/>
  <c r="Y60" i="48" s="1"/>
  <c r="X61" i="48"/>
  <c r="Y61" i="48" s="1"/>
  <c r="X62" i="48"/>
  <c r="Y62" i="48" s="1"/>
  <c r="X63" i="48"/>
  <c r="X64" i="48"/>
  <c r="X65" i="48"/>
  <c r="X66" i="48"/>
  <c r="X67" i="48"/>
  <c r="Y67" i="48" s="1"/>
  <c r="X68" i="48"/>
  <c r="Y68" i="48" s="1"/>
  <c r="X69" i="48"/>
  <c r="Y69" i="48" s="1"/>
  <c r="X70" i="48"/>
  <c r="Y70" i="48" s="1"/>
  <c r="X71" i="48"/>
  <c r="X72" i="48"/>
  <c r="X73" i="48"/>
  <c r="X74" i="48"/>
  <c r="X75" i="48"/>
  <c r="X76" i="48"/>
  <c r="Y76" i="48" s="1"/>
  <c r="X77" i="48"/>
  <c r="Y77" i="48" s="1"/>
  <c r="X78" i="48"/>
  <c r="Y78" i="48" s="1"/>
  <c r="X79" i="48"/>
  <c r="X80" i="48"/>
  <c r="X81" i="48"/>
  <c r="X82" i="48"/>
  <c r="X83" i="48"/>
  <c r="Y83" i="48" s="1"/>
  <c r="X84" i="48"/>
  <c r="Y84" i="48" s="1"/>
  <c r="X85" i="48"/>
  <c r="Y85" i="48" s="1"/>
  <c r="X86" i="48"/>
  <c r="Y86" i="48" s="1"/>
  <c r="X87" i="48"/>
  <c r="X88" i="48"/>
  <c r="X89" i="48"/>
  <c r="Y89" i="48" s="1"/>
  <c r="X90" i="48"/>
  <c r="X91" i="48"/>
  <c r="X92" i="48"/>
  <c r="Y92" i="48" s="1"/>
  <c r="X93" i="48"/>
  <c r="X94" i="48"/>
  <c r="Y94" i="48" s="1"/>
  <c r="X95" i="48"/>
  <c r="X96" i="48"/>
  <c r="X97" i="48"/>
  <c r="X98" i="48"/>
  <c r="X99" i="48"/>
  <c r="Y99" i="48" s="1"/>
  <c r="X100" i="48"/>
  <c r="Y100" i="48" s="1"/>
  <c r="X101" i="48"/>
  <c r="Y101" i="48" s="1"/>
  <c r="X102" i="48"/>
  <c r="Y102" i="48" s="1"/>
  <c r="X103" i="48"/>
  <c r="X104" i="48"/>
  <c r="X105" i="48"/>
  <c r="X106" i="48"/>
  <c r="X107" i="48"/>
  <c r="Y107" i="48" s="1"/>
  <c r="X108" i="48"/>
  <c r="Y108" i="48" s="1"/>
  <c r="X109" i="48"/>
  <c r="Y109" i="48" s="1"/>
  <c r="X110" i="48"/>
  <c r="Y110" i="48" s="1"/>
  <c r="X111" i="48"/>
  <c r="X112" i="48"/>
  <c r="X113" i="48"/>
  <c r="Y113" i="48" s="1"/>
  <c r="X114" i="48"/>
  <c r="X115" i="48"/>
  <c r="Y115" i="48" s="1"/>
  <c r="X116" i="48"/>
  <c r="Y116" i="48" s="1"/>
  <c r="X117" i="48"/>
  <c r="Y117" i="48" s="1"/>
  <c r="X118" i="48"/>
  <c r="Y118" i="48" s="1"/>
  <c r="X119" i="48"/>
  <c r="X120" i="48"/>
  <c r="X121" i="48"/>
  <c r="Y121" i="48" s="1"/>
  <c r="X122" i="48"/>
  <c r="X123" i="48"/>
  <c r="Y123" i="48" s="1"/>
  <c r="X124" i="48"/>
  <c r="Y124" i="48" s="1"/>
  <c r="X125" i="48"/>
  <c r="Y125" i="48" s="1"/>
  <c r="X126" i="48"/>
  <c r="Y126" i="48" s="1"/>
  <c r="X127" i="48"/>
  <c r="X128" i="48"/>
  <c r="X129" i="48"/>
  <c r="X130" i="48"/>
  <c r="X131" i="48"/>
  <c r="Y131" i="48" s="1"/>
  <c r="X132" i="48"/>
  <c r="Y132" i="48" s="1"/>
  <c r="X133" i="48"/>
  <c r="Y133" i="48" s="1"/>
  <c r="X134" i="48"/>
  <c r="Y134" i="48" s="1"/>
  <c r="X135" i="48"/>
  <c r="X136" i="48"/>
  <c r="X137" i="48"/>
  <c r="Y137" i="48" s="1"/>
  <c r="X138" i="48"/>
  <c r="X139" i="48"/>
  <c r="X140" i="48"/>
  <c r="Y140" i="48" s="1"/>
  <c r="X141" i="48"/>
  <c r="Y141" i="48" s="1"/>
  <c r="X142" i="48"/>
  <c r="Y142" i="48" s="1"/>
  <c r="X143" i="48"/>
  <c r="X144" i="48"/>
  <c r="X145" i="48"/>
  <c r="Y145" i="48" s="1"/>
  <c r="X146" i="48"/>
  <c r="X147" i="48"/>
  <c r="Y147" i="48" s="1"/>
  <c r="X148" i="48"/>
  <c r="Y148" i="48" s="1"/>
  <c r="X149" i="48"/>
  <c r="Y149" i="48" s="1"/>
  <c r="X150" i="48"/>
  <c r="Y150" i="48" s="1"/>
  <c r="X151" i="48"/>
  <c r="X152" i="48"/>
  <c r="X153" i="48"/>
  <c r="X154" i="48"/>
  <c r="X155" i="48"/>
  <c r="Y155" i="48" s="1"/>
  <c r="X156" i="48"/>
  <c r="Y156" i="48" s="1"/>
  <c r="X157" i="48"/>
  <c r="Y157" i="48" s="1"/>
  <c r="X158" i="48"/>
  <c r="Y158" i="48" s="1"/>
  <c r="X159" i="48"/>
  <c r="X160" i="48"/>
  <c r="X161" i="48"/>
  <c r="Y161" i="48" s="1"/>
  <c r="X162" i="48"/>
  <c r="X163" i="48"/>
  <c r="Y163" i="48" s="1"/>
  <c r="X164" i="48"/>
  <c r="Y164" i="48" s="1"/>
  <c r="X165" i="48"/>
  <c r="Y165" i="48" s="1"/>
  <c r="X166" i="48"/>
  <c r="Y166" i="48" s="1"/>
  <c r="X167" i="48"/>
  <c r="X168" i="48"/>
  <c r="X169" i="48"/>
  <c r="Y169" i="48" s="1"/>
  <c r="X170" i="48"/>
  <c r="X171" i="48"/>
  <c r="X172" i="48"/>
  <c r="Y172" i="48" s="1"/>
  <c r="X173" i="48"/>
  <c r="Y173" i="48" s="1"/>
  <c r="X174" i="48"/>
  <c r="Y174" i="48" s="1"/>
  <c r="X175" i="48"/>
  <c r="X176" i="48"/>
  <c r="X177" i="48"/>
  <c r="X178" i="48"/>
  <c r="X179" i="48"/>
  <c r="Y179" i="48" s="1"/>
  <c r="X180" i="48"/>
  <c r="Y180" i="48" s="1"/>
  <c r="X181" i="48"/>
  <c r="Y181" i="48" s="1"/>
  <c r="X182" i="48"/>
  <c r="Y182" i="48" s="1"/>
  <c r="X183" i="48"/>
  <c r="X184" i="48"/>
  <c r="X185" i="48"/>
  <c r="Y185" i="48" s="1"/>
  <c r="X186" i="48"/>
  <c r="X187" i="48"/>
  <c r="X188" i="48"/>
  <c r="Y188" i="48" s="1"/>
  <c r="X189" i="48"/>
  <c r="Y189" i="48" s="1"/>
  <c r="X190" i="48"/>
  <c r="Y190" i="48" s="1"/>
  <c r="X191" i="48"/>
  <c r="X192" i="48"/>
  <c r="X193" i="48"/>
  <c r="X194" i="48"/>
  <c r="X195" i="48"/>
  <c r="Y195" i="48" s="1"/>
  <c r="X196" i="48"/>
  <c r="Y196" i="48" s="1"/>
  <c r="X197" i="48"/>
  <c r="Y197" i="48" s="1"/>
  <c r="X198" i="48"/>
  <c r="Y198" i="48" s="1"/>
  <c r="X199" i="48"/>
  <c r="X200" i="48"/>
  <c r="X201" i="48"/>
  <c r="Y201" i="48" s="1"/>
  <c r="X202" i="48"/>
  <c r="X203" i="48"/>
  <c r="Y203" i="48" s="1"/>
  <c r="X204" i="48"/>
  <c r="Y204" i="48" s="1"/>
  <c r="X205" i="48"/>
  <c r="Y205" i="48" s="1"/>
  <c r="X206" i="48"/>
  <c r="Y206" i="48" s="1"/>
  <c r="X207" i="48"/>
  <c r="X208" i="48"/>
  <c r="X209" i="48"/>
  <c r="Y209" i="48" s="1"/>
  <c r="X210" i="48"/>
  <c r="X211" i="48"/>
  <c r="Y211" i="48" s="1"/>
  <c r="X212" i="48"/>
  <c r="Y212" i="48" s="1"/>
  <c r="X213" i="48"/>
  <c r="Y213" i="48" s="1"/>
  <c r="X214" i="48"/>
  <c r="Y214" i="48" s="1"/>
  <c r="X215" i="48"/>
  <c r="X216" i="48"/>
  <c r="X217" i="48"/>
  <c r="X218" i="48"/>
  <c r="X219" i="48"/>
  <c r="Y219" i="48" s="1"/>
  <c r="X220" i="48"/>
  <c r="Y220" i="48" s="1"/>
  <c r="X221" i="48"/>
  <c r="X222" i="48"/>
  <c r="Y222" i="48" s="1"/>
  <c r="X223" i="48"/>
  <c r="X224" i="48"/>
  <c r="X225" i="48"/>
  <c r="X226" i="48"/>
  <c r="X227" i="48"/>
  <c r="Y227" i="48" s="1"/>
  <c r="X228" i="48"/>
  <c r="Y228" i="48" s="1"/>
  <c r="X229" i="48"/>
  <c r="Y229" i="48" s="1"/>
  <c r="X230" i="48"/>
  <c r="Y230" i="48" s="1"/>
  <c r="X231" i="48"/>
  <c r="X232" i="48"/>
  <c r="X233" i="48"/>
  <c r="X234" i="48"/>
  <c r="X235" i="48"/>
  <c r="Y235" i="48" s="1"/>
  <c r="X236" i="48"/>
  <c r="Y236" i="48" s="1"/>
  <c r="X237" i="48"/>
  <c r="Y237" i="48" s="1"/>
  <c r="X238" i="48"/>
  <c r="Y238" i="48" s="1"/>
  <c r="X239" i="48"/>
  <c r="X240" i="48"/>
  <c r="X241" i="48"/>
  <c r="Y241" i="48" s="1"/>
  <c r="X242" i="48"/>
  <c r="X243" i="48"/>
  <c r="Y243" i="48" s="1"/>
  <c r="X244" i="48"/>
  <c r="Y244" i="48" s="1"/>
  <c r="X245" i="48"/>
  <c r="Y245" i="48" s="1"/>
  <c r="X246" i="48"/>
  <c r="Y246" i="48" s="1"/>
  <c r="X247" i="48"/>
  <c r="X248" i="48"/>
  <c r="X249" i="48"/>
  <c r="X250" i="48"/>
  <c r="X251" i="48"/>
  <c r="Y251" i="48" s="1"/>
  <c r="X252" i="48"/>
  <c r="Y252" i="48" s="1"/>
  <c r="X253" i="48"/>
  <c r="Y253" i="48" s="1"/>
  <c r="X254" i="48"/>
  <c r="Y254" i="48" s="1"/>
  <c r="X255" i="48"/>
  <c r="X256" i="48"/>
  <c r="X257" i="48"/>
  <c r="X258" i="48"/>
  <c r="X259" i="48"/>
  <c r="Y259" i="48" s="1"/>
  <c r="X260" i="48"/>
  <c r="Y260" i="48" s="1"/>
  <c r="X261" i="48"/>
  <c r="Y261" i="48" s="1"/>
  <c r="X262" i="48"/>
  <c r="Y262" i="48" s="1"/>
  <c r="X263" i="48"/>
  <c r="X264" i="48"/>
  <c r="X265" i="48"/>
  <c r="X266" i="48"/>
  <c r="X267" i="48"/>
  <c r="Y267" i="48" s="1"/>
  <c r="X268" i="48"/>
  <c r="Y268" i="48" s="1"/>
  <c r="X269" i="48"/>
  <c r="Y269" i="48" s="1"/>
  <c r="X270" i="48"/>
  <c r="Y270" i="48" s="1"/>
  <c r="X271" i="48"/>
  <c r="X272" i="48"/>
  <c r="X273" i="48"/>
  <c r="Y273" i="48" s="1"/>
  <c r="X274" i="48"/>
  <c r="X275" i="48"/>
  <c r="Y275" i="48" s="1"/>
  <c r="X276" i="48"/>
  <c r="Y276" i="48" s="1"/>
  <c r="X277" i="48"/>
  <c r="Y277" i="48" s="1"/>
  <c r="X278" i="48"/>
  <c r="Y278" i="48" s="1"/>
  <c r="X279" i="48"/>
  <c r="X280" i="48"/>
  <c r="X281" i="48"/>
  <c r="Y281" i="48" s="1"/>
  <c r="X282" i="48"/>
  <c r="X283" i="48"/>
  <c r="X284" i="48"/>
  <c r="Y284" i="48" s="1"/>
  <c r="X285" i="48"/>
  <c r="Y285" i="48" s="1"/>
  <c r="X286" i="48"/>
  <c r="Y286" i="48" s="1"/>
  <c r="X287" i="48"/>
  <c r="X288" i="48"/>
  <c r="X289" i="48"/>
  <c r="X290" i="48"/>
  <c r="X291" i="48"/>
  <c r="Y291" i="48" s="1"/>
  <c r="X292" i="48"/>
  <c r="Y292" i="48" s="1"/>
  <c r="X293" i="48"/>
  <c r="Y293" i="48" s="1"/>
  <c r="X294" i="48"/>
  <c r="Y294" i="48" s="1"/>
  <c r="X295" i="48"/>
  <c r="X296" i="48"/>
  <c r="X297" i="48"/>
  <c r="Y297" i="48" s="1"/>
  <c r="X298" i="48"/>
  <c r="X299" i="48"/>
  <c r="X300" i="48"/>
  <c r="Y300" i="48" s="1"/>
  <c r="X301" i="48"/>
  <c r="Y301" i="48" s="1"/>
  <c r="X302" i="48"/>
  <c r="Y302" i="48" s="1"/>
  <c r="X303" i="48"/>
  <c r="X304" i="48"/>
  <c r="X305" i="48"/>
  <c r="X306" i="48"/>
  <c r="X307" i="48"/>
  <c r="Y307" i="48" s="1"/>
  <c r="X308" i="48"/>
  <c r="Y308" i="48" s="1"/>
  <c r="X309" i="48"/>
  <c r="Y309" i="48" s="1"/>
  <c r="X310" i="48"/>
  <c r="Y310" i="48" s="1"/>
  <c r="X311" i="48"/>
  <c r="X312" i="48"/>
  <c r="X313" i="48"/>
  <c r="Y313" i="48" s="1"/>
  <c r="X314" i="48"/>
  <c r="X14" i="48"/>
  <c r="Y15" i="48"/>
  <c r="Y16" i="48"/>
  <c r="Y17" i="48"/>
  <c r="Y18" i="48"/>
  <c r="Y23" i="48"/>
  <c r="Y24" i="48"/>
  <c r="Y26" i="48"/>
  <c r="Y27" i="48"/>
  <c r="Y31" i="48"/>
  <c r="Y32" i="48"/>
  <c r="Y34" i="48"/>
  <c r="Y39" i="48"/>
  <c r="Y40" i="48"/>
  <c r="Y41" i="48"/>
  <c r="Y42" i="48"/>
  <c r="Y47" i="48"/>
  <c r="Y48" i="48"/>
  <c r="Y51" i="48"/>
  <c r="Y55" i="48"/>
  <c r="Y56" i="48"/>
  <c r="Y57" i="48"/>
  <c r="Y58" i="48"/>
  <c r="Y63" i="48"/>
  <c r="Y64" i="48"/>
  <c r="Y65" i="48"/>
  <c r="Y66" i="48"/>
  <c r="Y71" i="48"/>
  <c r="Y72" i="48"/>
  <c r="Y73" i="48"/>
  <c r="Y74" i="48"/>
  <c r="Y75" i="48"/>
  <c r="Y79" i="48"/>
  <c r="Y80" i="48"/>
  <c r="Y81" i="48"/>
  <c r="Y82" i="48"/>
  <c r="Y87" i="48"/>
  <c r="Y88" i="48"/>
  <c r="Y90" i="48"/>
  <c r="Y91" i="48"/>
  <c r="Y93" i="48"/>
  <c r="Y95" i="48"/>
  <c r="Y96" i="48"/>
  <c r="Y97" i="48"/>
  <c r="Y98" i="48"/>
  <c r="Y103" i="48"/>
  <c r="Y104" i="48"/>
  <c r="Y105" i="48"/>
  <c r="Y106" i="48"/>
  <c r="Y111" i="48"/>
  <c r="Y112" i="48"/>
  <c r="Y114" i="48"/>
  <c r="Y119" i="48"/>
  <c r="Y120" i="48"/>
  <c r="Y122" i="48"/>
  <c r="Y127" i="48"/>
  <c r="Y128" i="48"/>
  <c r="Y129" i="48"/>
  <c r="Y130" i="48"/>
  <c r="Y135" i="48"/>
  <c r="Y136" i="48"/>
  <c r="Y138" i="48"/>
  <c r="Y139" i="48"/>
  <c r="Y143" i="48"/>
  <c r="Y144" i="48"/>
  <c r="Y146" i="48"/>
  <c r="Y151" i="48"/>
  <c r="Y152" i="48"/>
  <c r="Y153" i="48"/>
  <c r="Y154" i="48"/>
  <c r="Y159" i="48"/>
  <c r="Y160" i="48"/>
  <c r="Y162" i="48"/>
  <c r="Y167" i="48"/>
  <c r="Y168" i="48"/>
  <c r="Y170" i="48"/>
  <c r="Y171" i="48"/>
  <c r="Y175" i="48"/>
  <c r="Y176" i="48"/>
  <c r="Y177" i="48"/>
  <c r="Y178" i="48"/>
  <c r="Y183" i="48"/>
  <c r="Y184" i="48"/>
  <c r="Y186" i="48"/>
  <c r="Y187" i="48"/>
  <c r="Y191" i="48"/>
  <c r="Y192" i="48"/>
  <c r="Y193" i="48"/>
  <c r="Y194" i="48"/>
  <c r="Y199" i="48"/>
  <c r="Y200" i="48"/>
  <c r="Y202" i="48"/>
  <c r="Y207" i="48"/>
  <c r="Y208" i="48"/>
  <c r="Y210" i="48"/>
  <c r="Y215" i="48"/>
  <c r="Y216" i="48"/>
  <c r="Y217" i="48"/>
  <c r="Y218" i="48"/>
  <c r="Y221" i="48"/>
  <c r="Y223" i="48"/>
  <c r="Y224" i="48"/>
  <c r="Y225" i="48"/>
  <c r="Y226" i="48"/>
  <c r="Y231" i="48"/>
  <c r="Y232" i="48"/>
  <c r="Y233" i="48"/>
  <c r="Y234" i="48"/>
  <c r="Y239" i="48"/>
  <c r="Y240" i="48"/>
  <c r="Y242" i="48"/>
  <c r="Y247" i="48"/>
  <c r="Y248" i="48"/>
  <c r="Y249" i="48"/>
  <c r="Y250" i="48"/>
  <c r="Y256" i="48"/>
  <c r="Y257" i="48"/>
  <c r="Y258" i="48"/>
  <c r="Y263" i="48"/>
  <c r="Y264" i="48"/>
  <c r="Y265" i="48"/>
  <c r="Y266" i="48"/>
  <c r="Y271" i="48"/>
  <c r="Y272" i="48"/>
  <c r="Y279" i="48"/>
  <c r="Y280" i="48"/>
  <c r="Y282" i="48"/>
  <c r="Y283" i="48"/>
  <c r="Y287" i="48"/>
  <c r="Y288" i="48"/>
  <c r="Y289" i="48"/>
  <c r="Y290" i="48"/>
  <c r="Y295" i="48"/>
  <c r="Y296" i="48"/>
  <c r="Y298" i="48"/>
  <c r="Y299" i="48"/>
  <c r="Y303" i="48"/>
  <c r="Y304" i="48"/>
  <c r="Y305" i="48"/>
  <c r="Y306" i="48"/>
  <c r="Y311" i="48"/>
  <c r="Y312" i="48"/>
  <c r="Y314" i="48"/>
  <c r="I51" i="46"/>
  <c r="I34" i="46" s="1"/>
  <c r="I130" i="47"/>
  <c r="I129" i="47" s="1"/>
  <c r="Y129" i="47" s="1"/>
  <c r="I255" i="48"/>
  <c r="Y255" i="48" s="1"/>
  <c r="H209" i="31"/>
  <c r="I712" i="42"/>
  <c r="I711" i="42"/>
  <c r="H711" i="42"/>
  <c r="X159" i="42"/>
  <c r="I622" i="42"/>
  <c r="K717" i="37"/>
  <c r="K716" i="37"/>
  <c r="H716" i="37"/>
  <c r="K627" i="37"/>
  <c r="T209" i="31"/>
  <c r="T205" i="31"/>
  <c r="F220" i="31"/>
  <c r="L206" i="31"/>
  <c r="L216" i="31"/>
  <c r="T163" i="31"/>
  <c r="T164" i="31"/>
  <c r="T165" i="31"/>
  <c r="T166" i="31"/>
  <c r="T167" i="31"/>
  <c r="T168" i="31"/>
  <c r="T169" i="31"/>
  <c r="T170" i="31"/>
  <c r="T171" i="31"/>
  <c r="T172" i="31"/>
  <c r="T173" i="31"/>
  <c r="T174" i="31"/>
  <c r="T175" i="31"/>
  <c r="T176" i="31"/>
  <c r="T177" i="31"/>
  <c r="T178" i="31"/>
  <c r="T179" i="31"/>
  <c r="T180" i="31"/>
  <c r="T181" i="31"/>
  <c r="T182" i="31"/>
  <c r="T183" i="31"/>
  <c r="T184" i="31"/>
  <c r="T185" i="31"/>
  <c r="T186" i="31"/>
  <c r="T187" i="31"/>
  <c r="T188" i="31"/>
  <c r="T189" i="31"/>
  <c r="T190" i="31"/>
  <c r="T191" i="31"/>
  <c r="T192" i="31"/>
  <c r="T193" i="31"/>
  <c r="T194" i="31"/>
  <c r="T195" i="31"/>
  <c r="T196" i="31"/>
  <c r="T197" i="31"/>
  <c r="T198" i="31"/>
  <c r="T199" i="31"/>
  <c r="T200" i="31"/>
  <c r="T201" i="31"/>
  <c r="T202" i="31"/>
  <c r="T203" i="31"/>
  <c r="T204" i="31"/>
  <c r="T207" i="31"/>
  <c r="T208" i="31"/>
  <c r="T210" i="31"/>
  <c r="T211" i="31"/>
  <c r="T212" i="31"/>
  <c r="T213" i="31"/>
  <c r="T214" i="31"/>
  <c r="T215" i="31"/>
  <c r="T217" i="31"/>
  <c r="T162" i="31"/>
  <c r="T218" i="31"/>
  <c r="F2489" i="28"/>
  <c r="F2485" i="28"/>
  <c r="I13" i="47"/>
  <c r="I274" i="48"/>
  <c r="Y274" i="48" s="1"/>
  <c r="I13" i="48"/>
  <c r="I320" i="47"/>
  <c r="Y320" i="47" s="1"/>
  <c r="I71" i="46"/>
  <c r="I13" i="46"/>
  <c r="I92" i="45"/>
  <c r="Y92" i="45" s="1"/>
  <c r="I13" i="45"/>
  <c r="I74" i="45"/>
  <c r="I153" i="44"/>
  <c r="I13" i="44"/>
  <c r="I146" i="44"/>
  <c r="X625" i="42"/>
  <c r="Y60" i="42"/>
  <c r="Y61" i="42"/>
  <c r="Y593" i="42"/>
  <c r="Y645" i="42"/>
  <c r="F205" i="31"/>
  <c r="H205" i="31"/>
  <c r="X44" i="42"/>
  <c r="X45" i="42"/>
  <c r="X46" i="42"/>
  <c r="X47" i="42"/>
  <c r="X48" i="42"/>
  <c r="Y48" i="42" s="1"/>
  <c r="X49" i="42"/>
  <c r="Y49" i="42" s="1"/>
  <c r="X50" i="42"/>
  <c r="X51" i="42"/>
  <c r="X43" i="42"/>
  <c r="N114" i="42"/>
  <c r="O114" i="42" s="1"/>
  <c r="W681" i="42"/>
  <c r="V681" i="42"/>
  <c r="U681" i="42"/>
  <c r="T681" i="42"/>
  <c r="S681" i="42"/>
  <c r="R681" i="42"/>
  <c r="Q681" i="42"/>
  <c r="P681" i="42"/>
  <c r="O681" i="42"/>
  <c r="N681" i="42"/>
  <c r="M681" i="42"/>
  <c r="L681" i="42"/>
  <c r="X164" i="42"/>
  <c r="J87" i="27"/>
  <c r="X84" i="42"/>
  <c r="J164" i="42"/>
  <c r="J165" i="42"/>
  <c r="J168" i="42"/>
  <c r="J169" i="42"/>
  <c r="J170" i="42"/>
  <c r="J171" i="42"/>
  <c r="J162" i="42"/>
  <c r="I168" i="42"/>
  <c r="H175" i="37"/>
  <c r="H170" i="42" s="1"/>
  <c r="X103" i="42"/>
  <c r="Y74" i="45" l="1"/>
  <c r="Y130" i="47"/>
  <c r="I50" i="48"/>
  <c r="Y50" i="48" s="1"/>
  <c r="X149" i="42"/>
  <c r="L100" i="42"/>
  <c r="X553" i="42"/>
  <c r="X528" i="42"/>
  <c r="X368" i="42"/>
  <c r="X202" i="42"/>
  <c r="X145" i="42"/>
  <c r="X52" i="42"/>
  <c r="X53" i="42"/>
  <c r="Y53" i="42" s="1"/>
  <c r="X54" i="42"/>
  <c r="Y54" i="42" s="1"/>
  <c r="X55" i="42"/>
  <c r="X56" i="42"/>
  <c r="X57" i="42"/>
  <c r="X58" i="42"/>
  <c r="X62" i="42"/>
  <c r="X63" i="42"/>
  <c r="X64" i="42"/>
  <c r="X65" i="42"/>
  <c r="X66" i="42"/>
  <c r="X67" i="42"/>
  <c r="X68" i="42"/>
  <c r="X69" i="42"/>
  <c r="X70" i="42"/>
  <c r="X71" i="42"/>
  <c r="X72" i="42"/>
  <c r="X73" i="42"/>
  <c r="Y73" i="42" s="1"/>
  <c r="X74" i="42"/>
  <c r="X75" i="42"/>
  <c r="Y75" i="42" s="1"/>
  <c r="X77" i="42"/>
  <c r="Y77" i="42" s="1"/>
  <c r="X78" i="42"/>
  <c r="X79" i="42"/>
  <c r="X80" i="42"/>
  <c r="X81" i="42"/>
  <c r="X82" i="42"/>
  <c r="X83" i="42"/>
  <c r="X85" i="42"/>
  <c r="X86" i="42"/>
  <c r="Y86" i="42" s="1"/>
  <c r="X87" i="42"/>
  <c r="X89" i="42"/>
  <c r="X90" i="42"/>
  <c r="X91" i="42"/>
  <c r="Y91" i="42" s="1"/>
  <c r="X92" i="42"/>
  <c r="Y92" i="42" s="1"/>
  <c r="X94" i="42"/>
  <c r="X95" i="42"/>
  <c r="X96" i="42"/>
  <c r="Y96" i="42" s="1"/>
  <c r="X97" i="42"/>
  <c r="Y97" i="42" s="1"/>
  <c r="X98" i="42"/>
  <c r="X101" i="42"/>
  <c r="Y101" i="42" s="1"/>
  <c r="X102" i="42"/>
  <c r="X104" i="42"/>
  <c r="X105" i="42"/>
  <c r="X106" i="42"/>
  <c r="X107" i="42"/>
  <c r="X108" i="42"/>
  <c r="Y108" i="42" s="1"/>
  <c r="X109" i="42"/>
  <c r="Y109" i="42" s="1"/>
  <c r="X110" i="42"/>
  <c r="X111" i="42"/>
  <c r="X112" i="42"/>
  <c r="X113" i="42"/>
  <c r="X114" i="42"/>
  <c r="Y114" i="42" s="1"/>
  <c r="X115" i="42"/>
  <c r="Y115" i="42" s="1"/>
  <c r="X116" i="42"/>
  <c r="X117" i="42"/>
  <c r="X118" i="42"/>
  <c r="X120" i="42"/>
  <c r="Y120" i="42" s="1"/>
  <c r="X121" i="42"/>
  <c r="Y121" i="42" s="1"/>
  <c r="X122" i="42"/>
  <c r="X123" i="42"/>
  <c r="X124" i="42"/>
  <c r="X125" i="42"/>
  <c r="Y125" i="42" s="1"/>
  <c r="X126" i="42"/>
  <c r="Y126" i="42" s="1"/>
  <c r="X127" i="42"/>
  <c r="X128" i="42"/>
  <c r="X129" i="42"/>
  <c r="X130" i="42"/>
  <c r="X131" i="42"/>
  <c r="X132" i="42"/>
  <c r="X133" i="42"/>
  <c r="Y133" i="42" s="1"/>
  <c r="X134" i="42"/>
  <c r="Y134" i="42" s="1"/>
  <c r="X135" i="42"/>
  <c r="X136" i="42"/>
  <c r="X137" i="42"/>
  <c r="X138" i="42"/>
  <c r="Y138" i="42" s="1"/>
  <c r="X139" i="42"/>
  <c r="Y139" i="42" s="1"/>
  <c r="X140" i="42"/>
  <c r="X141" i="42"/>
  <c r="X142" i="42"/>
  <c r="X143" i="42"/>
  <c r="Y143" i="42" s="1"/>
  <c r="X144" i="42"/>
  <c r="Y144" i="42" s="1"/>
  <c r="X146" i="42"/>
  <c r="X147" i="42"/>
  <c r="Y147" i="42" s="1"/>
  <c r="X148" i="42"/>
  <c r="Y148" i="42" s="1"/>
  <c r="X150" i="42"/>
  <c r="X151" i="42"/>
  <c r="Y151" i="42" s="1"/>
  <c r="X152" i="42"/>
  <c r="Y152" i="42" s="1"/>
  <c r="X153" i="42"/>
  <c r="X154" i="42"/>
  <c r="X155" i="42"/>
  <c r="Y155" i="42" s="1"/>
  <c r="X156" i="42"/>
  <c r="Y156" i="42" s="1"/>
  <c r="X157" i="42"/>
  <c r="X158" i="42"/>
  <c r="Y158" i="42" s="1"/>
  <c r="X160" i="42"/>
  <c r="Y160" i="42" s="1"/>
  <c r="X161" i="42"/>
  <c r="Y161" i="42" s="1"/>
  <c r="X162" i="42"/>
  <c r="X163" i="42"/>
  <c r="Y163" i="42" s="1"/>
  <c r="X165" i="42"/>
  <c r="X166" i="42"/>
  <c r="X167" i="42"/>
  <c r="X168" i="42"/>
  <c r="Y168" i="42" s="1"/>
  <c r="X169" i="42"/>
  <c r="X170" i="42"/>
  <c r="X171" i="42"/>
  <c r="X172" i="42"/>
  <c r="X173" i="42"/>
  <c r="Y173" i="42" s="1"/>
  <c r="X174" i="42"/>
  <c r="Y174" i="42" s="1"/>
  <c r="X175" i="42"/>
  <c r="X176" i="42"/>
  <c r="X177" i="42"/>
  <c r="X178" i="42"/>
  <c r="X179" i="42"/>
  <c r="Y179" i="42" s="1"/>
  <c r="X180" i="42"/>
  <c r="Y180" i="42" s="1"/>
  <c r="X181" i="42"/>
  <c r="X182" i="42"/>
  <c r="X183" i="42"/>
  <c r="X184" i="42"/>
  <c r="X185" i="42"/>
  <c r="Y185" i="42" s="1"/>
  <c r="X186" i="42"/>
  <c r="Y186" i="42" s="1"/>
  <c r="X187" i="42"/>
  <c r="X188" i="42"/>
  <c r="X189" i="42"/>
  <c r="X190" i="42"/>
  <c r="X191" i="42"/>
  <c r="Y191" i="42" s="1"/>
  <c r="X192" i="42"/>
  <c r="Y192" i="42" s="1"/>
  <c r="X193" i="42"/>
  <c r="X194" i="42"/>
  <c r="X195" i="42"/>
  <c r="X196" i="42"/>
  <c r="X197" i="42"/>
  <c r="Y197" i="42" s="1"/>
  <c r="X198" i="42"/>
  <c r="Y198" i="42" s="1"/>
  <c r="X199" i="42"/>
  <c r="X200" i="42"/>
  <c r="X201" i="42"/>
  <c r="X203" i="42"/>
  <c r="Y203" i="42" s="1"/>
  <c r="X204" i="42"/>
  <c r="Y204" i="42" s="1"/>
  <c r="X205" i="42"/>
  <c r="X206" i="42"/>
  <c r="X207" i="42"/>
  <c r="X208" i="42"/>
  <c r="X209" i="42"/>
  <c r="Y209" i="42" s="1"/>
  <c r="X210" i="42"/>
  <c r="Y210" i="42" s="1"/>
  <c r="X211" i="42"/>
  <c r="X212" i="42"/>
  <c r="X213" i="42"/>
  <c r="Y213" i="42" s="1"/>
  <c r="X214" i="42"/>
  <c r="X215" i="42"/>
  <c r="Y215" i="42" s="1"/>
  <c r="X216" i="42"/>
  <c r="Y216" i="42" s="1"/>
  <c r="X217" i="42"/>
  <c r="Y217" i="42" s="1"/>
  <c r="X218" i="42"/>
  <c r="X219" i="42"/>
  <c r="Y219" i="42" s="1"/>
  <c r="X220" i="42"/>
  <c r="X221" i="42"/>
  <c r="X222" i="42"/>
  <c r="Y222" i="42" s="1"/>
  <c r="X223" i="42"/>
  <c r="Y223" i="42" s="1"/>
  <c r="X224" i="42"/>
  <c r="X225" i="42"/>
  <c r="Y225" i="42" s="1"/>
  <c r="X226" i="42"/>
  <c r="X227" i="42"/>
  <c r="X228" i="42"/>
  <c r="Y228" i="42" s="1"/>
  <c r="X229" i="42"/>
  <c r="Y229" i="42" s="1"/>
  <c r="X230" i="42"/>
  <c r="X231" i="42"/>
  <c r="X232" i="42"/>
  <c r="Y232" i="42" s="1"/>
  <c r="X233" i="42"/>
  <c r="X234" i="42"/>
  <c r="Y234" i="42" s="1"/>
  <c r="X235" i="42"/>
  <c r="X236" i="42"/>
  <c r="Y236" i="42" s="1"/>
  <c r="X237" i="42"/>
  <c r="Y237" i="42" s="1"/>
  <c r="X238" i="42"/>
  <c r="X239" i="42"/>
  <c r="X240" i="42"/>
  <c r="X241" i="42"/>
  <c r="Y241" i="42" s="1"/>
  <c r="X242" i="42"/>
  <c r="X243" i="42"/>
  <c r="Y243" i="42" s="1"/>
  <c r="X244" i="42"/>
  <c r="X245" i="42"/>
  <c r="X246" i="42"/>
  <c r="Y246" i="42" s="1"/>
  <c r="X247" i="42"/>
  <c r="Y247" i="42" s="1"/>
  <c r="X248" i="42"/>
  <c r="X249" i="42"/>
  <c r="X250" i="42"/>
  <c r="X251" i="42"/>
  <c r="Y251" i="42" s="1"/>
  <c r="X252" i="42"/>
  <c r="X253" i="42"/>
  <c r="Y253" i="42" s="1"/>
  <c r="X254" i="42"/>
  <c r="X255" i="42"/>
  <c r="X256" i="42"/>
  <c r="Y256" i="42" s="1"/>
  <c r="X257" i="42"/>
  <c r="Y257" i="42" s="1"/>
  <c r="X258" i="42"/>
  <c r="X259" i="42"/>
  <c r="X260" i="42"/>
  <c r="X261" i="42"/>
  <c r="Y261" i="42" s="1"/>
  <c r="X262" i="42"/>
  <c r="X263" i="42"/>
  <c r="Y263" i="42" s="1"/>
  <c r="X264" i="42"/>
  <c r="X265" i="42"/>
  <c r="X266" i="42"/>
  <c r="Y266" i="42" s="1"/>
  <c r="X267" i="42"/>
  <c r="Y267" i="42" s="1"/>
  <c r="X268" i="42"/>
  <c r="X269" i="42"/>
  <c r="X270" i="42"/>
  <c r="Y270" i="42" s="1"/>
  <c r="X271" i="42"/>
  <c r="X272" i="42"/>
  <c r="X273" i="42"/>
  <c r="Y273" i="42" s="1"/>
  <c r="X274" i="42"/>
  <c r="Y274" i="42" s="1"/>
  <c r="X275" i="42"/>
  <c r="X276" i="42"/>
  <c r="X277" i="42"/>
  <c r="X278" i="42"/>
  <c r="Y278" i="42" s="1"/>
  <c r="X279" i="42"/>
  <c r="Y279" i="42" s="1"/>
  <c r="X280" i="42"/>
  <c r="X281" i="42"/>
  <c r="X282" i="42"/>
  <c r="X283" i="42"/>
  <c r="Y283" i="42" s="1"/>
  <c r="X284" i="42"/>
  <c r="Y284" i="42" s="1"/>
  <c r="X285" i="42"/>
  <c r="X286" i="42"/>
  <c r="X287" i="42"/>
  <c r="Y287" i="42" s="1"/>
  <c r="X288" i="42"/>
  <c r="Y288" i="42" s="1"/>
  <c r="X289" i="42"/>
  <c r="X290" i="42"/>
  <c r="X291" i="42"/>
  <c r="Y291" i="42" s="1"/>
  <c r="X292" i="42"/>
  <c r="X293" i="42"/>
  <c r="Y293" i="42" s="1"/>
  <c r="X294" i="42"/>
  <c r="Y294" i="42" s="1"/>
  <c r="X295" i="42"/>
  <c r="X296" i="42"/>
  <c r="X297" i="42"/>
  <c r="X298" i="42"/>
  <c r="X299" i="42"/>
  <c r="X300" i="42"/>
  <c r="X301" i="42"/>
  <c r="X302" i="42"/>
  <c r="X303" i="42"/>
  <c r="X304" i="42"/>
  <c r="X305" i="42"/>
  <c r="Y305" i="42" s="1"/>
  <c r="X306" i="42"/>
  <c r="X307" i="42"/>
  <c r="Y307" i="42" s="1"/>
  <c r="X308" i="42"/>
  <c r="X309" i="42"/>
  <c r="X310" i="42"/>
  <c r="X311" i="42"/>
  <c r="Y311" i="42" s="1"/>
  <c r="X312" i="42"/>
  <c r="X313" i="42"/>
  <c r="X314" i="42"/>
  <c r="Y314" i="42" s="1"/>
  <c r="X315" i="42"/>
  <c r="Y315" i="42" s="1"/>
  <c r="X316" i="42"/>
  <c r="X317" i="42"/>
  <c r="X318" i="42"/>
  <c r="Y318" i="42" s="1"/>
  <c r="X319" i="42"/>
  <c r="Y319" i="42" s="1"/>
  <c r="X320" i="42"/>
  <c r="X321" i="42"/>
  <c r="X322" i="42"/>
  <c r="X323" i="42"/>
  <c r="Y323" i="42" s="1"/>
  <c r="X324" i="42"/>
  <c r="X325" i="42"/>
  <c r="Y325" i="42" s="1"/>
  <c r="X326" i="42"/>
  <c r="X327" i="42"/>
  <c r="X328" i="42"/>
  <c r="Y328" i="42" s="1"/>
  <c r="X329" i="42"/>
  <c r="Y329" i="42" s="1"/>
  <c r="X330" i="42"/>
  <c r="X331" i="42"/>
  <c r="Y331" i="42" s="1"/>
  <c r="X332" i="42"/>
  <c r="X333" i="42"/>
  <c r="Y333" i="42" s="1"/>
  <c r="X334" i="42"/>
  <c r="X335" i="42"/>
  <c r="Y335" i="42" s="1"/>
  <c r="X336" i="42"/>
  <c r="Y336" i="42" s="1"/>
  <c r="X337" i="42"/>
  <c r="X338" i="42"/>
  <c r="X339" i="42"/>
  <c r="X340" i="42"/>
  <c r="X341" i="42"/>
  <c r="X342" i="42"/>
  <c r="X343" i="42"/>
  <c r="Y343" i="42" s="1"/>
  <c r="X344" i="42"/>
  <c r="X345" i="42"/>
  <c r="X346" i="42"/>
  <c r="Y346" i="42" s="1"/>
  <c r="X347" i="42"/>
  <c r="Y347" i="42" s="1"/>
  <c r="X348" i="42"/>
  <c r="X349" i="42"/>
  <c r="X350" i="42"/>
  <c r="X351" i="42"/>
  <c r="Y351" i="42" s="1"/>
  <c r="X352" i="42"/>
  <c r="X353" i="42"/>
  <c r="X354" i="42"/>
  <c r="Y354" i="42" s="1"/>
  <c r="X355" i="42"/>
  <c r="Y355" i="42" s="1"/>
  <c r="X356" i="42"/>
  <c r="X357" i="42"/>
  <c r="X358" i="42"/>
  <c r="Y358" i="42" s="1"/>
  <c r="X359" i="42"/>
  <c r="X360" i="42"/>
  <c r="X361" i="42"/>
  <c r="Y361" i="42" s="1"/>
  <c r="X362" i="42"/>
  <c r="Y362" i="42" s="1"/>
  <c r="X363" i="42"/>
  <c r="X364" i="42"/>
  <c r="X365" i="42"/>
  <c r="X366" i="42"/>
  <c r="X367" i="42"/>
  <c r="Y367" i="42" s="1"/>
  <c r="X369" i="42"/>
  <c r="X370" i="42"/>
  <c r="Y370" i="42" s="1"/>
  <c r="X371" i="42"/>
  <c r="Y371" i="42" s="1"/>
  <c r="X372" i="42"/>
  <c r="X373" i="42"/>
  <c r="X374" i="42"/>
  <c r="X375" i="42"/>
  <c r="X376" i="42"/>
  <c r="Y376" i="42" s="1"/>
  <c r="X377" i="42"/>
  <c r="X378" i="42"/>
  <c r="X379" i="42"/>
  <c r="Y379" i="42" s="1"/>
  <c r="X380" i="42"/>
  <c r="Y380" i="42" s="1"/>
  <c r="X381" i="42"/>
  <c r="X382" i="42"/>
  <c r="X383" i="42"/>
  <c r="Y383" i="42" s="1"/>
  <c r="X384" i="42"/>
  <c r="X385" i="42"/>
  <c r="Y385" i="42" s="1"/>
  <c r="X386" i="42"/>
  <c r="Y386" i="42" s="1"/>
  <c r="X387" i="42"/>
  <c r="Y387" i="42" s="1"/>
  <c r="X388" i="42"/>
  <c r="X389" i="42"/>
  <c r="X390" i="42"/>
  <c r="X391" i="42"/>
  <c r="Y391" i="42" s="1"/>
  <c r="X392" i="42"/>
  <c r="Y392" i="42" s="1"/>
  <c r="X393" i="42"/>
  <c r="X394" i="42"/>
  <c r="X395" i="42"/>
  <c r="Y395" i="42" s="1"/>
  <c r="X396" i="42"/>
  <c r="X397" i="42"/>
  <c r="X398" i="42"/>
  <c r="Y398" i="42" s="1"/>
  <c r="X399" i="42"/>
  <c r="X400" i="42"/>
  <c r="X401" i="42"/>
  <c r="Y401" i="42" s="1"/>
  <c r="X402" i="42"/>
  <c r="Y402" i="42" s="1"/>
  <c r="X403" i="42"/>
  <c r="X404" i="42"/>
  <c r="X405" i="42"/>
  <c r="Y405" i="42" s="1"/>
  <c r="X406" i="42"/>
  <c r="X407" i="42"/>
  <c r="X408" i="42"/>
  <c r="X409" i="42"/>
  <c r="Y409" i="42" s="1"/>
  <c r="X410" i="42"/>
  <c r="X411" i="42"/>
  <c r="X412" i="42"/>
  <c r="X413" i="42"/>
  <c r="Y413" i="42" s="1"/>
  <c r="X414" i="42"/>
  <c r="Y414" i="42" s="1"/>
  <c r="X415" i="42"/>
  <c r="X416" i="42"/>
  <c r="X417" i="42"/>
  <c r="Y417" i="42" s="1"/>
  <c r="X418" i="42"/>
  <c r="X419" i="42"/>
  <c r="Y419" i="42" s="1"/>
  <c r="X420" i="42"/>
  <c r="X421" i="42"/>
  <c r="X422" i="42"/>
  <c r="X423" i="42"/>
  <c r="Y423" i="42" s="1"/>
  <c r="X424" i="42"/>
  <c r="X425" i="42"/>
  <c r="X426" i="42"/>
  <c r="Y426" i="42" s="1"/>
  <c r="X427" i="42"/>
  <c r="X428" i="42"/>
  <c r="X429" i="42"/>
  <c r="Y429" i="42" s="1"/>
  <c r="X430" i="42"/>
  <c r="Y430" i="42" s="1"/>
  <c r="X431" i="42"/>
  <c r="X432" i="42"/>
  <c r="X433" i="42"/>
  <c r="X434" i="42"/>
  <c r="X435" i="42"/>
  <c r="Y435" i="42" s="1"/>
  <c r="X436" i="42"/>
  <c r="X437" i="42"/>
  <c r="Y437" i="42" s="1"/>
  <c r="X438" i="42"/>
  <c r="X439" i="42"/>
  <c r="X440" i="42"/>
  <c r="Y440" i="42" s="1"/>
  <c r="X441" i="42"/>
  <c r="X442" i="42"/>
  <c r="X443" i="42"/>
  <c r="Y443" i="42" s="1"/>
  <c r="X444" i="42"/>
  <c r="Y444" i="42" s="1"/>
  <c r="X445" i="42"/>
  <c r="X446" i="42"/>
  <c r="X447" i="42"/>
  <c r="X448" i="42"/>
  <c r="Y448" i="42" s="1"/>
  <c r="X449" i="42"/>
  <c r="X450" i="42"/>
  <c r="X451" i="42"/>
  <c r="Y451" i="42" s="1"/>
  <c r="X452" i="42"/>
  <c r="Y452" i="42" s="1"/>
  <c r="X453" i="42"/>
  <c r="X454" i="42"/>
  <c r="X455" i="42"/>
  <c r="Y455" i="42" s="1"/>
  <c r="X456" i="42"/>
  <c r="X457" i="42"/>
  <c r="X458" i="42"/>
  <c r="X459" i="42"/>
  <c r="Y459" i="42" s="1"/>
  <c r="X460" i="42"/>
  <c r="Y460" i="42" s="1"/>
  <c r="X461" i="42"/>
  <c r="X462" i="42"/>
  <c r="X463" i="42"/>
  <c r="Y463" i="42" s="1"/>
  <c r="X464" i="42"/>
  <c r="Y464" i="42" s="1"/>
  <c r="X465" i="42"/>
  <c r="X466" i="42"/>
  <c r="X467" i="42"/>
  <c r="X468" i="42"/>
  <c r="X469" i="42"/>
  <c r="Y469" i="42" s="1"/>
  <c r="X470" i="42"/>
  <c r="X471" i="42"/>
  <c r="X472" i="42"/>
  <c r="Y472" i="42" s="1"/>
  <c r="X473" i="42"/>
  <c r="Y473" i="42" s="1"/>
  <c r="X474" i="42"/>
  <c r="X475" i="42"/>
  <c r="X476" i="42"/>
  <c r="X477" i="42"/>
  <c r="Y477" i="42" s="1"/>
  <c r="X478" i="42"/>
  <c r="X479" i="42"/>
  <c r="X480" i="42"/>
  <c r="Y480" i="42" s="1"/>
  <c r="X481" i="42"/>
  <c r="Y481" i="42" s="1"/>
  <c r="X482" i="42"/>
  <c r="X483" i="42"/>
  <c r="X484" i="42"/>
  <c r="X485" i="42"/>
  <c r="Y485" i="42" s="1"/>
  <c r="X486" i="42"/>
  <c r="X487" i="42"/>
  <c r="Y487" i="42" s="1"/>
  <c r="X488" i="42"/>
  <c r="X489" i="42"/>
  <c r="X490" i="42"/>
  <c r="X491" i="42"/>
  <c r="Y491" i="42" s="1"/>
  <c r="X492" i="42"/>
  <c r="X493" i="42"/>
  <c r="X494" i="42"/>
  <c r="Y494" i="42" s="1"/>
  <c r="X495" i="42"/>
  <c r="X496" i="42"/>
  <c r="X497" i="42"/>
  <c r="Y497" i="42" s="1"/>
  <c r="X498" i="42"/>
  <c r="Y498" i="42" s="1"/>
  <c r="X499" i="42"/>
  <c r="X500" i="42"/>
  <c r="X501" i="42"/>
  <c r="Y501" i="42" s="1"/>
  <c r="X502" i="42"/>
  <c r="X503" i="42"/>
  <c r="X504" i="42"/>
  <c r="Y504" i="42" s="1"/>
  <c r="X505" i="42"/>
  <c r="X506" i="42"/>
  <c r="X507" i="42"/>
  <c r="Y507" i="42" s="1"/>
  <c r="X508" i="42"/>
  <c r="Y508" i="42" s="1"/>
  <c r="X509" i="42"/>
  <c r="Y509" i="42" s="1"/>
  <c r="X510" i="42"/>
  <c r="X511" i="42"/>
  <c r="X512" i="42"/>
  <c r="Y512" i="42" s="1"/>
  <c r="X513" i="42"/>
  <c r="Y513" i="42" s="1"/>
  <c r="X514" i="42"/>
  <c r="Y514" i="42" s="1"/>
  <c r="X515" i="42"/>
  <c r="X516" i="42"/>
  <c r="X517" i="42"/>
  <c r="Y517" i="42" s="1"/>
  <c r="X518" i="42"/>
  <c r="X519" i="42"/>
  <c r="X520" i="42"/>
  <c r="Y520" i="42" s="1"/>
  <c r="X521" i="42"/>
  <c r="X522" i="42"/>
  <c r="X523" i="42"/>
  <c r="Y523" i="42" s="1"/>
  <c r="X524" i="42"/>
  <c r="Y524" i="42" s="1"/>
  <c r="X525" i="42"/>
  <c r="X526" i="42"/>
  <c r="X527" i="42"/>
  <c r="Y527" i="42" s="1"/>
  <c r="X529" i="42"/>
  <c r="X530" i="42"/>
  <c r="Y530" i="42" s="1"/>
  <c r="X531" i="42"/>
  <c r="Y531" i="42" s="1"/>
  <c r="X532" i="42"/>
  <c r="X533" i="42"/>
  <c r="X534" i="42"/>
  <c r="X535" i="42"/>
  <c r="Y535" i="42" s="1"/>
  <c r="X536" i="42"/>
  <c r="X537" i="42"/>
  <c r="Y537" i="42" s="1"/>
  <c r="X538" i="42"/>
  <c r="X539" i="42"/>
  <c r="Y539" i="42" s="1"/>
  <c r="X540" i="42"/>
  <c r="Y540" i="42" s="1"/>
  <c r="X541" i="42"/>
  <c r="X542" i="42"/>
  <c r="X543" i="42"/>
  <c r="X544" i="42"/>
  <c r="X545" i="42"/>
  <c r="Y545" i="42" s="1"/>
  <c r="X546" i="42"/>
  <c r="Y546" i="42" s="1"/>
  <c r="X547" i="42"/>
  <c r="X548" i="42"/>
  <c r="X549" i="42"/>
  <c r="X550" i="42"/>
  <c r="X552" i="42"/>
  <c r="Y552" i="42" s="1"/>
  <c r="X554" i="42"/>
  <c r="Y554" i="42" s="1"/>
  <c r="X555" i="42"/>
  <c r="X556" i="42"/>
  <c r="Y556" i="42" s="1"/>
  <c r="X557" i="42"/>
  <c r="Y557" i="42" s="1"/>
  <c r="X558" i="42"/>
  <c r="X559" i="42"/>
  <c r="X560" i="42"/>
  <c r="X561" i="42"/>
  <c r="X562" i="42"/>
  <c r="X563" i="42"/>
  <c r="Y563" i="42" s="1"/>
  <c r="X564" i="42"/>
  <c r="X565" i="42"/>
  <c r="X566" i="42"/>
  <c r="Y566" i="42" s="1"/>
  <c r="X567" i="42"/>
  <c r="X568" i="42"/>
  <c r="X569" i="42"/>
  <c r="Y569" i="42" s="1"/>
  <c r="X570" i="42"/>
  <c r="X571" i="42"/>
  <c r="X572" i="42"/>
  <c r="X573" i="42"/>
  <c r="Y573" i="42" s="1"/>
  <c r="X574" i="42"/>
  <c r="Y574" i="42" s="1"/>
  <c r="X575" i="42"/>
  <c r="Y575" i="42" s="1"/>
  <c r="X576" i="42"/>
  <c r="X577" i="42"/>
  <c r="X578" i="42"/>
  <c r="X579" i="42"/>
  <c r="X580" i="42"/>
  <c r="X581" i="42"/>
  <c r="X582" i="42"/>
  <c r="X583" i="42"/>
  <c r="Y583" i="42" s="1"/>
  <c r="X584" i="42"/>
  <c r="Y584" i="42" s="1"/>
  <c r="X585" i="42"/>
  <c r="X586" i="42"/>
  <c r="X587" i="42"/>
  <c r="Y587" i="42" s="1"/>
  <c r="X588" i="42"/>
  <c r="X589" i="42"/>
  <c r="X590" i="42"/>
  <c r="Y590" i="42" s="1"/>
  <c r="X591" i="42"/>
  <c r="X592" i="42"/>
  <c r="X594" i="42"/>
  <c r="Y594" i="42" s="1"/>
  <c r="X595" i="42"/>
  <c r="X596" i="42"/>
  <c r="X597" i="42"/>
  <c r="X598" i="42"/>
  <c r="X599" i="42"/>
  <c r="Y599" i="42" s="1"/>
  <c r="X600" i="42"/>
  <c r="X601" i="42"/>
  <c r="X602" i="42"/>
  <c r="Y602" i="42" s="1"/>
  <c r="X603" i="42"/>
  <c r="Y603" i="42" s="1"/>
  <c r="X604" i="42"/>
  <c r="X605" i="42"/>
  <c r="X606" i="42"/>
  <c r="X607" i="42"/>
  <c r="Y607" i="42" s="1"/>
  <c r="X608" i="42"/>
  <c r="X609" i="42"/>
  <c r="X610" i="42"/>
  <c r="Y610" i="42" s="1"/>
  <c r="X611" i="42"/>
  <c r="X612" i="42"/>
  <c r="X613" i="42"/>
  <c r="Y613" i="42" s="1"/>
  <c r="X614" i="42"/>
  <c r="Y614" i="42" s="1"/>
  <c r="X617" i="42"/>
  <c r="Y617" i="42" s="1"/>
  <c r="X619" i="42"/>
  <c r="X620" i="42"/>
  <c r="Y620" i="42" s="1"/>
  <c r="X621" i="42"/>
  <c r="Y621" i="42" s="1"/>
  <c r="X622" i="42"/>
  <c r="Y622" i="42" s="1"/>
  <c r="X623" i="42"/>
  <c r="X624" i="42"/>
  <c r="Y624" i="42" s="1"/>
  <c r="X626" i="42"/>
  <c r="Y626" i="42" s="1"/>
  <c r="X627" i="42"/>
  <c r="Y627" i="42" s="1"/>
  <c r="X628" i="42"/>
  <c r="X629" i="42"/>
  <c r="X630" i="42"/>
  <c r="X631" i="42"/>
  <c r="Y631" i="42" s="1"/>
  <c r="X632" i="42"/>
  <c r="X633" i="42"/>
  <c r="X634" i="42"/>
  <c r="X635" i="42"/>
  <c r="Y635" i="42" s="1"/>
  <c r="X636" i="42"/>
  <c r="X637" i="42"/>
  <c r="X638" i="42"/>
  <c r="Y638" i="42" s="1"/>
  <c r="X639" i="42"/>
  <c r="X640" i="42"/>
  <c r="Y640" i="42" s="1"/>
  <c r="X641" i="42"/>
  <c r="Y641" i="42" s="1"/>
  <c r="X642" i="42"/>
  <c r="X643" i="42"/>
  <c r="Y643" i="42" s="1"/>
  <c r="X646" i="42"/>
  <c r="Y646" i="42" s="1"/>
  <c r="X647" i="42"/>
  <c r="X648" i="42"/>
  <c r="X649" i="42"/>
  <c r="X650" i="42"/>
  <c r="X651" i="42"/>
  <c r="Y651" i="42" s="1"/>
  <c r="X652" i="42"/>
  <c r="X653" i="42"/>
  <c r="X654" i="42"/>
  <c r="Y654" i="42" s="1"/>
  <c r="X655" i="42"/>
  <c r="X656" i="42"/>
  <c r="X657" i="42"/>
  <c r="Y657" i="42" s="1"/>
  <c r="X658" i="42"/>
  <c r="X659" i="42"/>
  <c r="Y659" i="42" s="1"/>
  <c r="X660" i="42"/>
  <c r="Y660" i="42" s="1"/>
  <c r="X661" i="42"/>
  <c r="X662" i="42"/>
  <c r="Y662" i="42" s="1"/>
  <c r="X663" i="42"/>
  <c r="X664" i="42"/>
  <c r="Y664" i="42" s="1"/>
  <c r="X665" i="42"/>
  <c r="X666" i="42"/>
  <c r="X667" i="42"/>
  <c r="Y667" i="42" s="1"/>
  <c r="X668" i="42"/>
  <c r="Y668" i="42" s="1"/>
  <c r="X669" i="42"/>
  <c r="X670" i="42"/>
  <c r="X671" i="42"/>
  <c r="X672" i="42"/>
  <c r="Y672" i="42" s="1"/>
  <c r="X673" i="42"/>
  <c r="X674" i="42"/>
  <c r="X675" i="42"/>
  <c r="Y675" i="42" s="1"/>
  <c r="X676" i="42"/>
  <c r="Y676" i="42" s="1"/>
  <c r="X677" i="42"/>
  <c r="X678" i="42"/>
  <c r="X679" i="42"/>
  <c r="Y679" i="42" s="1"/>
  <c r="X680" i="42"/>
  <c r="X681" i="42"/>
  <c r="X682" i="42"/>
  <c r="Y682" i="42" s="1"/>
  <c r="X683" i="42"/>
  <c r="X684" i="42"/>
  <c r="X685" i="42"/>
  <c r="Y685" i="42" s="1"/>
  <c r="X686" i="42"/>
  <c r="Y686" i="42" s="1"/>
  <c r="X687" i="42"/>
  <c r="X688" i="42"/>
  <c r="X689" i="42"/>
  <c r="X690" i="42"/>
  <c r="X691" i="42"/>
  <c r="X692" i="42"/>
  <c r="Y692" i="42" s="1"/>
  <c r="X693" i="42"/>
  <c r="X694" i="42"/>
  <c r="Y694" i="42" s="1"/>
  <c r="X695" i="42"/>
  <c r="X696" i="42"/>
  <c r="Y696" i="42" s="1"/>
  <c r="X697" i="42"/>
  <c r="Y697" i="42" s="1"/>
  <c r="X698" i="42"/>
  <c r="X699" i="42"/>
  <c r="X700" i="42"/>
  <c r="X701" i="42"/>
  <c r="X702" i="42"/>
  <c r="Y702" i="42" s="1"/>
  <c r="X703" i="42"/>
  <c r="X704" i="42"/>
  <c r="Y704" i="42" s="1"/>
  <c r="X705" i="42"/>
  <c r="X706" i="42"/>
  <c r="Y706" i="42" s="1"/>
  <c r="X707" i="42"/>
  <c r="X708" i="42"/>
  <c r="Y708" i="42" s="1"/>
  <c r="X709" i="42"/>
  <c r="Y709" i="42" s="1"/>
  <c r="X710" i="42"/>
  <c r="Y710" i="42" s="1"/>
  <c r="X712" i="42"/>
  <c r="X713" i="42"/>
  <c r="X714" i="42"/>
  <c r="Y714" i="42" s="1"/>
  <c r="X715" i="42"/>
  <c r="X716" i="42"/>
  <c r="X717" i="42"/>
  <c r="Y717" i="42" s="1"/>
  <c r="X718" i="42"/>
  <c r="X719" i="42"/>
  <c r="X720" i="42"/>
  <c r="Y720" i="42" s="1"/>
  <c r="X721" i="42"/>
  <c r="Y721" i="42" s="1"/>
  <c r="X722" i="42"/>
  <c r="X723" i="42"/>
  <c r="X724" i="42"/>
  <c r="X725" i="42"/>
  <c r="X726" i="42"/>
  <c r="Y726" i="42" s="1"/>
  <c r="X727" i="42"/>
  <c r="X728" i="42"/>
  <c r="Y728" i="42" s="1"/>
  <c r="X729" i="42"/>
  <c r="X730" i="42"/>
  <c r="X731" i="42"/>
  <c r="Y731" i="42" s="1"/>
  <c r="X732" i="42"/>
  <c r="Y732" i="42" s="1"/>
  <c r="X733" i="42"/>
  <c r="X734" i="42"/>
  <c r="X735" i="42"/>
  <c r="X736" i="42"/>
  <c r="Y736" i="42" s="1"/>
  <c r="X737" i="42"/>
  <c r="X738" i="42"/>
  <c r="X739" i="42"/>
  <c r="Y739" i="42" s="1"/>
  <c r="X740" i="42"/>
  <c r="Y740" i="42" s="1"/>
  <c r="X743" i="42"/>
  <c r="Y743" i="42" s="1"/>
  <c r="X744" i="42"/>
  <c r="X746" i="42"/>
  <c r="Y746" i="42" s="1"/>
  <c r="X748" i="42"/>
  <c r="X749" i="42"/>
  <c r="Y749" i="42" s="1"/>
  <c r="X750" i="42"/>
  <c r="Y750" i="42" s="1"/>
  <c r="X751" i="42"/>
  <c r="X752" i="42"/>
  <c r="X753" i="42"/>
  <c r="X754" i="42"/>
  <c r="X755" i="42"/>
  <c r="Y755" i="42" s="1"/>
  <c r="X756" i="42"/>
  <c r="Y756" i="42" s="1"/>
  <c r="X757" i="42"/>
  <c r="X758" i="42"/>
  <c r="X759" i="42"/>
  <c r="Y759" i="42" s="1"/>
  <c r="X760" i="42"/>
  <c r="Y760" i="42" s="1"/>
  <c r="X761" i="42"/>
  <c r="X762" i="42"/>
  <c r="X763" i="42"/>
  <c r="Y763" i="42" s="1"/>
  <c r="X764" i="42"/>
  <c r="X765" i="42"/>
  <c r="X766" i="42"/>
  <c r="Y766" i="42" s="1"/>
  <c r="X767" i="42"/>
  <c r="Y767" i="42" s="1"/>
  <c r="X768" i="42"/>
  <c r="X769" i="42"/>
  <c r="X770" i="42"/>
  <c r="Y770" i="42" s="1"/>
  <c r="X771" i="42"/>
  <c r="Y771" i="42" s="1"/>
  <c r="X772" i="42"/>
  <c r="X773" i="42"/>
  <c r="X774" i="42"/>
  <c r="Y774" i="42" s="1"/>
  <c r="X775" i="42"/>
  <c r="Y775" i="42" s="1"/>
  <c r="X776" i="42"/>
  <c r="Y776" i="42" s="1"/>
  <c r="X777" i="42"/>
  <c r="X778" i="42"/>
  <c r="Y778" i="42" s="1"/>
  <c r="X779" i="42"/>
  <c r="Y779" i="42" s="1"/>
  <c r="X780" i="42"/>
  <c r="X781" i="42"/>
  <c r="Y781" i="42" s="1"/>
  <c r="X782" i="42"/>
  <c r="Y782" i="42" s="1"/>
  <c r="X783" i="42"/>
  <c r="Y783" i="42" s="1"/>
  <c r="X784" i="42"/>
  <c r="X785" i="42"/>
  <c r="Y785" i="42" s="1"/>
  <c r="X786" i="42"/>
  <c r="Y786" i="42" s="1"/>
  <c r="X787" i="42"/>
  <c r="Y787" i="42" s="1"/>
  <c r="X788" i="42"/>
  <c r="X789" i="42"/>
  <c r="Y789" i="42" s="1"/>
  <c r="X790" i="42"/>
  <c r="X791" i="42"/>
  <c r="Y791" i="42" s="1"/>
  <c r="X792" i="42"/>
  <c r="Y792" i="42" s="1"/>
  <c r="X793" i="42"/>
  <c r="X794" i="42"/>
  <c r="X795" i="42"/>
  <c r="X796" i="42"/>
  <c r="Y796" i="42" s="1"/>
  <c r="X797" i="42"/>
  <c r="X798" i="42"/>
  <c r="Y798" i="42" s="1"/>
  <c r="X799" i="42"/>
  <c r="X800" i="42"/>
  <c r="Y800" i="42" s="1"/>
  <c r="X801" i="42"/>
  <c r="X802" i="42"/>
  <c r="Y802" i="42" s="1"/>
  <c r="X803" i="42"/>
  <c r="Y803" i="42" s="1"/>
  <c r="X804" i="42"/>
  <c r="Y804" i="42" s="1"/>
  <c r="X805" i="42"/>
  <c r="X806" i="42"/>
  <c r="X807" i="42"/>
  <c r="Y807" i="42" s="1"/>
  <c r="X808" i="42"/>
  <c r="X809" i="42"/>
  <c r="X810" i="42"/>
  <c r="Y810" i="42" s="1"/>
  <c r="X811" i="42"/>
  <c r="X812" i="42"/>
  <c r="X813" i="42"/>
  <c r="Y813" i="42" s="1"/>
  <c r="X814" i="42"/>
  <c r="Y814" i="42" s="1"/>
  <c r="X815" i="42"/>
  <c r="X816" i="42"/>
  <c r="X817" i="42"/>
  <c r="Y817" i="42" s="1"/>
  <c r="X818" i="42"/>
  <c r="X819" i="42"/>
  <c r="X820" i="42"/>
  <c r="Y820" i="42" s="1"/>
  <c r="X821" i="42"/>
  <c r="X822" i="42"/>
  <c r="X823" i="42"/>
  <c r="Y823" i="42" s="1"/>
  <c r="X824" i="42"/>
  <c r="Y824" i="42" s="1"/>
  <c r="X825" i="42"/>
  <c r="X826" i="42"/>
  <c r="X827" i="42"/>
  <c r="X828" i="42"/>
  <c r="Y828" i="42" s="1"/>
  <c r="X829" i="42"/>
  <c r="X830" i="42"/>
  <c r="X831" i="42"/>
  <c r="Y831" i="42" s="1"/>
  <c r="X832" i="42"/>
  <c r="Y832" i="42" s="1"/>
  <c r="X833" i="42"/>
  <c r="X834" i="42"/>
  <c r="X835" i="42"/>
  <c r="X836" i="42"/>
  <c r="Y836" i="42" s="1"/>
  <c r="X837" i="42"/>
  <c r="X838" i="42"/>
  <c r="X839" i="42"/>
  <c r="Y839" i="42" s="1"/>
  <c r="X840" i="42"/>
  <c r="Y840" i="42" s="1"/>
  <c r="X841" i="42"/>
  <c r="X842" i="42"/>
  <c r="Y842" i="42" s="1"/>
  <c r="X843" i="42"/>
  <c r="X844" i="42"/>
  <c r="Y844" i="42" s="1"/>
  <c r="X845" i="42"/>
  <c r="Y845" i="42" s="1"/>
  <c r="X846" i="42"/>
  <c r="X847" i="42"/>
  <c r="X848" i="42"/>
  <c r="X849" i="42"/>
  <c r="X850" i="42"/>
  <c r="Y850" i="42" s="1"/>
  <c r="X851" i="42"/>
  <c r="X852" i="42"/>
  <c r="X853" i="42"/>
  <c r="Y853" i="42" s="1"/>
  <c r="X854" i="42"/>
  <c r="Y854" i="42" s="1"/>
  <c r="X855" i="42"/>
  <c r="X856" i="42"/>
  <c r="X857" i="42"/>
  <c r="X858" i="42"/>
  <c r="X859" i="42"/>
  <c r="X860" i="42"/>
  <c r="Y860" i="42" s="1"/>
  <c r="X861" i="42"/>
  <c r="X862" i="42"/>
  <c r="X863" i="42"/>
  <c r="Y863" i="42" s="1"/>
  <c r="X864" i="42"/>
  <c r="Y864" i="42" s="1"/>
  <c r="X865" i="42"/>
  <c r="X866" i="42"/>
  <c r="X867" i="42"/>
  <c r="X868" i="42"/>
  <c r="X869" i="42"/>
  <c r="X870" i="42"/>
  <c r="Y870" i="42" s="1"/>
  <c r="X871" i="42"/>
  <c r="X872" i="42"/>
  <c r="Y872" i="42" s="1"/>
  <c r="X873" i="42"/>
  <c r="X874" i="42"/>
  <c r="X875" i="42"/>
  <c r="Y875" i="42" s="1"/>
  <c r="X876" i="42"/>
  <c r="Y876" i="42" s="1"/>
  <c r="X877" i="42"/>
  <c r="X878" i="42"/>
  <c r="X879" i="42"/>
  <c r="X880" i="42"/>
  <c r="X881" i="42"/>
  <c r="X882" i="42"/>
  <c r="Y882" i="42" s="1"/>
  <c r="X883" i="42"/>
  <c r="X884" i="42"/>
  <c r="X885" i="42"/>
  <c r="X887" i="42"/>
  <c r="Y887" i="42" s="1"/>
  <c r="X888" i="42"/>
  <c r="Y888" i="42" s="1"/>
  <c r="X889" i="42"/>
  <c r="X890" i="42"/>
  <c r="X891" i="42"/>
  <c r="X892" i="42"/>
  <c r="Y892" i="42" s="1"/>
  <c r="X893" i="42"/>
  <c r="X894" i="42"/>
  <c r="X895" i="42"/>
  <c r="Y895" i="42" s="1"/>
  <c r="X896" i="42"/>
  <c r="X897" i="42"/>
  <c r="Y897" i="42" s="1"/>
  <c r="X898" i="42"/>
  <c r="X899" i="42"/>
  <c r="Y899" i="42" s="1"/>
  <c r="X900" i="42"/>
  <c r="Y900" i="42" s="1"/>
  <c r="X901" i="42"/>
  <c r="X902" i="42"/>
  <c r="X903" i="42"/>
  <c r="X904" i="42"/>
  <c r="Y904" i="42" s="1"/>
  <c r="X905" i="42"/>
  <c r="X906" i="42"/>
  <c r="X907" i="42"/>
  <c r="Y907" i="42" s="1"/>
  <c r="X908" i="42"/>
  <c r="X909" i="42"/>
  <c r="X910" i="42"/>
  <c r="Y910" i="42" s="1"/>
  <c r="X911" i="42"/>
  <c r="Y911" i="42" s="1"/>
  <c r="X912" i="42"/>
  <c r="X913" i="42"/>
  <c r="X914" i="42"/>
  <c r="X915" i="42"/>
  <c r="Y915" i="42" s="1"/>
  <c r="X916" i="42"/>
  <c r="X917" i="42"/>
  <c r="X918" i="42"/>
  <c r="Y918" i="42" s="1"/>
  <c r="X919" i="42"/>
  <c r="X920" i="42"/>
  <c r="X921" i="42"/>
  <c r="Y921" i="42" s="1"/>
  <c r="X922" i="42"/>
  <c r="Y922" i="42" s="1"/>
  <c r="X923" i="42"/>
  <c r="X924" i="42"/>
  <c r="X925" i="42"/>
  <c r="X926" i="42"/>
  <c r="X927" i="42"/>
  <c r="Y927" i="42" s="1"/>
  <c r="X928" i="42"/>
  <c r="Y928" i="42" s="1"/>
  <c r="X929" i="42"/>
  <c r="X930" i="42"/>
  <c r="X931" i="42"/>
  <c r="X932" i="42"/>
  <c r="Y932" i="42" s="1"/>
  <c r="X933" i="42"/>
  <c r="X934" i="42"/>
  <c r="X935" i="42"/>
  <c r="Y935" i="42" s="1"/>
  <c r="X936" i="42"/>
  <c r="Y936" i="42" s="1"/>
  <c r="X937" i="42"/>
  <c r="X938" i="42"/>
  <c r="X939" i="42"/>
  <c r="Y939" i="42" s="1"/>
  <c r="X940" i="42"/>
  <c r="X941" i="42"/>
  <c r="Y941" i="42" s="1"/>
  <c r="X942" i="42"/>
  <c r="X943" i="42"/>
  <c r="X944" i="42"/>
  <c r="Y944" i="42" s="1"/>
  <c r="X945" i="42"/>
  <c r="Y945" i="42" s="1"/>
  <c r="X946" i="42"/>
  <c r="X947" i="42"/>
  <c r="Y947" i="42" s="1"/>
  <c r="X948" i="42"/>
  <c r="X949" i="42"/>
  <c r="X950" i="42"/>
  <c r="Y950" i="42" s="1"/>
  <c r="X951" i="42"/>
  <c r="X952" i="42"/>
  <c r="Y952" i="42" s="1"/>
  <c r="X953" i="42"/>
  <c r="X954" i="42"/>
  <c r="X955" i="42"/>
  <c r="Y955" i="42" s="1"/>
  <c r="X956" i="42"/>
  <c r="Y956" i="42" s="1"/>
  <c r="X957" i="42"/>
  <c r="X958" i="42"/>
  <c r="X959" i="42"/>
  <c r="X960" i="42"/>
  <c r="Y960" i="42" s="1"/>
  <c r="X961" i="42"/>
  <c r="X962" i="42"/>
  <c r="X963" i="42"/>
  <c r="Y963" i="42" s="1"/>
  <c r="X964" i="42"/>
  <c r="Y964" i="42" s="1"/>
  <c r="X965" i="42"/>
  <c r="X966" i="42"/>
  <c r="X967" i="42"/>
  <c r="X968" i="42"/>
  <c r="X969" i="42"/>
  <c r="Y969" i="42" s="1"/>
  <c r="X970" i="42"/>
  <c r="X971" i="42"/>
  <c r="Y971" i="42" s="1"/>
  <c r="X972" i="42"/>
  <c r="X973" i="42"/>
  <c r="Y973" i="42" s="1"/>
  <c r="X974" i="42"/>
  <c r="Y974" i="42" s="1"/>
  <c r="X975" i="42"/>
  <c r="X976" i="42"/>
  <c r="X977" i="42"/>
  <c r="X978" i="42"/>
  <c r="X979" i="42"/>
  <c r="Y979" i="42" s="1"/>
  <c r="X980" i="42"/>
  <c r="X981" i="42"/>
  <c r="Y981" i="42" s="1"/>
  <c r="X982" i="42"/>
  <c r="X983" i="42"/>
  <c r="X984" i="42"/>
  <c r="Y984" i="42" s="1"/>
  <c r="X985" i="42"/>
  <c r="Y985" i="42" s="1"/>
  <c r="X986" i="42"/>
  <c r="X987" i="42"/>
  <c r="X988" i="42"/>
  <c r="X989" i="42"/>
  <c r="X990" i="42"/>
  <c r="Y990" i="42" s="1"/>
  <c r="X991" i="42"/>
  <c r="X992" i="42"/>
  <c r="X993" i="42"/>
  <c r="Y993" i="42" s="1"/>
  <c r="X994" i="42"/>
  <c r="Y994" i="42" s="1"/>
  <c r="X995" i="42"/>
  <c r="X996" i="42"/>
  <c r="X997" i="42"/>
  <c r="X998" i="42"/>
  <c r="Y998" i="42" s="1"/>
  <c r="X999" i="42"/>
  <c r="X1000" i="42"/>
  <c r="Y1000" i="42" s="1"/>
  <c r="X1001" i="42"/>
  <c r="X1002" i="42"/>
  <c r="Y1002" i="42" s="1"/>
  <c r="X1003" i="42"/>
  <c r="X1004" i="42"/>
  <c r="Y1004" i="42" s="1"/>
  <c r="X1005" i="42"/>
  <c r="Y1005" i="42" s="1"/>
  <c r="X1006" i="42"/>
  <c r="X1007" i="42"/>
  <c r="X1008" i="42"/>
  <c r="X1009" i="42"/>
  <c r="X1010" i="42"/>
  <c r="X1011" i="42"/>
  <c r="Y1011" i="42" s="1"/>
  <c r="X1012" i="42"/>
  <c r="Y1012" i="42" s="1"/>
  <c r="X1013" i="42"/>
  <c r="X1014" i="42"/>
  <c r="X1015" i="42"/>
  <c r="Y1015" i="42" s="1"/>
  <c r="X1017" i="42"/>
  <c r="X1018" i="42"/>
  <c r="Y1018" i="42" s="1"/>
  <c r="X1019" i="42"/>
  <c r="Y1019" i="42" s="1"/>
  <c r="X1020" i="42"/>
  <c r="Y1020" i="42" s="1"/>
  <c r="X1021" i="42"/>
  <c r="Y1021" i="42" s="1"/>
  <c r="X1022" i="42"/>
  <c r="X1023" i="42"/>
  <c r="Y1023" i="42" s="1"/>
  <c r="X1024" i="42"/>
  <c r="Y1024" i="42" s="1"/>
  <c r="X1025" i="42"/>
  <c r="Y1025" i="42" s="1"/>
  <c r="X1026" i="42"/>
  <c r="Y1026" i="42" s="1"/>
  <c r="X1027" i="42"/>
  <c r="Y1027" i="42" s="1"/>
  <c r="X1028" i="42"/>
  <c r="Y1028" i="42" s="1"/>
  <c r="X1029" i="42"/>
  <c r="Y1029" i="42" s="1"/>
  <c r="X1030" i="42"/>
  <c r="X76" i="42" l="1"/>
  <c r="X100" i="42"/>
  <c r="Y100" i="42" s="1"/>
  <c r="X99" i="42"/>
  <c r="X551" i="42"/>
  <c r="Y551" i="42" s="1"/>
  <c r="I1022" i="42" l="1"/>
  <c r="H1014" i="42"/>
  <c r="H1013" i="42"/>
  <c r="H1012" i="42"/>
  <c r="H1011" i="42"/>
  <c r="H1010" i="42"/>
  <c r="H1009" i="42"/>
  <c r="H1008" i="42"/>
  <c r="H1007" i="42"/>
  <c r="H1006" i="42"/>
  <c r="H1005" i="42"/>
  <c r="H1004" i="42"/>
  <c r="H1003" i="42"/>
  <c r="H1001" i="42"/>
  <c r="H1000" i="42"/>
  <c r="H999" i="42"/>
  <c r="H998" i="42"/>
  <c r="H997" i="42"/>
  <c r="H996" i="42"/>
  <c r="H995" i="42"/>
  <c r="H994" i="42"/>
  <c r="H993" i="42"/>
  <c r="H992" i="42"/>
  <c r="H991" i="42"/>
  <c r="H990" i="42"/>
  <c r="H989" i="42"/>
  <c r="H988" i="42"/>
  <c r="H987" i="42"/>
  <c r="H986" i="42"/>
  <c r="H985" i="42"/>
  <c r="H984" i="42"/>
  <c r="H983" i="42"/>
  <c r="H982" i="42"/>
  <c r="H981" i="42"/>
  <c r="H980" i="42"/>
  <c r="H979" i="42"/>
  <c r="H978" i="42"/>
  <c r="H977" i="42"/>
  <c r="H976" i="42"/>
  <c r="H975" i="42"/>
  <c r="H974" i="42"/>
  <c r="H973" i="42"/>
  <c r="H972" i="42"/>
  <c r="H970" i="42"/>
  <c r="H969" i="42"/>
  <c r="H968" i="42"/>
  <c r="H967" i="42"/>
  <c r="H966" i="42"/>
  <c r="H965" i="42"/>
  <c r="H964" i="42"/>
  <c r="H963" i="42"/>
  <c r="H962" i="42"/>
  <c r="H961" i="42"/>
  <c r="H960" i="42"/>
  <c r="H959" i="42"/>
  <c r="H958" i="42"/>
  <c r="H957" i="42"/>
  <c r="H956" i="42"/>
  <c r="H955" i="42"/>
  <c r="H954" i="42"/>
  <c r="H953" i="42"/>
  <c r="H952" i="42"/>
  <c r="H951" i="42"/>
  <c r="H950" i="42"/>
  <c r="H949" i="42"/>
  <c r="H948" i="42"/>
  <c r="H947" i="42"/>
  <c r="H946" i="42"/>
  <c r="H945" i="42"/>
  <c r="H944" i="42"/>
  <c r="H943" i="42"/>
  <c r="H942" i="42"/>
  <c r="H941" i="42"/>
  <c r="H940" i="42"/>
  <c r="H939" i="42"/>
  <c r="H938" i="42"/>
  <c r="H937" i="42"/>
  <c r="H936" i="42"/>
  <c r="H935" i="42"/>
  <c r="H934" i="42"/>
  <c r="H933" i="42"/>
  <c r="H932" i="42"/>
  <c r="H931" i="42"/>
  <c r="H930" i="42"/>
  <c r="H929" i="42"/>
  <c r="H928" i="42"/>
  <c r="H927" i="42"/>
  <c r="H926" i="42"/>
  <c r="H925" i="42"/>
  <c r="H924" i="42"/>
  <c r="H923" i="42"/>
  <c r="H922" i="42"/>
  <c r="H921" i="42"/>
  <c r="H920" i="42"/>
  <c r="H919" i="42"/>
  <c r="H918" i="42"/>
  <c r="H917" i="42"/>
  <c r="H916" i="42"/>
  <c r="H915" i="42"/>
  <c r="H914" i="42"/>
  <c r="H913" i="42"/>
  <c r="H912" i="42"/>
  <c r="H911" i="42"/>
  <c r="H910" i="42"/>
  <c r="H909" i="42"/>
  <c r="H908" i="42"/>
  <c r="H907" i="42"/>
  <c r="H906" i="42"/>
  <c r="H905" i="42"/>
  <c r="H904" i="42"/>
  <c r="H903" i="42"/>
  <c r="H902" i="42"/>
  <c r="H901" i="42"/>
  <c r="H900" i="42"/>
  <c r="H899" i="42"/>
  <c r="H898" i="42"/>
  <c r="H896" i="42"/>
  <c r="H895" i="42"/>
  <c r="H894" i="42"/>
  <c r="H893" i="42"/>
  <c r="H892" i="42"/>
  <c r="H891" i="42"/>
  <c r="H890" i="42"/>
  <c r="H889" i="42"/>
  <c r="H888" i="42"/>
  <c r="H887" i="42"/>
  <c r="H886" i="42"/>
  <c r="H885" i="42"/>
  <c r="H884" i="42"/>
  <c r="H883" i="42"/>
  <c r="H882" i="42"/>
  <c r="H881" i="42"/>
  <c r="H880" i="42"/>
  <c r="H879" i="42"/>
  <c r="H878" i="42"/>
  <c r="H877" i="42"/>
  <c r="H876" i="42"/>
  <c r="H875" i="42"/>
  <c r="H874" i="42"/>
  <c r="H873" i="42"/>
  <c r="H872" i="42"/>
  <c r="H871" i="42"/>
  <c r="H870" i="42"/>
  <c r="H869" i="42"/>
  <c r="H868" i="42"/>
  <c r="H867" i="42"/>
  <c r="H866" i="42"/>
  <c r="H865" i="42"/>
  <c r="H864" i="42"/>
  <c r="H863" i="42"/>
  <c r="H862" i="42"/>
  <c r="H861" i="42"/>
  <c r="H860" i="42"/>
  <c r="H859" i="42"/>
  <c r="H858" i="42"/>
  <c r="H857" i="42"/>
  <c r="H856" i="42"/>
  <c r="H855" i="42"/>
  <c r="H854" i="42"/>
  <c r="H853" i="42"/>
  <c r="H852" i="42"/>
  <c r="H851" i="42"/>
  <c r="H850" i="42"/>
  <c r="H849" i="42"/>
  <c r="H848" i="42"/>
  <c r="H847" i="42"/>
  <c r="H846" i="42"/>
  <c r="H845" i="42"/>
  <c r="H844" i="42"/>
  <c r="H843" i="42"/>
  <c r="H841" i="42"/>
  <c r="H840" i="42"/>
  <c r="H839" i="42"/>
  <c r="H838" i="42"/>
  <c r="H837" i="42"/>
  <c r="H836" i="42"/>
  <c r="H835" i="42"/>
  <c r="H834" i="42"/>
  <c r="H833" i="42"/>
  <c r="H832" i="42"/>
  <c r="H831" i="42"/>
  <c r="H830" i="42"/>
  <c r="H829" i="42"/>
  <c r="H828" i="42"/>
  <c r="H827" i="42"/>
  <c r="H826" i="42"/>
  <c r="H825" i="42"/>
  <c r="H824" i="42"/>
  <c r="H823" i="42"/>
  <c r="H822" i="42"/>
  <c r="H821" i="42"/>
  <c r="H820" i="42"/>
  <c r="H819" i="42"/>
  <c r="H818" i="42"/>
  <c r="H817" i="42"/>
  <c r="H816" i="42"/>
  <c r="H815" i="42"/>
  <c r="H814" i="42"/>
  <c r="H813" i="42"/>
  <c r="H812" i="42"/>
  <c r="H811" i="42"/>
  <c r="H810" i="42"/>
  <c r="H809" i="42"/>
  <c r="H808" i="42"/>
  <c r="H807" i="42"/>
  <c r="H806" i="42"/>
  <c r="H805" i="42"/>
  <c r="H804" i="42"/>
  <c r="H803" i="42"/>
  <c r="H802" i="42"/>
  <c r="H801" i="42"/>
  <c r="H800" i="42"/>
  <c r="H799" i="42"/>
  <c r="H798" i="42"/>
  <c r="H797" i="42"/>
  <c r="H796" i="42"/>
  <c r="H795" i="42"/>
  <c r="H794" i="42"/>
  <c r="H793" i="42"/>
  <c r="H792" i="42"/>
  <c r="H791" i="42"/>
  <c r="H790" i="42"/>
  <c r="H788" i="42"/>
  <c r="H787" i="42"/>
  <c r="H786" i="42"/>
  <c r="H785" i="42"/>
  <c r="H784" i="42"/>
  <c r="H783" i="42"/>
  <c r="H782" i="42"/>
  <c r="H781" i="42"/>
  <c r="H780" i="42"/>
  <c r="H779" i="42"/>
  <c r="H778" i="42"/>
  <c r="H777" i="42"/>
  <c r="H776" i="42"/>
  <c r="H775" i="42"/>
  <c r="H774" i="42"/>
  <c r="H773" i="42"/>
  <c r="H772" i="42"/>
  <c r="H771" i="42"/>
  <c r="H770" i="42"/>
  <c r="H769" i="42"/>
  <c r="H768" i="42"/>
  <c r="H767" i="42"/>
  <c r="H766" i="42"/>
  <c r="H765" i="42"/>
  <c r="H764" i="42"/>
  <c r="H763" i="42"/>
  <c r="H762" i="42"/>
  <c r="H761" i="42"/>
  <c r="H760" i="42"/>
  <c r="H759" i="42"/>
  <c r="H758" i="42"/>
  <c r="H757" i="42"/>
  <c r="H756" i="42"/>
  <c r="H755" i="42"/>
  <c r="H754" i="42"/>
  <c r="H753" i="42"/>
  <c r="H752" i="42"/>
  <c r="H751" i="42"/>
  <c r="H750" i="42"/>
  <c r="H749" i="42"/>
  <c r="H748" i="42"/>
  <c r="H747" i="42"/>
  <c r="H746" i="42"/>
  <c r="H745" i="42"/>
  <c r="H744" i="42"/>
  <c r="H743" i="42"/>
  <c r="H742" i="42"/>
  <c r="H741" i="42"/>
  <c r="H740" i="42"/>
  <c r="H739" i="42"/>
  <c r="H738" i="42"/>
  <c r="H737" i="42"/>
  <c r="H736" i="42"/>
  <c r="H735" i="42"/>
  <c r="H734" i="42"/>
  <c r="H733" i="42"/>
  <c r="H732" i="42"/>
  <c r="H731" i="42"/>
  <c r="H730" i="42"/>
  <c r="H729" i="42"/>
  <c r="H728" i="42"/>
  <c r="H727" i="42"/>
  <c r="H726" i="42"/>
  <c r="H725" i="42"/>
  <c r="H724" i="42"/>
  <c r="H723" i="42"/>
  <c r="H722" i="42"/>
  <c r="H721" i="42"/>
  <c r="H720" i="42"/>
  <c r="H719" i="42"/>
  <c r="H718" i="42"/>
  <c r="H717" i="42"/>
  <c r="H716" i="42"/>
  <c r="H715" i="42"/>
  <c r="H714" i="42"/>
  <c r="H713" i="42"/>
  <c r="H712" i="42"/>
  <c r="H710" i="42"/>
  <c r="H709" i="42"/>
  <c r="H708" i="42"/>
  <c r="H707" i="42"/>
  <c r="H706" i="42"/>
  <c r="H705" i="42"/>
  <c r="H704" i="42"/>
  <c r="H703" i="42"/>
  <c r="H702" i="42"/>
  <c r="H701" i="42"/>
  <c r="H700" i="42"/>
  <c r="H699" i="42"/>
  <c r="H698" i="42"/>
  <c r="H697" i="42"/>
  <c r="H696" i="42"/>
  <c r="H695" i="42"/>
  <c r="H693" i="42"/>
  <c r="H692" i="42"/>
  <c r="I691" i="42"/>
  <c r="Y691" i="42" s="1"/>
  <c r="H691" i="42"/>
  <c r="H690" i="42"/>
  <c r="H689" i="42"/>
  <c r="H688" i="42"/>
  <c r="H687" i="42"/>
  <c r="H686" i="42"/>
  <c r="H685" i="42"/>
  <c r="H684" i="42"/>
  <c r="H683" i="42"/>
  <c r="H682" i="42"/>
  <c r="H681" i="42"/>
  <c r="H680" i="42"/>
  <c r="H679" i="42"/>
  <c r="H678" i="42"/>
  <c r="I677" i="42"/>
  <c r="Y677" i="42" s="1"/>
  <c r="H677" i="42"/>
  <c r="H676" i="42"/>
  <c r="H675" i="42"/>
  <c r="H674" i="42"/>
  <c r="H673" i="42"/>
  <c r="H672" i="42"/>
  <c r="H671" i="42"/>
  <c r="H670" i="42"/>
  <c r="H669" i="42"/>
  <c r="H668" i="42"/>
  <c r="H667" i="42"/>
  <c r="H666" i="42"/>
  <c r="H665" i="42"/>
  <c r="H664" i="42"/>
  <c r="H663" i="42"/>
  <c r="H662" i="42"/>
  <c r="H661" i="42"/>
  <c r="H660" i="42"/>
  <c r="H659" i="42"/>
  <c r="H658" i="42"/>
  <c r="H657" i="42"/>
  <c r="H656" i="42"/>
  <c r="H655" i="42"/>
  <c r="H654" i="42"/>
  <c r="H653" i="42"/>
  <c r="H652" i="42"/>
  <c r="H651" i="42"/>
  <c r="H650" i="42"/>
  <c r="H649" i="42"/>
  <c r="H648" i="42"/>
  <c r="H647" i="42"/>
  <c r="H646" i="42"/>
  <c r="H645" i="42"/>
  <c r="H644" i="42"/>
  <c r="H642" i="42"/>
  <c r="H641" i="42"/>
  <c r="H640" i="42"/>
  <c r="H639" i="42"/>
  <c r="H637" i="42"/>
  <c r="H636" i="42"/>
  <c r="H635" i="42"/>
  <c r="H634" i="42"/>
  <c r="H633" i="42"/>
  <c r="H632" i="42"/>
  <c r="H631" i="42"/>
  <c r="H630" i="42"/>
  <c r="H629" i="42"/>
  <c r="H628" i="42"/>
  <c r="H627" i="42"/>
  <c r="H626" i="42"/>
  <c r="H625" i="42"/>
  <c r="H623" i="42"/>
  <c r="H622" i="42"/>
  <c r="H621" i="42"/>
  <c r="H620" i="42"/>
  <c r="H619" i="42"/>
  <c r="H618" i="42"/>
  <c r="H617" i="42"/>
  <c r="H616" i="42"/>
  <c r="H615" i="42"/>
  <c r="H614" i="42"/>
  <c r="H613" i="42"/>
  <c r="H612" i="42"/>
  <c r="H611" i="42"/>
  <c r="H610" i="42"/>
  <c r="H609" i="42"/>
  <c r="H608" i="42"/>
  <c r="H607" i="42"/>
  <c r="H606" i="42"/>
  <c r="H605" i="42"/>
  <c r="H604" i="42"/>
  <c r="H603" i="42"/>
  <c r="H602" i="42"/>
  <c r="H601" i="42"/>
  <c r="H600" i="42"/>
  <c r="H599" i="42"/>
  <c r="H598" i="42"/>
  <c r="H597" i="42"/>
  <c r="H596" i="42"/>
  <c r="H595" i="42"/>
  <c r="H594" i="42"/>
  <c r="H593" i="42"/>
  <c r="H592" i="42"/>
  <c r="H591" i="42"/>
  <c r="H590" i="42"/>
  <c r="H589" i="42"/>
  <c r="H588" i="42"/>
  <c r="H587" i="42"/>
  <c r="H586" i="42"/>
  <c r="H585" i="42"/>
  <c r="H584" i="42"/>
  <c r="H583" i="42"/>
  <c r="H582" i="42"/>
  <c r="H581" i="42"/>
  <c r="H580" i="42"/>
  <c r="H579" i="42"/>
  <c r="H578" i="42"/>
  <c r="H577" i="42"/>
  <c r="H576" i="42"/>
  <c r="H575" i="42"/>
  <c r="H574" i="42"/>
  <c r="H573" i="42"/>
  <c r="H572" i="42"/>
  <c r="H571" i="42"/>
  <c r="H570" i="42"/>
  <c r="H569" i="42"/>
  <c r="H568" i="42"/>
  <c r="H567" i="42"/>
  <c r="H566" i="42"/>
  <c r="H565" i="42"/>
  <c r="H564" i="42"/>
  <c r="H562" i="42"/>
  <c r="H561" i="42"/>
  <c r="H560" i="42"/>
  <c r="H559" i="42"/>
  <c r="H558" i="42"/>
  <c r="H557" i="42"/>
  <c r="H555" i="42"/>
  <c r="H554" i="42"/>
  <c r="I553" i="42"/>
  <c r="Y553" i="42" s="1"/>
  <c r="H553" i="42"/>
  <c r="H552" i="42"/>
  <c r="H551" i="42"/>
  <c r="H550" i="42"/>
  <c r="H549" i="42"/>
  <c r="H548" i="42"/>
  <c r="H547" i="42"/>
  <c r="H546" i="42"/>
  <c r="H545" i="42"/>
  <c r="H544" i="42"/>
  <c r="H543" i="42"/>
  <c r="H542" i="42"/>
  <c r="H541" i="42"/>
  <c r="H540" i="42"/>
  <c r="H539" i="42"/>
  <c r="H538" i="42"/>
  <c r="H536" i="42"/>
  <c r="H535" i="42"/>
  <c r="H534" i="42"/>
  <c r="H533" i="42"/>
  <c r="H532" i="42"/>
  <c r="H531" i="42"/>
  <c r="H530" i="42"/>
  <c r="H529" i="42"/>
  <c r="H528" i="42"/>
  <c r="H527" i="42"/>
  <c r="H526" i="42"/>
  <c r="H525" i="42"/>
  <c r="H524" i="42"/>
  <c r="H523" i="42"/>
  <c r="H522" i="42"/>
  <c r="H521" i="42"/>
  <c r="H520" i="42"/>
  <c r="H519" i="42"/>
  <c r="H518" i="42"/>
  <c r="H517" i="42"/>
  <c r="H516" i="42"/>
  <c r="H515" i="42"/>
  <c r="H514" i="42"/>
  <c r="H513" i="42"/>
  <c r="H512" i="42"/>
  <c r="H511" i="42"/>
  <c r="H510" i="42"/>
  <c r="H509" i="42"/>
  <c r="H508" i="42"/>
  <c r="H507" i="42"/>
  <c r="H506" i="42"/>
  <c r="H505" i="42"/>
  <c r="H504" i="42"/>
  <c r="H503" i="42"/>
  <c r="H502" i="42"/>
  <c r="H501" i="42"/>
  <c r="H500" i="42"/>
  <c r="H499" i="42"/>
  <c r="H498" i="42"/>
  <c r="H497" i="42"/>
  <c r="H496" i="42"/>
  <c r="H495" i="42"/>
  <c r="H494" i="42"/>
  <c r="H493" i="42"/>
  <c r="H492" i="42"/>
  <c r="H491" i="42"/>
  <c r="H490" i="42"/>
  <c r="H489" i="42"/>
  <c r="H488" i="42"/>
  <c r="H487" i="42"/>
  <c r="H486" i="42"/>
  <c r="H485" i="42"/>
  <c r="H484" i="42"/>
  <c r="H483" i="42"/>
  <c r="H482" i="42"/>
  <c r="H481" i="42"/>
  <c r="H480" i="42"/>
  <c r="H479" i="42"/>
  <c r="H478" i="42"/>
  <c r="H477" i="42"/>
  <c r="H476" i="42"/>
  <c r="H475" i="42"/>
  <c r="H474" i="42"/>
  <c r="H473" i="42"/>
  <c r="H472" i="42"/>
  <c r="H471" i="42"/>
  <c r="H470" i="42"/>
  <c r="H469" i="42"/>
  <c r="H468" i="42"/>
  <c r="H467" i="42"/>
  <c r="H466" i="42"/>
  <c r="H465" i="42"/>
  <c r="H464" i="42"/>
  <c r="H463" i="42"/>
  <c r="H462" i="42"/>
  <c r="H461" i="42"/>
  <c r="H460" i="42"/>
  <c r="H459" i="42"/>
  <c r="H458" i="42"/>
  <c r="H457" i="42"/>
  <c r="H456" i="42"/>
  <c r="H455" i="42"/>
  <c r="H454" i="42"/>
  <c r="H453" i="42"/>
  <c r="H452" i="42"/>
  <c r="H451" i="42"/>
  <c r="H450" i="42"/>
  <c r="H449" i="42"/>
  <c r="H448" i="42"/>
  <c r="H447" i="42"/>
  <c r="H446" i="42"/>
  <c r="H445" i="42"/>
  <c r="H444" i="42"/>
  <c r="H443" i="42"/>
  <c r="H442" i="42"/>
  <c r="H441" i="42"/>
  <c r="H440" i="42"/>
  <c r="H439" i="42"/>
  <c r="H438" i="42"/>
  <c r="H437" i="42"/>
  <c r="H436" i="42"/>
  <c r="H435" i="42"/>
  <c r="H434" i="42"/>
  <c r="H433" i="42"/>
  <c r="H432" i="42"/>
  <c r="H431" i="42"/>
  <c r="H430" i="42"/>
  <c r="H429" i="42"/>
  <c r="H428" i="42"/>
  <c r="H427" i="42"/>
  <c r="H426" i="42"/>
  <c r="H425" i="42"/>
  <c r="H424" i="42"/>
  <c r="H423" i="42"/>
  <c r="H422" i="42"/>
  <c r="H421" i="42"/>
  <c r="H420" i="42"/>
  <c r="H419" i="42"/>
  <c r="H418" i="42"/>
  <c r="H417" i="42"/>
  <c r="H416" i="42"/>
  <c r="H415" i="42"/>
  <c r="H414" i="42"/>
  <c r="H413" i="42"/>
  <c r="H412" i="42"/>
  <c r="H411" i="42"/>
  <c r="H410" i="42"/>
  <c r="H409" i="42"/>
  <c r="H408" i="42"/>
  <c r="H407" i="42"/>
  <c r="H406" i="42"/>
  <c r="H405" i="42"/>
  <c r="H404" i="42"/>
  <c r="H403" i="42"/>
  <c r="H402" i="42"/>
  <c r="H401" i="42"/>
  <c r="H400" i="42"/>
  <c r="H399" i="42"/>
  <c r="H398" i="42"/>
  <c r="H397" i="42"/>
  <c r="H396" i="42"/>
  <c r="H395" i="42"/>
  <c r="H394" i="42"/>
  <c r="H393" i="42"/>
  <c r="H392" i="42"/>
  <c r="H391" i="42"/>
  <c r="H390" i="42"/>
  <c r="H389" i="42"/>
  <c r="H388" i="42"/>
  <c r="H387" i="42"/>
  <c r="H386" i="42"/>
  <c r="H385" i="42"/>
  <c r="H384" i="42"/>
  <c r="H383" i="42"/>
  <c r="H382" i="42"/>
  <c r="H381" i="42"/>
  <c r="H380" i="42"/>
  <c r="H379" i="42"/>
  <c r="H378" i="42"/>
  <c r="H377" i="42"/>
  <c r="H376" i="42"/>
  <c r="H375" i="42"/>
  <c r="H374" i="42"/>
  <c r="H373" i="42"/>
  <c r="H372" i="42"/>
  <c r="H371" i="42"/>
  <c r="H370" i="42"/>
  <c r="H369" i="42"/>
  <c r="H368" i="42"/>
  <c r="H367" i="42"/>
  <c r="H366" i="42"/>
  <c r="H365" i="42"/>
  <c r="H364" i="42"/>
  <c r="H363" i="42"/>
  <c r="H362" i="42"/>
  <c r="H361" i="42"/>
  <c r="H360" i="42"/>
  <c r="H359" i="42"/>
  <c r="H358" i="42"/>
  <c r="H357" i="42"/>
  <c r="H356" i="42"/>
  <c r="H355" i="42"/>
  <c r="H354" i="42"/>
  <c r="H353" i="42"/>
  <c r="H352" i="42"/>
  <c r="H351" i="42"/>
  <c r="H350" i="42"/>
  <c r="H349" i="42"/>
  <c r="H348" i="42"/>
  <c r="H347" i="42"/>
  <c r="H346" i="42"/>
  <c r="H345" i="42"/>
  <c r="H344" i="42"/>
  <c r="H343" i="42"/>
  <c r="H342" i="42"/>
  <c r="H341" i="42"/>
  <c r="H340" i="42"/>
  <c r="H339" i="42"/>
  <c r="H338" i="42"/>
  <c r="H337" i="42"/>
  <c r="H336" i="42"/>
  <c r="H335" i="42"/>
  <c r="H334" i="42"/>
  <c r="H333" i="42"/>
  <c r="H332" i="42"/>
  <c r="H331" i="42"/>
  <c r="H330" i="42"/>
  <c r="H329" i="42"/>
  <c r="H328" i="42"/>
  <c r="H327" i="42"/>
  <c r="H326" i="42"/>
  <c r="H325" i="42"/>
  <c r="H324" i="42"/>
  <c r="H323" i="42"/>
  <c r="H322" i="42"/>
  <c r="H321" i="42"/>
  <c r="H320" i="42"/>
  <c r="H319" i="42"/>
  <c r="H318" i="42"/>
  <c r="H317" i="42"/>
  <c r="H316" i="42"/>
  <c r="H315" i="42"/>
  <c r="H314" i="42"/>
  <c r="H313" i="42"/>
  <c r="H312" i="42"/>
  <c r="H311" i="42"/>
  <c r="H310" i="42"/>
  <c r="H309" i="42"/>
  <c r="H308" i="42"/>
  <c r="H307" i="42"/>
  <c r="H306" i="42"/>
  <c r="H305" i="42"/>
  <c r="H304" i="42"/>
  <c r="H303" i="42"/>
  <c r="I302" i="42"/>
  <c r="Y302" i="42" s="1"/>
  <c r="H302" i="42"/>
  <c r="H301" i="42"/>
  <c r="H300" i="42"/>
  <c r="H299" i="42"/>
  <c r="H298" i="42"/>
  <c r="H297" i="42"/>
  <c r="H296" i="42"/>
  <c r="H295" i="42"/>
  <c r="H294" i="42"/>
  <c r="H293" i="42"/>
  <c r="H292" i="42"/>
  <c r="H291" i="42"/>
  <c r="H290" i="42"/>
  <c r="H289" i="42"/>
  <c r="H288" i="42"/>
  <c r="H287" i="42"/>
  <c r="H286" i="42"/>
  <c r="H285" i="42"/>
  <c r="H284" i="42"/>
  <c r="H283" i="42"/>
  <c r="H282" i="42"/>
  <c r="H281" i="42"/>
  <c r="H280" i="42"/>
  <c r="H279" i="42"/>
  <c r="H278" i="42"/>
  <c r="H277" i="42"/>
  <c r="H276" i="42"/>
  <c r="H275" i="42"/>
  <c r="H274" i="42"/>
  <c r="H273" i="42"/>
  <c r="H272" i="42"/>
  <c r="H271" i="42"/>
  <c r="H270" i="42"/>
  <c r="H269" i="42"/>
  <c r="H268" i="42"/>
  <c r="H267" i="42"/>
  <c r="H266" i="42"/>
  <c r="H265" i="42"/>
  <c r="H264" i="42"/>
  <c r="H263" i="42"/>
  <c r="H262" i="42"/>
  <c r="H261" i="42"/>
  <c r="H260" i="42"/>
  <c r="H259" i="42"/>
  <c r="H258" i="42"/>
  <c r="H257" i="42"/>
  <c r="H256" i="42"/>
  <c r="H255" i="42"/>
  <c r="H254" i="42"/>
  <c r="H253" i="42"/>
  <c r="H252" i="42"/>
  <c r="H251" i="42"/>
  <c r="H250" i="42"/>
  <c r="H249" i="42"/>
  <c r="H248" i="42"/>
  <c r="H247" i="42"/>
  <c r="H246" i="42"/>
  <c r="H245" i="42"/>
  <c r="H244" i="42"/>
  <c r="H243" i="42"/>
  <c r="H242" i="42"/>
  <c r="H241" i="42"/>
  <c r="H240" i="42"/>
  <c r="H239" i="42"/>
  <c r="H238" i="42"/>
  <c r="H237" i="42"/>
  <c r="H236" i="42"/>
  <c r="H235" i="42"/>
  <c r="H234" i="42"/>
  <c r="H233" i="42"/>
  <c r="H232" i="42"/>
  <c r="H231" i="42"/>
  <c r="H230" i="42"/>
  <c r="H229" i="42"/>
  <c r="H228" i="42"/>
  <c r="H227" i="42"/>
  <c r="H226" i="42"/>
  <c r="H225" i="42"/>
  <c r="H224" i="42"/>
  <c r="H223" i="42"/>
  <c r="H222" i="42"/>
  <c r="H221" i="42"/>
  <c r="H220" i="42"/>
  <c r="H219" i="42"/>
  <c r="H218" i="42"/>
  <c r="H217" i="42"/>
  <c r="H216" i="42"/>
  <c r="H215" i="42"/>
  <c r="H214" i="42"/>
  <c r="H213" i="42"/>
  <c r="H212" i="42"/>
  <c r="H211" i="42"/>
  <c r="H210" i="42"/>
  <c r="H209" i="42"/>
  <c r="H208" i="42"/>
  <c r="H207" i="42"/>
  <c r="H206" i="42"/>
  <c r="H205" i="42"/>
  <c r="H204" i="42"/>
  <c r="H203" i="42"/>
  <c r="H202" i="42"/>
  <c r="H201" i="42"/>
  <c r="H200" i="42"/>
  <c r="H199" i="42"/>
  <c r="H198" i="42"/>
  <c r="H197" i="42"/>
  <c r="H196" i="42"/>
  <c r="H195" i="42"/>
  <c r="H194" i="42"/>
  <c r="H193" i="42"/>
  <c r="H192" i="42"/>
  <c r="H191" i="42"/>
  <c r="H190" i="42"/>
  <c r="H189" i="42"/>
  <c r="H188" i="42"/>
  <c r="H187" i="42"/>
  <c r="H186" i="42"/>
  <c r="H185" i="42"/>
  <c r="H184" i="42"/>
  <c r="H183" i="42"/>
  <c r="H182" i="42"/>
  <c r="H181" i="42"/>
  <c r="H180" i="42"/>
  <c r="H179" i="42"/>
  <c r="H178" i="42"/>
  <c r="H177" i="42"/>
  <c r="H176" i="42"/>
  <c r="H175" i="42"/>
  <c r="H174" i="42"/>
  <c r="H173" i="42"/>
  <c r="H172" i="42"/>
  <c r="H157" i="42"/>
  <c r="H156" i="42"/>
  <c r="H155" i="42"/>
  <c r="H154" i="42"/>
  <c r="H153" i="42"/>
  <c r="H152" i="42"/>
  <c r="H151" i="42"/>
  <c r="H150" i="42"/>
  <c r="H149" i="42"/>
  <c r="H148" i="42"/>
  <c r="H147" i="42"/>
  <c r="H146" i="42"/>
  <c r="H145" i="42"/>
  <c r="H144" i="42"/>
  <c r="H143" i="42"/>
  <c r="H142" i="42"/>
  <c r="H141" i="42"/>
  <c r="H140" i="42"/>
  <c r="H139" i="42"/>
  <c r="H138" i="42"/>
  <c r="H137" i="42"/>
  <c r="H136" i="42"/>
  <c r="H135" i="42"/>
  <c r="H134" i="42"/>
  <c r="H133" i="42"/>
  <c r="H132" i="42"/>
  <c r="H131" i="42"/>
  <c r="H130" i="42"/>
  <c r="H129" i="42"/>
  <c r="H128" i="42"/>
  <c r="H127" i="42"/>
  <c r="H126" i="42"/>
  <c r="H125" i="42"/>
  <c r="H124" i="42"/>
  <c r="H123" i="42"/>
  <c r="H122" i="42"/>
  <c r="H121" i="42"/>
  <c r="H120" i="42"/>
  <c r="H119" i="42"/>
  <c r="H118" i="42"/>
  <c r="H117" i="42"/>
  <c r="H116" i="42"/>
  <c r="H115" i="42"/>
  <c r="H114" i="42"/>
  <c r="H113" i="42"/>
  <c r="H112" i="42"/>
  <c r="H111" i="42"/>
  <c r="H110" i="42"/>
  <c r="H109" i="42"/>
  <c r="H108" i="42"/>
  <c r="H107" i="42"/>
  <c r="H106" i="42"/>
  <c r="H105" i="42"/>
  <c r="H104" i="42"/>
  <c r="H103" i="42"/>
  <c r="H102" i="42"/>
  <c r="H101" i="42"/>
  <c r="H100" i="42"/>
  <c r="H99" i="42"/>
  <c r="H98" i="42"/>
  <c r="H97" i="42"/>
  <c r="H96" i="42"/>
  <c r="H95" i="42"/>
  <c r="H94" i="42"/>
  <c r="H93" i="42"/>
  <c r="H92" i="42"/>
  <c r="H91" i="42"/>
  <c r="H90" i="42"/>
  <c r="H89" i="42"/>
  <c r="H88" i="42"/>
  <c r="H87" i="42"/>
  <c r="H86" i="42"/>
  <c r="H85" i="42"/>
  <c r="H84" i="42"/>
  <c r="H83" i="42"/>
  <c r="H82" i="42"/>
  <c r="H81" i="42"/>
  <c r="H80" i="42"/>
  <c r="H79" i="42"/>
  <c r="H78" i="42"/>
  <c r="H77" i="42"/>
  <c r="H76" i="42"/>
  <c r="H75" i="42"/>
  <c r="H74" i="42"/>
  <c r="H73" i="42"/>
  <c r="H72" i="42"/>
  <c r="H71" i="42"/>
  <c r="H70" i="42"/>
  <c r="H69" i="42"/>
  <c r="H68" i="42"/>
  <c r="H67" i="42"/>
  <c r="H66" i="42"/>
  <c r="H65" i="42"/>
  <c r="H64" i="42"/>
  <c r="H63" i="42"/>
  <c r="H62" i="42"/>
  <c r="H61" i="42"/>
  <c r="H60" i="42"/>
  <c r="H59" i="42"/>
  <c r="H58" i="42"/>
  <c r="H57" i="42"/>
  <c r="H56" i="42"/>
  <c r="H55" i="42"/>
  <c r="H54" i="42"/>
  <c r="H53" i="42"/>
  <c r="H52" i="42"/>
  <c r="H51" i="42"/>
  <c r="H50" i="42"/>
  <c r="H49" i="42"/>
  <c r="H48" i="42"/>
  <c r="H47" i="42"/>
  <c r="H46" i="42"/>
  <c r="H45" i="42"/>
  <c r="H44" i="42"/>
  <c r="H43" i="42"/>
  <c r="H42" i="42"/>
  <c r="H41" i="42"/>
  <c r="H40" i="42"/>
  <c r="H39" i="42"/>
  <c r="H38" i="42"/>
  <c r="I550" i="42" l="1"/>
  <c r="Y550" i="42" s="1"/>
  <c r="I1030" i="42"/>
  <c r="Y1030" i="42" s="1"/>
  <c r="Y1022" i="42"/>
  <c r="X119" i="42"/>
  <c r="F842" i="27" l="1"/>
  <c r="K175" i="37" s="1"/>
  <c r="I170" i="42" s="1"/>
  <c r="Y170" i="42" s="1"/>
  <c r="F1353" i="29"/>
  <c r="I1006" i="42" s="1"/>
  <c r="C1354" i="29"/>
  <c r="F1354" i="29"/>
  <c r="F579" i="28"/>
  <c r="F580" i="28"/>
  <c r="F581" i="28"/>
  <c r="I404" i="42" s="1"/>
  <c r="Y404" i="42" s="1"/>
  <c r="F582" i="28"/>
  <c r="F583" i="28"/>
  <c r="F584" i="28"/>
  <c r="F585" i="28"/>
  <c r="F586" i="28"/>
  <c r="F578" i="28"/>
  <c r="H579" i="28"/>
  <c r="L2" i="35"/>
  <c r="N2" i="35"/>
  <c r="I24" i="41"/>
  <c r="I22" i="41"/>
  <c r="I21" i="41"/>
  <c r="F180" i="41"/>
  <c r="I23" i="41"/>
  <c r="I25" i="41"/>
  <c r="I27" i="41"/>
  <c r="I29" i="41"/>
  <c r="I64" i="41"/>
  <c r="I81" i="41"/>
  <c r="I88" i="41"/>
  <c r="I106" i="41"/>
  <c r="I113" i="41"/>
  <c r="I154" i="41"/>
  <c r="I161" i="41"/>
  <c r="I174" i="41"/>
  <c r="I177" i="41"/>
  <c r="I180" i="41"/>
  <c r="I184" i="41"/>
  <c r="I193" i="41"/>
  <c r="I214" i="41"/>
  <c r="I225" i="41"/>
  <c r="I237" i="41"/>
  <c r="I254" i="41"/>
  <c r="I261" i="41"/>
  <c r="I269" i="41"/>
  <c r="I270" i="41"/>
  <c r="I272" i="41"/>
  <c r="I273" i="41"/>
  <c r="I274" i="41"/>
  <c r="I275" i="41"/>
  <c r="F266" i="41"/>
  <c r="F265" i="41"/>
  <c r="F264" i="41"/>
  <c r="F263" i="41"/>
  <c r="F262" i="41"/>
  <c r="F260" i="41"/>
  <c r="F259" i="41"/>
  <c r="F258" i="41"/>
  <c r="F257" i="41"/>
  <c r="F256" i="41"/>
  <c r="F255" i="41"/>
  <c r="F253" i="41"/>
  <c r="F252" i="41"/>
  <c r="F251" i="41"/>
  <c r="F250" i="41"/>
  <c r="F249" i="41"/>
  <c r="F248" i="41"/>
  <c r="F247" i="41"/>
  <c r="F246" i="41"/>
  <c r="F245" i="41"/>
  <c r="F244" i="41"/>
  <c r="F243" i="41"/>
  <c r="F242" i="41"/>
  <c r="F241" i="41"/>
  <c r="F240" i="41"/>
  <c r="F239" i="41"/>
  <c r="F238" i="41"/>
  <c r="F236" i="41"/>
  <c r="F235" i="41"/>
  <c r="F234" i="41"/>
  <c r="F233" i="41"/>
  <c r="F232" i="41"/>
  <c r="F231" i="41"/>
  <c r="F230" i="41"/>
  <c r="F229" i="41"/>
  <c r="F228" i="41"/>
  <c r="F227" i="41"/>
  <c r="F226" i="41"/>
  <c r="F224" i="41"/>
  <c r="F223" i="41"/>
  <c r="F222" i="41"/>
  <c r="F221" i="41"/>
  <c r="F220" i="41"/>
  <c r="F219" i="41"/>
  <c r="F218" i="41"/>
  <c r="F217" i="41"/>
  <c r="F216" i="41"/>
  <c r="F215" i="41"/>
  <c r="F213" i="41"/>
  <c r="F212" i="41"/>
  <c r="F211" i="41"/>
  <c r="F210" i="41"/>
  <c r="F209" i="41"/>
  <c r="F208" i="41"/>
  <c r="F207" i="41"/>
  <c r="F206" i="41"/>
  <c r="F205" i="41"/>
  <c r="F204" i="41"/>
  <c r="F203" i="41"/>
  <c r="F202" i="41"/>
  <c r="F201" i="41"/>
  <c r="F200" i="41"/>
  <c r="F199" i="41"/>
  <c r="F198" i="41"/>
  <c r="F197" i="41"/>
  <c r="F196" i="41"/>
  <c r="F195" i="41"/>
  <c r="F194" i="41"/>
  <c r="F192" i="41"/>
  <c r="F191" i="41"/>
  <c r="F190" i="41"/>
  <c r="F189" i="41"/>
  <c r="F188" i="41"/>
  <c r="F187" i="41"/>
  <c r="F186" i="41"/>
  <c r="F185" i="41"/>
  <c r="F184" i="41"/>
  <c r="F183" i="41"/>
  <c r="F182" i="41"/>
  <c r="F181" i="41"/>
  <c r="F179" i="41"/>
  <c r="F178" i="41"/>
  <c r="F176" i="41"/>
  <c r="F175" i="41"/>
  <c r="F173" i="41"/>
  <c r="F172" i="41"/>
  <c r="F171" i="41"/>
  <c r="F170" i="41"/>
  <c r="F169" i="41"/>
  <c r="F168" i="41"/>
  <c r="F167" i="41"/>
  <c r="F166" i="41"/>
  <c r="F165" i="41"/>
  <c r="F164" i="41"/>
  <c r="F162" i="41"/>
  <c r="F161" i="41"/>
  <c r="F160" i="41"/>
  <c r="F159" i="41"/>
  <c r="F158" i="41"/>
  <c r="F157" i="41"/>
  <c r="F156" i="41"/>
  <c r="F155" i="41"/>
  <c r="F153" i="41"/>
  <c r="F152" i="41"/>
  <c r="F151" i="41"/>
  <c r="F150" i="41"/>
  <c r="F149" i="41"/>
  <c r="F148" i="41"/>
  <c r="F147" i="41"/>
  <c r="F146" i="41"/>
  <c r="F145" i="41"/>
  <c r="F144" i="41"/>
  <c r="F143" i="41"/>
  <c r="F142" i="41"/>
  <c r="F141" i="41"/>
  <c r="F140" i="41"/>
  <c r="F139" i="41"/>
  <c r="F138" i="41"/>
  <c r="F137" i="41"/>
  <c r="F136" i="41"/>
  <c r="F135" i="41"/>
  <c r="F134" i="41"/>
  <c r="F133" i="41"/>
  <c r="F132" i="41"/>
  <c r="F131" i="41"/>
  <c r="F130" i="41"/>
  <c r="F129" i="41"/>
  <c r="F128" i="41"/>
  <c r="F127" i="41"/>
  <c r="F126" i="41"/>
  <c r="F125" i="41"/>
  <c r="F124" i="41"/>
  <c r="F123" i="41"/>
  <c r="F122" i="41"/>
  <c r="F121" i="41"/>
  <c r="F120" i="41"/>
  <c r="F119" i="41"/>
  <c r="F118" i="41"/>
  <c r="F117" i="41"/>
  <c r="F116" i="41"/>
  <c r="F115" i="41"/>
  <c r="F114" i="41"/>
  <c r="F113" i="41"/>
  <c r="F112" i="41"/>
  <c r="F111" i="41"/>
  <c r="F110" i="41"/>
  <c r="F109" i="41"/>
  <c r="F108" i="41"/>
  <c r="F107" i="41"/>
  <c r="F106" i="41"/>
  <c r="F105" i="41"/>
  <c r="F104" i="41"/>
  <c r="F103" i="41"/>
  <c r="F102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I406" i="42" l="1"/>
  <c r="Y406" i="42" s="1"/>
  <c r="H578" i="28"/>
  <c r="I403" i="42"/>
  <c r="Y1006" i="42"/>
  <c r="J842" i="27"/>
  <c r="H973" i="37"/>
  <c r="H970" i="37"/>
  <c r="F1097" i="29"/>
  <c r="H930" i="37"/>
  <c r="H929" i="37"/>
  <c r="H927" i="37"/>
  <c r="H928" i="37"/>
  <c r="H926" i="37"/>
  <c r="H925" i="37"/>
  <c r="H885" i="37"/>
  <c r="H883" i="37"/>
  <c r="H872" i="37"/>
  <c r="H860" i="37"/>
  <c r="H856" i="37"/>
  <c r="H855" i="37"/>
  <c r="H854" i="37"/>
  <c r="H853" i="37"/>
  <c r="H850" i="37"/>
  <c r="H851" i="37"/>
  <c r="H849" i="37"/>
  <c r="H848" i="37"/>
  <c r="H734" i="37"/>
  <c r="H733" i="37"/>
  <c r="H732" i="37"/>
  <c r="H731" i="37"/>
  <c r="H730" i="37"/>
  <c r="H729" i="37"/>
  <c r="H728" i="37"/>
  <c r="H726" i="37"/>
  <c r="H727" i="37"/>
  <c r="H725" i="37"/>
  <c r="H724" i="37"/>
  <c r="H675" i="37"/>
  <c r="H601" i="37"/>
  <c r="H575" i="37"/>
  <c r="H573" i="37"/>
  <c r="H567" i="37"/>
  <c r="H548" i="37"/>
  <c r="H547" i="37"/>
  <c r="H545" i="37"/>
  <c r="H546" i="37"/>
  <c r="H544" i="37"/>
  <c r="H543" i="37"/>
  <c r="H394" i="37"/>
  <c r="H392" i="37"/>
  <c r="H393" i="37"/>
  <c r="H391" i="37"/>
  <c r="H390" i="37"/>
  <c r="H344" i="37"/>
  <c r="H206" i="37"/>
  <c r="H205" i="37"/>
  <c r="H203" i="37"/>
  <c r="H204" i="37"/>
  <c r="H202" i="37"/>
  <c r="H201" i="37"/>
  <c r="H200" i="37"/>
  <c r="H199" i="37"/>
  <c r="H197" i="37"/>
  <c r="H198" i="37"/>
  <c r="H196" i="37"/>
  <c r="H195" i="37"/>
  <c r="H194" i="37"/>
  <c r="H193" i="37"/>
  <c r="H191" i="37"/>
  <c r="H192" i="37"/>
  <c r="H190" i="37"/>
  <c r="H189" i="37"/>
  <c r="H182" i="37"/>
  <c r="H181" i="37"/>
  <c r="H179" i="37"/>
  <c r="H180" i="37"/>
  <c r="H178" i="37"/>
  <c r="H177" i="37"/>
  <c r="H87" i="37"/>
  <c r="K2" i="35"/>
  <c r="H20" i="35"/>
  <c r="F1097" i="31"/>
  <c r="F1103" i="29"/>
  <c r="F2203" i="28"/>
  <c r="F52" i="31"/>
  <c r="F91" i="27"/>
  <c r="J91" i="27" s="1"/>
  <c r="C90" i="27"/>
  <c r="F48" i="27"/>
  <c r="J48" i="27" s="1"/>
  <c r="F47" i="27"/>
  <c r="J47" i="27" s="1"/>
  <c r="C46" i="27"/>
  <c r="W2203" i="28" l="1"/>
  <c r="K973" i="37"/>
  <c r="I968" i="42"/>
  <c r="Y968" i="42" s="1"/>
  <c r="K970" i="37"/>
  <c r="I965" i="42"/>
  <c r="K860" i="37"/>
  <c r="I855" i="42"/>
  <c r="Y403" i="42"/>
  <c r="K675" i="37"/>
  <c r="I670" i="42"/>
  <c r="Y670" i="42" s="1"/>
  <c r="J274" i="27"/>
  <c r="J275" i="27"/>
  <c r="J294" i="27"/>
  <c r="J295" i="27"/>
  <c r="F261" i="27"/>
  <c r="C247" i="28"/>
  <c r="C248" i="28"/>
  <c r="F248" i="28" s="1"/>
  <c r="J248" i="28" s="1"/>
  <c r="L1035" i="28"/>
  <c r="L1038" i="28"/>
  <c r="L1039" i="28"/>
  <c r="L1040" i="28"/>
  <c r="L1041" i="28"/>
  <c r="L1043" i="28"/>
  <c r="L1049" i="28"/>
  <c r="L1050" i="28"/>
  <c r="L1054" i="28"/>
  <c r="X1183" i="31"/>
  <c r="X1185" i="31"/>
  <c r="X1187" i="31"/>
  <c r="X1188" i="31"/>
  <c r="X1189" i="31"/>
  <c r="X1191" i="31"/>
  <c r="X1192" i="31"/>
  <c r="F47" i="36"/>
  <c r="F942" i="31"/>
  <c r="F939" i="31"/>
  <c r="F938" i="31"/>
  <c r="F937" i="31"/>
  <c r="I849" i="42" s="1"/>
  <c r="Y849" i="42" s="1"/>
  <c r="F935" i="31"/>
  <c r="F933" i="31"/>
  <c r="F931" i="31"/>
  <c r="F930" i="31"/>
  <c r="I846" i="42" s="1"/>
  <c r="F966" i="31"/>
  <c r="C967" i="31"/>
  <c r="F967" i="31" s="1"/>
  <c r="F969" i="31"/>
  <c r="F971" i="31"/>
  <c r="F972" i="31"/>
  <c r="F973" i="31"/>
  <c r="F976" i="31"/>
  <c r="F977" i="31"/>
  <c r="F978" i="31"/>
  <c r="C983" i="31"/>
  <c r="F983" i="31" s="1"/>
  <c r="C984" i="31"/>
  <c r="F984" i="31" s="1"/>
  <c r="F986" i="31"/>
  <c r="F46" i="36"/>
  <c r="I1013" i="42" s="1"/>
  <c r="C16" i="36"/>
  <c r="B106" i="27"/>
  <c r="Q2193" i="28"/>
  <c r="Q2196" i="28"/>
  <c r="Q2200" i="28"/>
  <c r="F17" i="36"/>
  <c r="F18" i="36"/>
  <c r="R40" i="28"/>
  <c r="R62" i="28"/>
  <c r="R69" i="28"/>
  <c r="J29" i="35"/>
  <c r="K29" i="35"/>
  <c r="K22" i="37"/>
  <c r="C349" i="28"/>
  <c r="G25" i="35"/>
  <c r="G26" i="35" s="1"/>
  <c r="C1182" i="31"/>
  <c r="F1175" i="31"/>
  <c r="F1180" i="31"/>
  <c r="U1180" i="31" s="1"/>
  <c r="C1179" i="31"/>
  <c r="F1179" i="31" s="1"/>
  <c r="I878" i="42" s="1"/>
  <c r="Y878" i="42" s="1"/>
  <c r="F1184" i="31"/>
  <c r="I880" i="42" s="1"/>
  <c r="Y880" i="42" s="1"/>
  <c r="F994" i="31"/>
  <c r="F995" i="31"/>
  <c r="F993" i="31"/>
  <c r="F218" i="27"/>
  <c r="J218" i="27" s="1"/>
  <c r="F2292" i="28"/>
  <c r="K2292" i="28" s="1"/>
  <c r="F162" i="31"/>
  <c r="F140" i="27"/>
  <c r="J140" i="27" s="1"/>
  <c r="C58" i="31"/>
  <c r="F1892" i="28"/>
  <c r="F1893" i="28" s="1"/>
  <c r="F1888" i="28"/>
  <c r="F1887" i="28"/>
  <c r="F1886" i="28"/>
  <c r="F1885" i="28"/>
  <c r="F1884" i="28"/>
  <c r="F1883" i="28"/>
  <c r="F1882" i="28"/>
  <c r="F1881" i="28"/>
  <c r="F1880" i="28"/>
  <c r="F1879" i="28"/>
  <c r="F1878" i="28"/>
  <c r="F1877" i="28"/>
  <c r="F1876" i="28"/>
  <c r="F1875" i="28"/>
  <c r="F1874" i="28"/>
  <c r="F1870" i="28"/>
  <c r="F1869" i="28"/>
  <c r="F1868" i="28"/>
  <c r="F1865" i="28"/>
  <c r="F1866" i="28" s="1"/>
  <c r="F1536" i="28"/>
  <c r="F1535" i="28"/>
  <c r="F1534" i="28"/>
  <c r="F1533" i="28"/>
  <c r="F1532" i="28"/>
  <c r="F1531" i="28"/>
  <c r="F1530" i="28"/>
  <c r="F1527" i="28"/>
  <c r="F1526" i="28"/>
  <c r="F1523" i="28"/>
  <c r="F1524" i="28" s="1"/>
  <c r="F1315" i="28"/>
  <c r="F1314" i="28"/>
  <c r="F1313" i="28"/>
  <c r="F1312" i="28"/>
  <c r="F1311" i="28"/>
  <c r="F1310" i="28"/>
  <c r="F1309" i="28"/>
  <c r="F1308" i="28"/>
  <c r="F1307" i="28"/>
  <c r="F1304" i="28"/>
  <c r="F1303" i="28"/>
  <c r="F1300" i="28"/>
  <c r="F1301" i="28" s="1"/>
  <c r="F1167" i="28"/>
  <c r="F1166" i="28"/>
  <c r="F1165" i="28"/>
  <c r="F1164" i="28"/>
  <c r="F1163" i="28"/>
  <c r="F1162" i="28"/>
  <c r="F1161" i="28"/>
  <c r="F1160" i="28"/>
  <c r="F1157" i="28"/>
  <c r="F1156" i="28"/>
  <c r="F1153" i="28"/>
  <c r="F1154" i="28" s="1"/>
  <c r="C940" i="28"/>
  <c r="F355" i="28"/>
  <c r="F354" i="28"/>
  <c r="F353" i="28"/>
  <c r="F352" i="28"/>
  <c r="C333" i="28"/>
  <c r="C332" i="28"/>
  <c r="F1062" i="27"/>
  <c r="F1061" i="27"/>
  <c r="F1060" i="27"/>
  <c r="F1059" i="27"/>
  <c r="F1056" i="27"/>
  <c r="F1055" i="27"/>
  <c r="F1052" i="27"/>
  <c r="F1053" i="27" s="1"/>
  <c r="F1026" i="27"/>
  <c r="F1025" i="27"/>
  <c r="F1024" i="27"/>
  <c r="F1023" i="27"/>
  <c r="F1022" i="27"/>
  <c r="F1021" i="27"/>
  <c r="F1020" i="27"/>
  <c r="F1019" i="27"/>
  <c r="F1018" i="27"/>
  <c r="F1017" i="27"/>
  <c r="F1016" i="27"/>
  <c r="F1015" i="27"/>
  <c r="F1014" i="27"/>
  <c r="F1013" i="27"/>
  <c r="F1012" i="27"/>
  <c r="F1009" i="27"/>
  <c r="F1008" i="27"/>
  <c r="F1005" i="27"/>
  <c r="F1006" i="27" s="1"/>
  <c r="F979" i="27"/>
  <c r="F978" i="27"/>
  <c r="F977" i="27"/>
  <c r="F976" i="27"/>
  <c r="F975" i="27"/>
  <c r="F974" i="27"/>
  <c r="F973" i="27"/>
  <c r="F972" i="27"/>
  <c r="F971" i="27"/>
  <c r="F970" i="27"/>
  <c r="F969" i="27"/>
  <c r="F968" i="27"/>
  <c r="F967" i="27"/>
  <c r="F966" i="27"/>
  <c r="F965" i="27"/>
  <c r="F962" i="27"/>
  <c r="F961" i="27"/>
  <c r="F958" i="27"/>
  <c r="F959" i="27" s="1"/>
  <c r="F891" i="27"/>
  <c r="F890" i="27"/>
  <c r="F889" i="27"/>
  <c r="F888" i="27"/>
  <c r="F887" i="27"/>
  <c r="F886" i="27"/>
  <c r="F885" i="27"/>
  <c r="F884" i="27"/>
  <c r="F883" i="27"/>
  <c r="F882" i="27"/>
  <c r="F881" i="27"/>
  <c r="F880" i="27"/>
  <c r="F879" i="27"/>
  <c r="F876" i="27"/>
  <c r="F875" i="27"/>
  <c r="F872" i="27"/>
  <c r="F873" i="27" s="1"/>
  <c r="F23" i="40"/>
  <c r="F222" i="27"/>
  <c r="J222" i="27" s="1"/>
  <c r="F413" i="27"/>
  <c r="F17" i="40"/>
  <c r="F18" i="40" s="1"/>
  <c r="F15" i="40"/>
  <c r="G56" i="40"/>
  <c r="G58" i="40" s="1"/>
  <c r="G57" i="40"/>
  <c r="G54" i="40"/>
  <c r="G55" i="40" s="1"/>
  <c r="F4" i="40"/>
  <c r="B16" i="40"/>
  <c r="D16" i="40" s="1"/>
  <c r="C503" i="28"/>
  <c r="F503" i="28" s="1"/>
  <c r="F504" i="28"/>
  <c r="C500" i="28"/>
  <c r="F500" i="28" s="1"/>
  <c r="C2353" i="28"/>
  <c r="F2353" i="28" s="1"/>
  <c r="F2352" i="28"/>
  <c r="I389" i="42" l="1"/>
  <c r="Y389" i="42" s="1"/>
  <c r="K204" i="37"/>
  <c r="I199" i="42"/>
  <c r="K180" i="37"/>
  <c r="I175" i="42"/>
  <c r="K192" i="37"/>
  <c r="I187" i="42"/>
  <c r="Y846" i="42"/>
  <c r="S47" i="36"/>
  <c r="I1014" i="42"/>
  <c r="Y1014" i="42" s="1"/>
  <c r="K856" i="37"/>
  <c r="I851" i="42"/>
  <c r="Y851" i="42" s="1"/>
  <c r="K393" i="37"/>
  <c r="I388" i="42"/>
  <c r="Y388" i="42" s="1"/>
  <c r="K198" i="37"/>
  <c r="I193" i="42"/>
  <c r="K546" i="37"/>
  <c r="I541" i="42"/>
  <c r="K852" i="37"/>
  <c r="I847" i="42"/>
  <c r="Y847" i="42" s="1"/>
  <c r="Y855" i="42"/>
  <c r="Y965" i="42"/>
  <c r="K601" i="37"/>
  <c r="I596" i="42"/>
  <c r="Y596" i="42" s="1"/>
  <c r="Y1013" i="42"/>
  <c r="I1010" i="42"/>
  <c r="K853" i="37"/>
  <c r="I848" i="42"/>
  <c r="Y848" i="42" s="1"/>
  <c r="K87" i="37"/>
  <c r="I82" i="42"/>
  <c r="Y82" i="42" s="1"/>
  <c r="X1175" i="31"/>
  <c r="K854" i="37"/>
  <c r="X1184" i="31"/>
  <c r="K885" i="37"/>
  <c r="U1179" i="31"/>
  <c r="K883" i="37"/>
  <c r="K851" i="37"/>
  <c r="K394" i="37"/>
  <c r="K261" i="27"/>
  <c r="F944" i="31"/>
  <c r="L944" i="31" s="1"/>
  <c r="G61" i="40"/>
  <c r="L29" i="35"/>
  <c r="F1057" i="27"/>
  <c r="F1010" i="27"/>
  <c r="F1063" i="27"/>
  <c r="F1889" i="28"/>
  <c r="F1871" i="28"/>
  <c r="F1305" i="28"/>
  <c r="F1537" i="28"/>
  <c r="F1528" i="28"/>
  <c r="F1317" i="28"/>
  <c r="F1158" i="28"/>
  <c r="F1168" i="28"/>
  <c r="F963" i="27"/>
  <c r="F1027" i="27"/>
  <c r="F980" i="27"/>
  <c r="F877" i="27"/>
  <c r="F892" i="27"/>
  <c r="I177" i="42" s="1"/>
  <c r="Y177" i="42" s="1"/>
  <c r="F22" i="40"/>
  <c r="D14" i="40"/>
  <c r="D9" i="40"/>
  <c r="D10" i="40"/>
  <c r="D7" i="40"/>
  <c r="D3" i="40"/>
  <c r="E3" i="40" s="1"/>
  <c r="D4" i="40"/>
  <c r="D5" i="40"/>
  <c r="F5" i="40" s="1"/>
  <c r="D2" i="40"/>
  <c r="E2" i="40" s="1"/>
  <c r="D44" i="40"/>
  <c r="D43" i="40"/>
  <c r="D42" i="40"/>
  <c r="D41" i="40"/>
  <c r="D37" i="40"/>
  <c r="D36" i="40"/>
  <c r="D35" i="40"/>
  <c r="D34" i="40"/>
  <c r="D33" i="40"/>
  <c r="D29" i="40"/>
  <c r="D28" i="40"/>
  <c r="D27" i="40"/>
  <c r="D26" i="40"/>
  <c r="D23" i="40"/>
  <c r="D22" i="40"/>
  <c r="D21" i="40"/>
  <c r="B17" i="40"/>
  <c r="D17" i="40" s="1"/>
  <c r="B15" i="40"/>
  <c r="D15" i="40" s="1"/>
  <c r="K199" i="37" l="1"/>
  <c r="I194" i="42"/>
  <c r="Y194" i="42" s="1"/>
  <c r="I843" i="42"/>
  <c r="Y843" i="42" s="1"/>
  <c r="K205" i="37"/>
  <c r="I200" i="42"/>
  <c r="Y200" i="42" s="1"/>
  <c r="K181" i="37"/>
  <c r="I176" i="42"/>
  <c r="Y176" i="42" s="1"/>
  <c r="Y175" i="42"/>
  <c r="K547" i="37"/>
  <c r="I542" i="42"/>
  <c r="Y542" i="42" s="1"/>
  <c r="Y1010" i="42"/>
  <c r="I1009" i="42"/>
  <c r="Y1009" i="42" s="1"/>
  <c r="K200" i="37"/>
  <c r="I195" i="42"/>
  <c r="Y195" i="42" s="1"/>
  <c r="Y541" i="42"/>
  <c r="K194" i="37"/>
  <c r="I189" i="42"/>
  <c r="Y189" i="42" s="1"/>
  <c r="K193" i="37"/>
  <c r="I188" i="42"/>
  <c r="Y188" i="42" s="1"/>
  <c r="Y199" i="42"/>
  <c r="Y187" i="42"/>
  <c r="K548" i="37"/>
  <c r="I543" i="42"/>
  <c r="Y543" i="42" s="1"/>
  <c r="K206" i="37"/>
  <c r="I201" i="42"/>
  <c r="Y201" i="42" s="1"/>
  <c r="Y193" i="42"/>
  <c r="F893" i="27"/>
  <c r="P893" i="27" s="1"/>
  <c r="K182" i="37"/>
  <c r="F1895" i="28"/>
  <c r="F1028" i="27"/>
  <c r="F1169" i="28"/>
  <c r="L1169" i="28" s="1"/>
  <c r="F1064" i="27"/>
  <c r="K1064" i="27" s="1"/>
  <c r="F981" i="27"/>
  <c r="P981" i="27" s="1"/>
  <c r="L1318" i="28"/>
  <c r="F1035" i="29"/>
  <c r="I953" i="42" s="1"/>
  <c r="Y953" i="42" s="1"/>
  <c r="F36" i="35"/>
  <c r="F37" i="35" s="1"/>
  <c r="E33" i="35"/>
  <c r="E34" i="35"/>
  <c r="I196" i="42" l="1"/>
  <c r="Y196" i="42" s="1"/>
  <c r="I190" i="42"/>
  <c r="Y190" i="42" s="1"/>
  <c r="I184" i="42"/>
  <c r="Y184" i="42" s="1"/>
  <c r="I538" i="42"/>
  <c r="Y538" i="42" s="1"/>
  <c r="I172" i="42"/>
  <c r="Y172" i="42" s="1"/>
  <c r="P1028" i="27"/>
  <c r="M195" i="37"/>
  <c r="H588" i="37"/>
  <c r="H566" i="37"/>
  <c r="H565" i="37"/>
  <c r="H564" i="37"/>
  <c r="H445" i="37"/>
  <c r="H388" i="37"/>
  <c r="H170" i="37"/>
  <c r="H165" i="42" s="1"/>
  <c r="F830" i="27"/>
  <c r="F259" i="27"/>
  <c r="J259" i="27" s="1"/>
  <c r="H878" i="37"/>
  <c r="H877" i="37"/>
  <c r="F1151" i="31"/>
  <c r="I873" i="42" s="1"/>
  <c r="Y873" i="42" s="1"/>
  <c r="K1027" i="37"/>
  <c r="I271" i="41" s="1"/>
  <c r="H750" i="37"/>
  <c r="H718" i="37"/>
  <c r="H1019" i="37"/>
  <c r="H1017" i="37"/>
  <c r="H1018" i="37"/>
  <c r="H1016" i="37"/>
  <c r="H1015" i="37"/>
  <c r="H1014" i="37"/>
  <c r="H1013" i="37"/>
  <c r="H1012" i="37"/>
  <c r="H1010" i="37"/>
  <c r="H1011" i="37"/>
  <c r="H1009" i="37"/>
  <c r="H1008" i="37"/>
  <c r="H1006" i="37"/>
  <c r="H1005" i="37"/>
  <c r="H1004" i="37"/>
  <c r="H1003" i="37"/>
  <c r="H1002" i="37"/>
  <c r="H1001" i="37"/>
  <c r="H999" i="37"/>
  <c r="H1000" i="37"/>
  <c r="H998" i="37"/>
  <c r="H997" i="37"/>
  <c r="H996" i="37"/>
  <c r="H995" i="37"/>
  <c r="H994" i="37"/>
  <c r="H993" i="37"/>
  <c r="H992" i="37"/>
  <c r="H991" i="37"/>
  <c r="H990" i="37"/>
  <c r="H989" i="37"/>
  <c r="H988" i="37"/>
  <c r="H987" i="37"/>
  <c r="H986" i="37"/>
  <c r="H985" i="37"/>
  <c r="H984" i="37"/>
  <c r="H983" i="37"/>
  <c r="H982" i="37"/>
  <c r="H981" i="37"/>
  <c r="H980" i="37"/>
  <c r="H979" i="37"/>
  <c r="H978" i="37"/>
  <c r="H977" i="37"/>
  <c r="H975" i="37"/>
  <c r="H974" i="37"/>
  <c r="H972" i="37"/>
  <c r="H969" i="37"/>
  <c r="H971" i="37"/>
  <c r="H968" i="37"/>
  <c r="H967" i="37"/>
  <c r="H966" i="37"/>
  <c r="H965" i="37"/>
  <c r="H964" i="37"/>
  <c r="H963" i="37"/>
  <c r="H962" i="37"/>
  <c r="H961" i="37"/>
  <c r="H960" i="37"/>
  <c r="H959" i="37"/>
  <c r="H958" i="37"/>
  <c r="H957" i="37"/>
  <c r="H956" i="37"/>
  <c r="H955" i="37"/>
  <c r="H954" i="37"/>
  <c r="H953" i="37"/>
  <c r="H952" i="37"/>
  <c r="H950" i="37"/>
  <c r="H951" i="37"/>
  <c r="H949" i="37"/>
  <c r="H948" i="37"/>
  <c r="H947" i="37"/>
  <c r="H946" i="37"/>
  <c r="H945" i="37"/>
  <c r="H944" i="37"/>
  <c r="H943" i="37"/>
  <c r="H942" i="37"/>
  <c r="H941" i="37"/>
  <c r="H940" i="37"/>
  <c r="H939" i="37"/>
  <c r="H938" i="37"/>
  <c r="H937" i="37"/>
  <c r="H936" i="37"/>
  <c r="H935" i="37"/>
  <c r="H933" i="37"/>
  <c r="H934" i="37"/>
  <c r="H932" i="37"/>
  <c r="H931" i="37"/>
  <c r="H924" i="37"/>
  <c r="H923" i="37"/>
  <c r="H922" i="37"/>
  <c r="H921" i="37"/>
  <c r="H920" i="37"/>
  <c r="H919" i="37"/>
  <c r="H918" i="37"/>
  <c r="H916" i="37"/>
  <c r="H917" i="37"/>
  <c r="H915" i="37"/>
  <c r="H914" i="37"/>
  <c r="H913" i="37"/>
  <c r="H912" i="37"/>
  <c r="H911" i="37"/>
  <c r="H910" i="37"/>
  <c r="H909" i="37"/>
  <c r="H908" i="37"/>
  <c r="H907" i="37"/>
  <c r="H905" i="37"/>
  <c r="H906" i="37"/>
  <c r="H904" i="37"/>
  <c r="H903" i="37"/>
  <c r="K830" i="27" l="1"/>
  <c r="K1035" i="37"/>
  <c r="K878" i="37"/>
  <c r="Q1151" i="31"/>
  <c r="H901" i="37"/>
  <c r="H900" i="37"/>
  <c r="H899" i="37"/>
  <c r="H898" i="37"/>
  <c r="H897" i="37"/>
  <c r="H896" i="37"/>
  <c r="H895" i="37"/>
  <c r="H893" i="37"/>
  <c r="H894" i="37"/>
  <c r="H892" i="37"/>
  <c r="H891" i="37"/>
  <c r="H890" i="37"/>
  <c r="H889" i="37"/>
  <c r="H888" i="37"/>
  <c r="H887" i="37"/>
  <c r="H886" i="37"/>
  <c r="H884" i="37"/>
  <c r="H881" i="37"/>
  <c r="H882" i="37"/>
  <c r="H880" i="37"/>
  <c r="H879" i="37"/>
  <c r="H876" i="37"/>
  <c r="H875" i="37"/>
  <c r="H874" i="37"/>
  <c r="H873" i="37"/>
  <c r="H871" i="37"/>
  <c r="H869" i="37"/>
  <c r="H870" i="37"/>
  <c r="H868" i="37"/>
  <c r="H867" i="37"/>
  <c r="H866" i="37"/>
  <c r="H865" i="37"/>
  <c r="H864" i="37"/>
  <c r="H863" i="37"/>
  <c r="H862" i="37"/>
  <c r="H859" i="37"/>
  <c r="H861" i="37"/>
  <c r="H858" i="37"/>
  <c r="H857" i="37"/>
  <c r="H852" i="37"/>
  <c r="H845" i="37"/>
  <c r="H846" i="37"/>
  <c r="H844" i="37"/>
  <c r="H843" i="37"/>
  <c r="H842" i="37"/>
  <c r="H841" i="37"/>
  <c r="H840" i="37"/>
  <c r="H839" i="37"/>
  <c r="H837" i="37"/>
  <c r="H838" i="37"/>
  <c r="H836" i="37"/>
  <c r="H835" i="37"/>
  <c r="H834" i="37"/>
  <c r="H833" i="37"/>
  <c r="H832" i="37"/>
  <c r="H831" i="37"/>
  <c r="H829" i="37"/>
  <c r="H830" i="37"/>
  <c r="H828" i="37"/>
  <c r="H827" i="37"/>
  <c r="H826" i="37"/>
  <c r="H825" i="37"/>
  <c r="H824" i="37"/>
  <c r="H823" i="37"/>
  <c r="H822" i="37"/>
  <c r="H821" i="37"/>
  <c r="H819" i="37"/>
  <c r="H820" i="37"/>
  <c r="H818" i="37"/>
  <c r="H817" i="37"/>
  <c r="H816" i="37"/>
  <c r="H815" i="37"/>
  <c r="H814" i="37"/>
  <c r="H813" i="37"/>
  <c r="H812" i="37"/>
  <c r="H811" i="37"/>
  <c r="H809" i="37"/>
  <c r="H810" i="37"/>
  <c r="H808" i="37"/>
  <c r="H807" i="37"/>
  <c r="H806" i="37"/>
  <c r="H805" i="37"/>
  <c r="H804" i="37"/>
  <c r="H803" i="37"/>
  <c r="H802" i="37"/>
  <c r="H801" i="37"/>
  <c r="H800" i="37"/>
  <c r="H799" i="37"/>
  <c r="H797" i="37"/>
  <c r="H798" i="37"/>
  <c r="H796" i="37"/>
  <c r="H795" i="37"/>
  <c r="H791" i="37"/>
  <c r="H792" i="37"/>
  <c r="H793" i="37"/>
  <c r="H790" i="37"/>
  <c r="H789" i="37"/>
  <c r="H787" i="37"/>
  <c r="H788" i="37"/>
  <c r="H786" i="37"/>
  <c r="H784" i="37"/>
  <c r="H785" i="37"/>
  <c r="H783" i="37"/>
  <c r="H782" i="37"/>
  <c r="H780" i="37"/>
  <c r="H781" i="37"/>
  <c r="H779" i="37"/>
  <c r="H778" i="37"/>
  <c r="H776" i="37"/>
  <c r="H777" i="37"/>
  <c r="H775" i="37"/>
  <c r="H774" i="37"/>
  <c r="H772" i="37"/>
  <c r="H773" i="37"/>
  <c r="H771" i="37"/>
  <c r="H770" i="37"/>
  <c r="H769" i="37"/>
  <c r="H768" i="37"/>
  <c r="H767" i="37"/>
  <c r="H765" i="37"/>
  <c r="H766" i="37"/>
  <c r="H764" i="37"/>
  <c r="H763" i="37"/>
  <c r="H761" i="37"/>
  <c r="H762" i="37"/>
  <c r="H760" i="37"/>
  <c r="H759" i="37"/>
  <c r="H758" i="37"/>
  <c r="H757" i="37"/>
  <c r="H755" i="37"/>
  <c r="H756" i="37"/>
  <c r="H754" i="37"/>
  <c r="H753" i="37"/>
  <c r="H752" i="37"/>
  <c r="H751" i="37"/>
  <c r="H749" i="37"/>
  <c r="H748" i="37"/>
  <c r="H747" i="37"/>
  <c r="H745" i="37"/>
  <c r="H746" i="37"/>
  <c r="H744" i="37"/>
  <c r="H743" i="37"/>
  <c r="H742" i="37"/>
  <c r="H741" i="37"/>
  <c r="H740" i="37"/>
  <c r="H739" i="37"/>
  <c r="H737" i="37"/>
  <c r="H738" i="37"/>
  <c r="H736" i="37"/>
  <c r="H735" i="37"/>
  <c r="H723" i="37"/>
  <c r="H722" i="37"/>
  <c r="H721" i="37"/>
  <c r="H720" i="37"/>
  <c r="H719" i="37"/>
  <c r="H715" i="37"/>
  <c r="H717" i="37"/>
  <c r="H714" i="37"/>
  <c r="H713" i="37"/>
  <c r="H712" i="37"/>
  <c r="H711" i="37"/>
  <c r="H710" i="37"/>
  <c r="H709" i="37"/>
  <c r="H708" i="37"/>
  <c r="H707" i="37"/>
  <c r="H706" i="37"/>
  <c r="H705" i="37"/>
  <c r="H704" i="37"/>
  <c r="H702" i="37"/>
  <c r="H703" i="37"/>
  <c r="H701" i="37"/>
  <c r="H700" i="37"/>
  <c r="H698" i="37"/>
  <c r="H697" i="37"/>
  <c r="K696" i="37"/>
  <c r="H696" i="37"/>
  <c r="H695" i="37"/>
  <c r="H694" i="37"/>
  <c r="H693" i="37"/>
  <c r="H691" i="37"/>
  <c r="H692" i="37"/>
  <c r="H690" i="37"/>
  <c r="H689" i="37"/>
  <c r="H688" i="37"/>
  <c r="H687" i="37"/>
  <c r="H686" i="37"/>
  <c r="H685" i="37"/>
  <c r="H684" i="37"/>
  <c r="H683" i="37"/>
  <c r="K682" i="37"/>
  <c r="H681" i="37"/>
  <c r="H682" i="37"/>
  <c r="H680" i="37"/>
  <c r="H679" i="37"/>
  <c r="H678" i="37"/>
  <c r="H677" i="37"/>
  <c r="H676" i="37"/>
  <c r="H673" i="37"/>
  <c r="H674" i="37"/>
  <c r="H672" i="37"/>
  <c r="H671" i="37"/>
  <c r="H670" i="37"/>
  <c r="H669" i="37"/>
  <c r="H668" i="37"/>
  <c r="H667" i="37"/>
  <c r="H666" i="37"/>
  <c r="H665" i="37"/>
  <c r="H664" i="37"/>
  <c r="H663" i="37"/>
  <c r="H662" i="37"/>
  <c r="H661" i="37"/>
  <c r="H295" i="37"/>
  <c r="H660" i="37"/>
  <c r="H659" i="37"/>
  <c r="H658" i="37"/>
  <c r="H657" i="37"/>
  <c r="H656" i="37"/>
  <c r="H655" i="37"/>
  <c r="H654" i="37"/>
  <c r="H653" i="37"/>
  <c r="H651" i="37"/>
  <c r="H652" i="37"/>
  <c r="H650" i="37"/>
  <c r="H649" i="37"/>
  <c r="H646" i="37"/>
  <c r="H647" i="37"/>
  <c r="H645" i="37"/>
  <c r="H644" i="37"/>
  <c r="H642" i="37"/>
  <c r="H641" i="37"/>
  <c r="H640" i="37"/>
  <c r="H639" i="37"/>
  <c r="H638" i="37"/>
  <c r="H637" i="37"/>
  <c r="H636" i="37"/>
  <c r="H635" i="37"/>
  <c r="H634" i="37"/>
  <c r="H632" i="37"/>
  <c r="H633" i="37"/>
  <c r="H631" i="37"/>
  <c r="H630" i="37"/>
  <c r="H628" i="37"/>
  <c r="H626" i="37"/>
  <c r="H627" i="37"/>
  <c r="H625" i="37"/>
  <c r="H624" i="37"/>
  <c r="H623" i="37"/>
  <c r="H622" i="37"/>
  <c r="H621" i="37"/>
  <c r="H619" i="37"/>
  <c r="H620" i="37"/>
  <c r="H618" i="37"/>
  <c r="H617" i="37"/>
  <c r="H616" i="37"/>
  <c r="H615" i="37"/>
  <c r="H614" i="37"/>
  <c r="H613" i="37"/>
  <c r="H612" i="37"/>
  <c r="H611" i="37"/>
  <c r="H610" i="37"/>
  <c r="H608" i="37"/>
  <c r="H609" i="37"/>
  <c r="H607" i="37"/>
  <c r="H606" i="37"/>
  <c r="H605" i="37"/>
  <c r="H604" i="37"/>
  <c r="H603" i="37"/>
  <c r="H602" i="37"/>
  <c r="H599" i="37"/>
  <c r="H600" i="37"/>
  <c r="H598" i="37"/>
  <c r="H597" i="37"/>
  <c r="H587" i="37"/>
  <c r="H596" i="37"/>
  <c r="H595" i="37"/>
  <c r="H594" i="37"/>
  <c r="H593" i="37"/>
  <c r="H592" i="37"/>
  <c r="H591" i="37"/>
  <c r="H590" i="37"/>
  <c r="H589" i="37"/>
  <c r="H586" i="37"/>
  <c r="H585" i="37"/>
  <c r="H584" i="37"/>
  <c r="H583" i="37"/>
  <c r="H582" i="37"/>
  <c r="H579" i="37"/>
  <c r="H580" i="37"/>
  <c r="H581" i="37"/>
  <c r="H578" i="37"/>
  <c r="H577" i="37"/>
  <c r="H576" i="37"/>
  <c r="H574" i="37"/>
  <c r="H572" i="37"/>
  <c r="H571" i="37"/>
  <c r="H570" i="37"/>
  <c r="H569" i="37"/>
  <c r="H563" i="37"/>
  <c r="H562" i="37"/>
  <c r="H560" i="37"/>
  <c r="H559" i="37"/>
  <c r="K558" i="37"/>
  <c r="K555" i="37" s="1"/>
  <c r="H557" i="37"/>
  <c r="H558" i="37"/>
  <c r="H556" i="37"/>
  <c r="H555" i="37"/>
  <c r="H554" i="37"/>
  <c r="H553" i="37"/>
  <c r="H551" i="37"/>
  <c r="H552" i="37"/>
  <c r="H550" i="37"/>
  <c r="H549" i="37"/>
  <c r="H541" i="37"/>
  <c r="H540" i="37"/>
  <c r="H539" i="37"/>
  <c r="H538" i="37"/>
  <c r="H536" i="37"/>
  <c r="H537" i="37"/>
  <c r="H535" i="37"/>
  <c r="H534" i="37"/>
  <c r="H533" i="37"/>
  <c r="H532" i="37"/>
  <c r="H531" i="37"/>
  <c r="H529" i="37"/>
  <c r="H530" i="37"/>
  <c r="H528" i="37"/>
  <c r="H527" i="37"/>
  <c r="H526" i="37"/>
  <c r="H525" i="37"/>
  <c r="H524" i="37"/>
  <c r="H523" i="37"/>
  <c r="H522" i="37"/>
  <c r="H521" i="37"/>
  <c r="H519" i="37"/>
  <c r="H520" i="37"/>
  <c r="H518" i="37"/>
  <c r="H517" i="37"/>
  <c r="H516" i="37"/>
  <c r="H513" i="37"/>
  <c r="H514" i="37"/>
  <c r="H515" i="37"/>
  <c r="H512" i="37"/>
  <c r="H511" i="37"/>
  <c r="H510" i="37"/>
  <c r="H509" i="37"/>
  <c r="H508" i="37"/>
  <c r="H507" i="37"/>
  <c r="H506" i="37"/>
  <c r="H505" i="37"/>
  <c r="H503" i="37"/>
  <c r="H504" i="37"/>
  <c r="H502" i="37"/>
  <c r="H501" i="37"/>
  <c r="H500" i="37"/>
  <c r="H499" i="37"/>
  <c r="H498" i="37"/>
  <c r="H497" i="37"/>
  <c r="H496" i="37"/>
  <c r="H495" i="37"/>
  <c r="H494" i="37"/>
  <c r="H493" i="37"/>
  <c r="H492" i="37"/>
  <c r="H491" i="37"/>
  <c r="H490" i="37"/>
  <c r="H489" i="37"/>
  <c r="H488" i="37"/>
  <c r="H486" i="37"/>
  <c r="H487" i="37"/>
  <c r="H485" i="37"/>
  <c r="H484" i="37"/>
  <c r="H483" i="37"/>
  <c r="H482" i="37"/>
  <c r="H481" i="37"/>
  <c r="H480" i="37"/>
  <c r="H478" i="37"/>
  <c r="H479" i="37"/>
  <c r="H477" i="37"/>
  <c r="H476" i="37"/>
  <c r="H475" i="37"/>
  <c r="H474" i="37"/>
  <c r="H473" i="37"/>
  <c r="H472" i="37"/>
  <c r="H471" i="37"/>
  <c r="H470" i="37"/>
  <c r="H469" i="37"/>
  <c r="H468" i="37"/>
  <c r="H467" i="37"/>
  <c r="H465" i="37"/>
  <c r="H466" i="37"/>
  <c r="H464" i="37"/>
  <c r="H463" i="37"/>
  <c r="H462" i="37"/>
  <c r="H461" i="37"/>
  <c r="H460" i="37"/>
  <c r="H459" i="37"/>
  <c r="H457" i="37"/>
  <c r="H458" i="37"/>
  <c r="H456" i="37"/>
  <c r="H455" i="37"/>
  <c r="H454" i="37"/>
  <c r="H453" i="37"/>
  <c r="H452" i="37"/>
  <c r="H451" i="37"/>
  <c r="H450" i="37"/>
  <c r="H449" i="37"/>
  <c r="H448" i="37"/>
  <c r="H447" i="37"/>
  <c r="H446" i="37"/>
  <c r="H444" i="37"/>
  <c r="H443" i="37"/>
  <c r="H442" i="37"/>
  <c r="H441" i="37"/>
  <c r="H440" i="37"/>
  <c r="H439" i="37"/>
  <c r="H438" i="37"/>
  <c r="H437" i="37"/>
  <c r="H435" i="37"/>
  <c r="H436" i="37"/>
  <c r="H434" i="37"/>
  <c r="H433" i="37"/>
  <c r="H432" i="37"/>
  <c r="H431" i="37"/>
  <c r="H430" i="37"/>
  <c r="H429" i="37"/>
  <c r="H428" i="37"/>
  <c r="H427" i="37"/>
  <c r="H426" i="37"/>
  <c r="H425" i="37"/>
  <c r="H424" i="37"/>
  <c r="H423" i="37"/>
  <c r="H422" i="37"/>
  <c r="H421" i="37"/>
  <c r="H419" i="37"/>
  <c r="H420" i="37"/>
  <c r="H418" i="37"/>
  <c r="H417" i="37"/>
  <c r="H416" i="37"/>
  <c r="H415" i="37"/>
  <c r="H414" i="37"/>
  <c r="H413" i="37"/>
  <c r="H412" i="37"/>
  <c r="K411" i="37"/>
  <c r="H411" i="37"/>
  <c r="H410" i="37"/>
  <c r="K409" i="37"/>
  <c r="H409" i="37"/>
  <c r="K408" i="37"/>
  <c r="H407" i="37"/>
  <c r="H408" i="37"/>
  <c r="H406" i="37"/>
  <c r="H405" i="37"/>
  <c r="H404" i="37"/>
  <c r="H403" i="37"/>
  <c r="H402" i="37"/>
  <c r="H401" i="37"/>
  <c r="H400" i="37"/>
  <c r="H399" i="37"/>
  <c r="H397" i="37"/>
  <c r="H398" i="37"/>
  <c r="H396" i="37"/>
  <c r="H395" i="37"/>
  <c r="H389" i="37"/>
  <c r="H387" i="37"/>
  <c r="H385" i="37"/>
  <c r="H386" i="37"/>
  <c r="H384" i="37"/>
  <c r="H383" i="37"/>
  <c r="H382" i="37"/>
  <c r="H381" i="37"/>
  <c r="H380" i="37"/>
  <c r="H379" i="37"/>
  <c r="H378" i="37"/>
  <c r="H377" i="37"/>
  <c r="H376" i="37"/>
  <c r="H375" i="37"/>
  <c r="H374" i="37"/>
  <c r="H373" i="37"/>
  <c r="H372" i="37"/>
  <c r="H371" i="37"/>
  <c r="H370" i="37"/>
  <c r="H369" i="37"/>
  <c r="H367" i="37"/>
  <c r="H368" i="37"/>
  <c r="H366" i="37"/>
  <c r="H365" i="37"/>
  <c r="H364" i="37"/>
  <c r="H363" i="37"/>
  <c r="H362" i="37"/>
  <c r="H361" i="37"/>
  <c r="H360" i="37"/>
  <c r="H359" i="37"/>
  <c r="H358" i="37"/>
  <c r="H357" i="37"/>
  <c r="H356" i="37"/>
  <c r="H355" i="37"/>
  <c r="H354" i="37"/>
  <c r="H352" i="37"/>
  <c r="H353" i="37"/>
  <c r="H351" i="37"/>
  <c r="H350" i="37"/>
  <c r="H349" i="37"/>
  <c r="H348" i="37"/>
  <c r="H347" i="37"/>
  <c r="H346" i="37"/>
  <c r="H345" i="37"/>
  <c r="H343" i="37"/>
  <c r="H341" i="37"/>
  <c r="H342" i="37"/>
  <c r="H340" i="37"/>
  <c r="H339" i="37"/>
  <c r="H338" i="37"/>
  <c r="H337" i="37"/>
  <c r="H336" i="37"/>
  <c r="H334" i="37"/>
  <c r="H335" i="37"/>
  <c r="H333" i="37"/>
  <c r="H332" i="37"/>
  <c r="H331" i="37"/>
  <c r="H330" i="37"/>
  <c r="H329" i="37"/>
  <c r="H328" i="37"/>
  <c r="H327" i="37"/>
  <c r="H326" i="37"/>
  <c r="H324" i="37"/>
  <c r="H325" i="37"/>
  <c r="H323" i="37"/>
  <c r="H322" i="37"/>
  <c r="H320" i="37"/>
  <c r="H321" i="37"/>
  <c r="H319" i="37"/>
  <c r="H318" i="37"/>
  <c r="H317" i="37"/>
  <c r="H316" i="37"/>
  <c r="H315" i="37"/>
  <c r="H314" i="37"/>
  <c r="H313" i="37"/>
  <c r="H312" i="37"/>
  <c r="H311" i="37"/>
  <c r="H310" i="37"/>
  <c r="H309" i="37"/>
  <c r="H308" i="37"/>
  <c r="K307" i="37"/>
  <c r="H307" i="37"/>
  <c r="H306" i="37"/>
  <c r="H305" i="37"/>
  <c r="H304" i="37"/>
  <c r="H303" i="37"/>
  <c r="H302" i="37"/>
  <c r="H301" i="37"/>
  <c r="H299" i="37"/>
  <c r="H300" i="37"/>
  <c r="H298" i="37"/>
  <c r="H297" i="37"/>
  <c r="H296" i="37"/>
  <c r="H176" i="37"/>
  <c r="H171" i="42" s="1"/>
  <c r="H174" i="37"/>
  <c r="H169" i="42" s="1"/>
  <c r="H173" i="37"/>
  <c r="H168" i="42" s="1"/>
  <c r="H293" i="37"/>
  <c r="H294" i="37"/>
  <c r="H292" i="37"/>
  <c r="H291" i="37"/>
  <c r="H289" i="37"/>
  <c r="H290" i="37"/>
  <c r="H288" i="37"/>
  <c r="H287" i="37"/>
  <c r="H286" i="37"/>
  <c r="H284" i="37"/>
  <c r="H285" i="37"/>
  <c r="H283" i="37"/>
  <c r="H282" i="37"/>
  <c r="H281" i="37"/>
  <c r="H279" i="37"/>
  <c r="H280" i="37"/>
  <c r="H278" i="37"/>
  <c r="H277" i="37"/>
  <c r="H276" i="37"/>
  <c r="H275" i="37"/>
  <c r="H274" i="37"/>
  <c r="H272" i="37"/>
  <c r="H273" i="37"/>
  <c r="H271" i="37"/>
  <c r="H270" i="37"/>
  <c r="H269" i="37"/>
  <c r="H268" i="37"/>
  <c r="H267" i="37"/>
  <c r="H266" i="37"/>
  <c r="H265" i="37"/>
  <c r="H264" i="37"/>
  <c r="H263" i="37"/>
  <c r="H262" i="37"/>
  <c r="H261" i="37"/>
  <c r="H260" i="37"/>
  <c r="H259" i="37"/>
  <c r="H258" i="37"/>
  <c r="H257" i="37"/>
  <c r="H256" i="37"/>
  <c r="H255" i="37"/>
  <c r="H254" i="37"/>
  <c r="H252" i="37"/>
  <c r="H253" i="37"/>
  <c r="H251" i="37"/>
  <c r="H250" i="37"/>
  <c r="H249" i="37"/>
  <c r="H248" i="37"/>
  <c r="H247" i="37"/>
  <c r="H246" i="37"/>
  <c r="H245" i="37"/>
  <c r="H244" i="37"/>
  <c r="H243" i="37"/>
  <c r="H242" i="37"/>
  <c r="H239" i="37"/>
  <c r="H241" i="37"/>
  <c r="H240" i="37"/>
  <c r="H238" i="37"/>
  <c r="H237" i="37"/>
  <c r="H236" i="37"/>
  <c r="H234" i="37"/>
  <c r="H235" i="37"/>
  <c r="H233" i="37"/>
  <c r="H218" i="37"/>
  <c r="H232" i="37"/>
  <c r="H231" i="37"/>
  <c r="H230" i="37"/>
  <c r="H228" i="37"/>
  <c r="H229" i="37"/>
  <c r="H227" i="37"/>
  <c r="H226" i="37"/>
  <c r="H225" i="37"/>
  <c r="H224" i="37"/>
  <c r="H221" i="37"/>
  <c r="H222" i="37"/>
  <c r="H223" i="37"/>
  <c r="H220" i="37"/>
  <c r="H219" i="37"/>
  <c r="H217" i="37"/>
  <c r="H215" i="37"/>
  <c r="H216" i="37"/>
  <c r="H214" i="37"/>
  <c r="H213" i="37"/>
  <c r="H212" i="37"/>
  <c r="H211" i="37"/>
  <c r="H209" i="37"/>
  <c r="H210" i="37"/>
  <c r="H208" i="37"/>
  <c r="H207" i="37"/>
  <c r="H188" i="37"/>
  <c r="H187" i="37"/>
  <c r="H185" i="37"/>
  <c r="H186" i="37"/>
  <c r="H184" i="37"/>
  <c r="H183" i="37"/>
  <c r="H172" i="37"/>
  <c r="H167" i="42" s="1"/>
  <c r="H171" i="37"/>
  <c r="H166" i="42" s="1"/>
  <c r="H169" i="37"/>
  <c r="H164" i="42" s="1"/>
  <c r="H168" i="37"/>
  <c r="H163" i="42" s="1"/>
  <c r="H166" i="37"/>
  <c r="H161" i="42" s="1"/>
  <c r="H167" i="37"/>
  <c r="H162" i="42" s="1"/>
  <c r="H165" i="37"/>
  <c r="H160" i="42" s="1"/>
  <c r="H164" i="37"/>
  <c r="H159" i="42" s="1"/>
  <c r="H161" i="37"/>
  <c r="H162" i="37"/>
  <c r="H160" i="37"/>
  <c r="H159" i="37"/>
  <c r="H157" i="37"/>
  <c r="H158" i="37"/>
  <c r="H156" i="37"/>
  <c r="H155" i="37"/>
  <c r="H153" i="37"/>
  <c r="H154" i="37"/>
  <c r="H152" i="37"/>
  <c r="H151" i="37"/>
  <c r="H149" i="37"/>
  <c r="H150" i="37"/>
  <c r="H148" i="37"/>
  <c r="I159" i="41" l="1"/>
  <c r="I160" i="41" s="1"/>
  <c r="I276" i="41"/>
  <c r="H147" i="37"/>
  <c r="H146" i="37"/>
  <c r="H144" i="37"/>
  <c r="H145" i="37"/>
  <c r="H143" i="37"/>
  <c r="H142" i="37"/>
  <c r="H141" i="37"/>
  <c r="H139" i="37"/>
  <c r="H140" i="37"/>
  <c r="H138" i="37"/>
  <c r="H137" i="37"/>
  <c r="H135" i="37"/>
  <c r="H136" i="37"/>
  <c r="H134" i="37"/>
  <c r="H133" i="37"/>
  <c r="H131" i="37"/>
  <c r="H132" i="37"/>
  <c r="H130" i="37"/>
  <c r="Z4" i="35"/>
  <c r="Z6" i="35" l="1"/>
  <c r="C410" i="31"/>
  <c r="F410" i="31" s="1"/>
  <c r="I734" i="42" s="1"/>
  <c r="Y734" i="42" s="1"/>
  <c r="F415" i="31"/>
  <c r="I737" i="42" s="1"/>
  <c r="Y737" i="42" s="1"/>
  <c r="F412" i="31"/>
  <c r="I735" i="42" s="1"/>
  <c r="Y735" i="42" s="1"/>
  <c r="F407" i="31"/>
  <c r="F406" i="31"/>
  <c r="I733" i="42" s="1"/>
  <c r="H129" i="37"/>
  <c r="H128" i="37"/>
  <c r="H126" i="37"/>
  <c r="H127" i="37"/>
  <c r="H125" i="37"/>
  <c r="H124" i="37"/>
  <c r="H123" i="37"/>
  <c r="H122" i="37"/>
  <c r="H121" i="37"/>
  <c r="H120" i="37"/>
  <c r="H119" i="37"/>
  <c r="H118" i="37"/>
  <c r="H117" i="37"/>
  <c r="H116" i="37"/>
  <c r="H114" i="37"/>
  <c r="H115" i="37"/>
  <c r="H113" i="37"/>
  <c r="H112" i="37"/>
  <c r="H111" i="37"/>
  <c r="H110" i="37"/>
  <c r="H109" i="37"/>
  <c r="H108" i="37"/>
  <c r="H106" i="37"/>
  <c r="H107" i="37"/>
  <c r="H105" i="37"/>
  <c r="H104" i="37"/>
  <c r="H102" i="37"/>
  <c r="H103" i="37"/>
  <c r="H101" i="37"/>
  <c r="H100" i="37"/>
  <c r="H99" i="37"/>
  <c r="H97" i="37"/>
  <c r="H98" i="37"/>
  <c r="H96" i="37"/>
  <c r="H95" i="37"/>
  <c r="H94" i="37"/>
  <c r="H93" i="37"/>
  <c r="H92" i="37"/>
  <c r="H91" i="37"/>
  <c r="H90" i="37"/>
  <c r="H89" i="37"/>
  <c r="H88" i="37"/>
  <c r="H86" i="37"/>
  <c r="H85" i="37"/>
  <c r="H84" i="37"/>
  <c r="H83" i="37"/>
  <c r="H82" i="37"/>
  <c r="H81" i="37"/>
  <c r="H80" i="37"/>
  <c r="H79" i="37"/>
  <c r="H78" i="37"/>
  <c r="H77" i="37"/>
  <c r="H76" i="37"/>
  <c r="H75" i="37"/>
  <c r="H74" i="37"/>
  <c r="H73" i="37"/>
  <c r="H72" i="37"/>
  <c r="H71" i="37"/>
  <c r="H70" i="37"/>
  <c r="H69" i="37"/>
  <c r="H68" i="37"/>
  <c r="H66" i="37"/>
  <c r="H67" i="37"/>
  <c r="H65" i="37"/>
  <c r="H64" i="37"/>
  <c r="H63" i="37"/>
  <c r="H62" i="37"/>
  <c r="H61" i="37"/>
  <c r="H60" i="37"/>
  <c r="H59" i="37"/>
  <c r="H58" i="37"/>
  <c r="H57" i="37"/>
  <c r="H56" i="37"/>
  <c r="H55" i="37"/>
  <c r="H54" i="37"/>
  <c r="H53" i="37"/>
  <c r="H52" i="37"/>
  <c r="H51" i="37"/>
  <c r="H50" i="37"/>
  <c r="H49" i="37"/>
  <c r="H48" i="37"/>
  <c r="H47" i="37"/>
  <c r="H46" i="37"/>
  <c r="H45" i="37"/>
  <c r="H44" i="37"/>
  <c r="H43" i="37"/>
  <c r="F331" i="27"/>
  <c r="F330" i="27"/>
  <c r="F329" i="27"/>
  <c r="I94" i="42" s="1"/>
  <c r="Y94" i="42" s="1"/>
  <c r="F326" i="27"/>
  <c r="I93" i="42" s="1"/>
  <c r="Y733" i="42" l="1"/>
  <c r="I730" i="42"/>
  <c r="Y730" i="42" s="1"/>
  <c r="L93" i="42"/>
  <c r="X93" i="42" s="1"/>
  <c r="Y93" i="42" s="1"/>
  <c r="I90" i="42"/>
  <c r="Y90" i="42" s="1"/>
  <c r="K740" i="37"/>
  <c r="K742" i="37"/>
  <c r="K739" i="37"/>
  <c r="K98" i="37"/>
  <c r="K99" i="37"/>
  <c r="K738" i="37"/>
  <c r="F416" i="31"/>
  <c r="F333" i="27"/>
  <c r="J333" i="27" l="1"/>
  <c r="K735" i="37"/>
  <c r="K95" i="37"/>
  <c r="U416" i="31"/>
  <c r="M735" i="37"/>
  <c r="M95" i="37"/>
  <c r="F836" i="27"/>
  <c r="P836" i="27" s="1"/>
  <c r="F831" i="27"/>
  <c r="P831" i="27" l="1"/>
  <c r="K171" i="37"/>
  <c r="I166" i="42" s="1"/>
  <c r="Y166" i="42" s="1"/>
  <c r="I198" i="41"/>
  <c r="I199" i="41" s="1"/>
  <c r="I38" i="41"/>
  <c r="I39" i="41" s="1"/>
  <c r="K39" i="37"/>
  <c r="K36" i="37"/>
  <c r="K34" i="37"/>
  <c r="K32" i="37"/>
  <c r="K30" i="37"/>
  <c r="K29" i="37"/>
  <c r="K27" i="37"/>
  <c r="K24" i="37"/>
  <c r="K41" i="37" l="1"/>
  <c r="K26" i="41" s="1"/>
  <c r="F1919" i="28"/>
  <c r="F1921" i="28" s="1"/>
  <c r="S1921" i="28" s="1"/>
  <c r="I26" i="41" l="1"/>
  <c r="L26" i="41" s="1"/>
  <c r="K83" i="31"/>
  <c r="C517" i="31" l="1"/>
  <c r="W6" i="35"/>
  <c r="W7" i="35"/>
  <c r="F179" i="27" l="1"/>
  <c r="F556" i="31"/>
  <c r="E31" i="35"/>
  <c r="E32" i="35"/>
  <c r="E30" i="35"/>
  <c r="E29" i="35"/>
  <c r="E28" i="35"/>
  <c r="G5" i="35"/>
  <c r="F517" i="31"/>
  <c r="I747" i="42" s="1"/>
  <c r="S747" i="42" s="1"/>
  <c r="X747" i="42" s="1"/>
  <c r="Y747" i="42" s="1"/>
  <c r="C502" i="31"/>
  <c r="F513" i="31"/>
  <c r="F506" i="31"/>
  <c r="F503" i="31"/>
  <c r="F514" i="31"/>
  <c r="Z5" i="36"/>
  <c r="U12" i="35" s="1"/>
  <c r="AA5" i="36"/>
  <c r="V12" i="35" s="1"/>
  <c r="N5" i="36"/>
  <c r="I12" i="35" s="1"/>
  <c r="O5" i="36"/>
  <c r="J12" i="35" s="1"/>
  <c r="P5" i="36"/>
  <c r="K12" i="35" s="1"/>
  <c r="Q5" i="36"/>
  <c r="L12" i="35" s="1"/>
  <c r="R5" i="36"/>
  <c r="M12" i="35" s="1"/>
  <c r="S5" i="36"/>
  <c r="N12" i="35" s="1"/>
  <c r="T5" i="36"/>
  <c r="O12" i="35" s="1"/>
  <c r="U5" i="36"/>
  <c r="P12" i="35" s="1"/>
  <c r="V5" i="36"/>
  <c r="Q12" i="35" s="1"/>
  <c r="W5" i="36"/>
  <c r="R12" i="35" s="1"/>
  <c r="X5" i="36"/>
  <c r="S12" i="35" s="1"/>
  <c r="Y5" i="36"/>
  <c r="T12" i="35" s="1"/>
  <c r="C664" i="27"/>
  <c r="I753" i="42" l="1"/>
  <c r="Y753" i="42" s="1"/>
  <c r="J179" i="27"/>
  <c r="K1018" i="37"/>
  <c r="K752" i="37"/>
  <c r="K5" i="36"/>
  <c r="F12" i="35" s="1"/>
  <c r="K1019" i="37"/>
  <c r="M49" i="36"/>
  <c r="M5" i="36" s="1"/>
  <c r="H12" i="35" s="1"/>
  <c r="Y556" i="31"/>
  <c r="K758" i="37"/>
  <c r="L48" i="36"/>
  <c r="L5" i="36" s="1"/>
  <c r="G12" i="35" s="1"/>
  <c r="F50" i="36"/>
  <c r="J46" i="36"/>
  <c r="D188" i="26"/>
  <c r="C1360" i="29"/>
  <c r="F1360" i="29" s="1"/>
  <c r="F1359" i="29"/>
  <c r="I1008" i="42" s="1"/>
  <c r="Y1008" i="42" s="1"/>
  <c r="F1356" i="29"/>
  <c r="I1007" i="42" s="1"/>
  <c r="F2276" i="28"/>
  <c r="P2276" i="28" s="1"/>
  <c r="C1385" i="29"/>
  <c r="F1385" i="29" s="1"/>
  <c r="Y1007" i="42" l="1"/>
  <c r="I1003" i="42"/>
  <c r="Y1003" i="42" s="1"/>
  <c r="M1015" i="37"/>
  <c r="K1011" i="37"/>
  <c r="K1012" i="37"/>
  <c r="K1013" i="37"/>
  <c r="K1015" i="37"/>
  <c r="I265" i="41" s="1"/>
  <c r="I266" i="41" s="1"/>
  <c r="F1363" i="29"/>
  <c r="I1367" i="29" s="1"/>
  <c r="F16" i="36"/>
  <c r="M2" i="29"/>
  <c r="H11" i="35" s="1"/>
  <c r="N2" i="29"/>
  <c r="I11" i="35" s="1"/>
  <c r="O2" i="29"/>
  <c r="J11" i="35" s="1"/>
  <c r="P2" i="29"/>
  <c r="K11" i="35" s="1"/>
  <c r="R2" i="29"/>
  <c r="M11" i="35" s="1"/>
  <c r="V2" i="29"/>
  <c r="Q11" i="35" s="1"/>
  <c r="W2" i="29"/>
  <c r="R11" i="35" s="1"/>
  <c r="Y2" i="29"/>
  <c r="T11" i="35" s="1"/>
  <c r="Z2" i="29"/>
  <c r="U11" i="35" s="1"/>
  <c r="AA2" i="29"/>
  <c r="V11" i="35" s="1"/>
  <c r="O2" i="31"/>
  <c r="J10" i="35" s="1"/>
  <c r="P2" i="31"/>
  <c r="K10" i="35" s="1"/>
  <c r="Q2" i="31"/>
  <c r="L10" i="35" s="1"/>
  <c r="R2" i="31"/>
  <c r="M10" i="35" s="1"/>
  <c r="S2" i="31"/>
  <c r="N10" i="35" s="1"/>
  <c r="Y2" i="31"/>
  <c r="T10" i="35" s="1"/>
  <c r="Z2" i="31"/>
  <c r="U10" i="35" s="1"/>
  <c r="J2" i="31"/>
  <c r="E10" i="35" s="1"/>
  <c r="K82" i="31"/>
  <c r="N2" i="28"/>
  <c r="I9" i="35" s="1"/>
  <c r="O2" i="28"/>
  <c r="J9" i="35" s="1"/>
  <c r="X2" i="28"/>
  <c r="S9" i="35" s="1"/>
  <c r="Y2" i="28"/>
  <c r="T9" i="35" s="1"/>
  <c r="Z2" i="28"/>
  <c r="U9" i="35" s="1"/>
  <c r="AA2" i="28"/>
  <c r="V9" i="35" s="1"/>
  <c r="F2310" i="28"/>
  <c r="T2310" i="28" s="1"/>
  <c r="F2308" i="28"/>
  <c r="T2308" i="28" s="1"/>
  <c r="F2306" i="28"/>
  <c r="T2306" i="28" s="1"/>
  <c r="F2304" i="28"/>
  <c r="M2" i="27"/>
  <c r="I8" i="35" s="1"/>
  <c r="R2" i="27"/>
  <c r="N8" i="35" s="1"/>
  <c r="U2" i="27"/>
  <c r="Q8" i="35" s="1"/>
  <c r="V2" i="27"/>
  <c r="R8" i="35" s="1"/>
  <c r="X2" i="27"/>
  <c r="T8" i="35" s="1"/>
  <c r="Z2" i="27"/>
  <c r="V8" i="35" s="1"/>
  <c r="E22" i="35"/>
  <c r="W4" i="35"/>
  <c r="I585" i="42" l="1"/>
  <c r="Y585" i="42" s="1"/>
  <c r="K1014" i="37"/>
  <c r="J1363" i="29"/>
  <c r="K1008" i="37"/>
  <c r="M1008" i="37"/>
  <c r="T2304" i="28"/>
  <c r="K590" i="37"/>
  <c r="L188" i="26"/>
  <c r="T13" i="35"/>
  <c r="T14" i="35" s="1"/>
  <c r="F2283" i="28"/>
  <c r="F844" i="27"/>
  <c r="K844" i="27" s="1"/>
  <c r="F843" i="27"/>
  <c r="C2211" i="28"/>
  <c r="C2210" i="28"/>
  <c r="I264" i="41" l="1"/>
  <c r="K264" i="41"/>
  <c r="L264" i="41" s="1"/>
  <c r="I262" i="41"/>
  <c r="I263" i="41" s="1"/>
  <c r="E59" i="36"/>
  <c r="X12" i="35" s="1"/>
  <c r="J19" i="36"/>
  <c r="J5" i="36" s="1"/>
  <c r="E12" i="35" s="1"/>
  <c r="W12" i="35" s="1"/>
  <c r="K843" i="27"/>
  <c r="K2283" i="28"/>
  <c r="F2218" i="28"/>
  <c r="C2190" i="28"/>
  <c r="C2213" i="28"/>
  <c r="C2212" i="28"/>
  <c r="C2215" i="28"/>
  <c r="F840" i="27"/>
  <c r="F1436" i="27"/>
  <c r="F210" i="27"/>
  <c r="L194" i="34"/>
  <c r="D189" i="34"/>
  <c r="D188" i="34"/>
  <c r="D187" i="34"/>
  <c r="D186" i="34"/>
  <c r="D185" i="34"/>
  <c r="D184" i="34"/>
  <c r="D183" i="34"/>
  <c r="D182" i="34"/>
  <c r="D181" i="34"/>
  <c r="D180" i="34"/>
  <c r="D179" i="34"/>
  <c r="D178" i="34"/>
  <c r="D177" i="34"/>
  <c r="D176" i="34"/>
  <c r="D175" i="34"/>
  <c r="D174" i="34"/>
  <c r="D173" i="34"/>
  <c r="D172" i="34"/>
  <c r="D171" i="34"/>
  <c r="D170" i="34"/>
  <c r="D169" i="34"/>
  <c r="D168" i="34"/>
  <c r="D167" i="34"/>
  <c r="D166" i="34"/>
  <c r="D165" i="34"/>
  <c r="D164" i="34"/>
  <c r="D163" i="34"/>
  <c r="D162" i="34"/>
  <c r="B162" i="34"/>
  <c r="D160" i="34"/>
  <c r="D159" i="34"/>
  <c r="D158" i="34"/>
  <c r="D157" i="34"/>
  <c r="D156" i="34"/>
  <c r="D155" i="34"/>
  <c r="D154" i="34"/>
  <c r="D153" i="34"/>
  <c r="D152" i="34"/>
  <c r="D151" i="34"/>
  <c r="D150" i="34"/>
  <c r="D149" i="34"/>
  <c r="D148" i="34"/>
  <c r="D147" i="34"/>
  <c r="D146" i="34"/>
  <c r="D145" i="34"/>
  <c r="D144" i="34"/>
  <c r="L143" i="34"/>
  <c r="D143" i="34"/>
  <c r="D142" i="34"/>
  <c r="D141" i="34"/>
  <c r="D140" i="34"/>
  <c r="D139" i="34"/>
  <c r="D138" i="34"/>
  <c r="D137" i="34"/>
  <c r="D136" i="34"/>
  <c r="D135" i="34"/>
  <c r="B135" i="34"/>
  <c r="D133" i="34"/>
  <c r="D132" i="34"/>
  <c r="D131" i="34"/>
  <c r="D130" i="34"/>
  <c r="D129" i="34"/>
  <c r="D128" i="34"/>
  <c r="D127" i="34"/>
  <c r="D126" i="34"/>
  <c r="D125" i="34"/>
  <c r="D124" i="34"/>
  <c r="D123" i="34"/>
  <c r="D122" i="34"/>
  <c r="D121" i="34"/>
  <c r="D120" i="34"/>
  <c r="D119" i="34"/>
  <c r="D118" i="34"/>
  <c r="D117" i="34"/>
  <c r="L116" i="34"/>
  <c r="D116" i="34"/>
  <c r="D115" i="34"/>
  <c r="D114" i="34"/>
  <c r="D113" i="34"/>
  <c r="D112" i="34"/>
  <c r="D111" i="34"/>
  <c r="D110" i="34"/>
  <c r="D109" i="34"/>
  <c r="D108" i="34"/>
  <c r="D107" i="34"/>
  <c r="D106" i="34"/>
  <c r="D105" i="34"/>
  <c r="D104" i="34"/>
  <c r="D103" i="34"/>
  <c r="D102" i="34"/>
  <c r="D101" i="34"/>
  <c r="D100" i="34"/>
  <c r="D99" i="34"/>
  <c r="D98" i="34"/>
  <c r="D97" i="34"/>
  <c r="D96" i="34"/>
  <c r="D95" i="34"/>
  <c r="D94" i="34"/>
  <c r="D93" i="34"/>
  <c r="D92" i="34"/>
  <c r="D91" i="34"/>
  <c r="D90" i="34"/>
  <c r="D89" i="34"/>
  <c r="D88" i="34"/>
  <c r="D87" i="34"/>
  <c r="D86" i="34"/>
  <c r="D85" i="34"/>
  <c r="D84" i="34"/>
  <c r="D83" i="34"/>
  <c r="D82" i="34"/>
  <c r="D81" i="34"/>
  <c r="D80" i="34"/>
  <c r="D79" i="34"/>
  <c r="D78" i="34"/>
  <c r="D77" i="34"/>
  <c r="D76" i="34"/>
  <c r="D75" i="34"/>
  <c r="D74" i="34"/>
  <c r="D73" i="34"/>
  <c r="D72" i="34"/>
  <c r="D71" i="34"/>
  <c r="D70" i="34"/>
  <c r="D69" i="34"/>
  <c r="D68" i="34"/>
  <c r="D67" i="34"/>
  <c r="D66" i="34"/>
  <c r="D65" i="34"/>
  <c r="D64" i="34"/>
  <c r="D63" i="34"/>
  <c r="D62" i="34"/>
  <c r="D61" i="34"/>
  <c r="D60" i="34"/>
  <c r="D59" i="34"/>
  <c r="D58" i="34"/>
  <c r="D57" i="34"/>
  <c r="B57" i="34"/>
  <c r="D55" i="34"/>
  <c r="D54" i="34"/>
  <c r="D53" i="34"/>
  <c r="D52" i="34"/>
  <c r="D51" i="34"/>
  <c r="D50" i="34"/>
  <c r="D49" i="34"/>
  <c r="D48" i="34"/>
  <c r="D47" i="34"/>
  <c r="D46" i="34"/>
  <c r="D45" i="34"/>
  <c r="D44" i="34"/>
  <c r="D43" i="34"/>
  <c r="D42" i="34"/>
  <c r="D41" i="34"/>
  <c r="D40" i="34"/>
  <c r="D39" i="34"/>
  <c r="D38" i="34"/>
  <c r="D37" i="34"/>
  <c r="D36" i="34"/>
  <c r="D35" i="34"/>
  <c r="D34" i="34"/>
  <c r="D33" i="34"/>
  <c r="D32" i="34"/>
  <c r="D31" i="34"/>
  <c r="D30" i="34"/>
  <c r="D29" i="34"/>
  <c r="O28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B12" i="34"/>
  <c r="D85" i="26"/>
  <c r="D84" i="26"/>
  <c r="D83" i="26"/>
  <c r="D82" i="26"/>
  <c r="D81" i="26"/>
  <c r="F1273" i="28"/>
  <c r="F1274" i="28" s="1"/>
  <c r="F1270" i="28"/>
  <c r="F1271" i="28" s="1"/>
  <c r="F1242" i="28"/>
  <c r="F1241" i="28"/>
  <c r="F1240" i="28"/>
  <c r="F1237" i="28"/>
  <c r="F1236" i="28"/>
  <c r="F1233" i="28"/>
  <c r="F1234" i="28" s="1"/>
  <c r="D1224" i="28"/>
  <c r="F1206" i="28"/>
  <c r="F1205" i="28"/>
  <c r="F1204" i="28"/>
  <c r="F1203" i="28"/>
  <c r="F1202" i="28"/>
  <c r="F1201" i="28"/>
  <c r="F1200" i="28"/>
  <c r="F1197" i="28"/>
  <c r="F1196" i="28"/>
  <c r="F1193" i="28"/>
  <c r="F1194" i="28" s="1"/>
  <c r="F198" i="27"/>
  <c r="J198" i="27" s="1"/>
  <c r="F2401" i="28"/>
  <c r="K2401" i="28" s="1"/>
  <c r="F2398" i="28"/>
  <c r="F2293" i="28"/>
  <c r="K2293" i="28" s="1"/>
  <c r="F2301" i="28"/>
  <c r="K2301" i="28" s="1"/>
  <c r="F2300" i="28"/>
  <c r="F2307" i="28"/>
  <c r="K2307" i="28" s="1"/>
  <c r="F2309" i="28"/>
  <c r="K2309" i="28" s="1"/>
  <c r="F2305" i="28"/>
  <c r="F133" i="31"/>
  <c r="F276" i="27"/>
  <c r="F250" i="27"/>
  <c r="F159" i="27"/>
  <c r="J159" i="27" s="1"/>
  <c r="J250" i="27" l="1"/>
  <c r="J276" i="27"/>
  <c r="K587" i="37"/>
  <c r="I582" i="42"/>
  <c r="Y582" i="42" s="1"/>
  <c r="J210" i="27"/>
  <c r="I68" i="42"/>
  <c r="Y68" i="42" s="1"/>
  <c r="K2218" i="28"/>
  <c r="M1014" i="37"/>
  <c r="K73" i="37"/>
  <c r="F1198" i="28"/>
  <c r="Y12" i="35"/>
  <c r="K840" i="27"/>
  <c r="K174" i="37"/>
  <c r="I169" i="42" s="1"/>
  <c r="Y169" i="42" s="1"/>
  <c r="K2300" i="28"/>
  <c r="K2398" i="28"/>
  <c r="K2305" i="28"/>
  <c r="F1238" i="28"/>
  <c r="F1207" i="28"/>
  <c r="F1244" i="28"/>
  <c r="J288" i="27"/>
  <c r="B135" i="26"/>
  <c r="B161" i="26"/>
  <c r="F405" i="29"/>
  <c r="F404" i="29"/>
  <c r="F403" i="29"/>
  <c r="F402" i="29"/>
  <c r="F401" i="29"/>
  <c r="F400" i="29"/>
  <c r="F399" i="29"/>
  <c r="F398" i="29"/>
  <c r="F397" i="29"/>
  <c r="F396" i="29"/>
  <c r="F395" i="29"/>
  <c r="F392" i="29"/>
  <c r="F391" i="29"/>
  <c r="F390" i="29"/>
  <c r="F387" i="29"/>
  <c r="F388" i="29" s="1"/>
  <c r="D144" i="26"/>
  <c r="F515" i="31"/>
  <c r="I745" i="42" s="1"/>
  <c r="S745" i="42" s="1"/>
  <c r="X745" i="42" s="1"/>
  <c r="Y745" i="42" s="1"/>
  <c r="F502" i="31"/>
  <c r="I741" i="42" s="1"/>
  <c r="F511" i="31"/>
  <c r="F510" i="31"/>
  <c r="F509" i="31"/>
  <c r="F505" i="31"/>
  <c r="I742" i="42" s="1"/>
  <c r="S742" i="42" s="1"/>
  <c r="X742" i="42" s="1"/>
  <c r="Y742" i="42" s="1"/>
  <c r="D186" i="26"/>
  <c r="F1291" i="29"/>
  <c r="I991" i="42" s="1"/>
  <c r="Y991" i="42" s="1"/>
  <c r="F1288" i="29"/>
  <c r="F1287" i="29"/>
  <c r="F1286" i="29"/>
  <c r="I989" i="42" s="1"/>
  <c r="Y989" i="42" s="1"/>
  <c r="F1284" i="29"/>
  <c r="I988" i="42" s="1"/>
  <c r="Y988" i="42" s="1"/>
  <c r="F1281" i="29"/>
  <c r="I987" i="42" s="1"/>
  <c r="Y987" i="42" s="1"/>
  <c r="F1279" i="29"/>
  <c r="F1278" i="29"/>
  <c r="L116" i="26"/>
  <c r="D116" i="26"/>
  <c r="F383" i="31"/>
  <c r="C380" i="31"/>
  <c r="C377" i="31"/>
  <c r="D130" i="26"/>
  <c r="F2487" i="28"/>
  <c r="I623" i="42" s="1"/>
  <c r="Y623" i="42" s="1"/>
  <c r="F2484" i="28"/>
  <c r="I744" i="42" l="1"/>
  <c r="Y744" i="42" s="1"/>
  <c r="S741" i="42"/>
  <c r="X741" i="42" s="1"/>
  <c r="Y741" i="42" s="1"/>
  <c r="I738" i="42"/>
  <c r="Y738" i="42" s="1"/>
  <c r="Z623" i="42"/>
  <c r="I619" i="42"/>
  <c r="Y619" i="42" s="1"/>
  <c r="I986" i="42"/>
  <c r="K928" i="37"/>
  <c r="I923" i="42"/>
  <c r="K993" i="37"/>
  <c r="K994" i="37"/>
  <c r="K996" i="37"/>
  <c r="K991" i="37"/>
  <c r="K992" i="37"/>
  <c r="K747" i="37"/>
  <c r="K746" i="37"/>
  <c r="K750" i="37"/>
  <c r="K628" i="37"/>
  <c r="F1208" i="28"/>
  <c r="L83" i="26" s="1"/>
  <c r="K749" i="37"/>
  <c r="F519" i="31"/>
  <c r="F1245" i="28"/>
  <c r="L84" i="34" s="1"/>
  <c r="F393" i="29"/>
  <c r="F407" i="29"/>
  <c r="L85" i="26"/>
  <c r="L85" i="34"/>
  <c r="F1292" i="29"/>
  <c r="K930" i="37" l="1"/>
  <c r="I925" i="42"/>
  <c r="Y925" i="42" s="1"/>
  <c r="Y923" i="42"/>
  <c r="K929" i="37"/>
  <c r="K925" i="37" s="1"/>
  <c r="I242" i="41" s="1"/>
  <c r="I243" i="41" s="1"/>
  <c r="I924" i="42"/>
  <c r="Y924" i="42" s="1"/>
  <c r="Y986" i="42"/>
  <c r="I983" i="42"/>
  <c r="Y983" i="42" s="1"/>
  <c r="K988" i="37"/>
  <c r="L83" i="34"/>
  <c r="L82" i="34"/>
  <c r="K743" i="37"/>
  <c r="K543" i="37"/>
  <c r="K624" i="37"/>
  <c r="L82" i="26"/>
  <c r="M543" i="37"/>
  <c r="K1292" i="29"/>
  <c r="M988" i="37"/>
  <c r="L519" i="31"/>
  <c r="M743" i="37"/>
  <c r="L81" i="26"/>
  <c r="F30" i="35"/>
  <c r="M624" i="37"/>
  <c r="L130" i="26"/>
  <c r="L2489" i="28"/>
  <c r="L130" i="34"/>
  <c r="L81" i="34"/>
  <c r="L84" i="26"/>
  <c r="F408" i="29"/>
  <c r="K408" i="29" s="1"/>
  <c r="L186" i="26"/>
  <c r="L187" i="34"/>
  <c r="L144" i="26"/>
  <c r="L145" i="34"/>
  <c r="I920" i="42" l="1"/>
  <c r="Y920" i="42" s="1"/>
  <c r="I200" i="41"/>
  <c r="I201" i="41" s="1"/>
  <c r="I257" i="41"/>
  <c r="I258" i="41" s="1"/>
  <c r="I172" i="41"/>
  <c r="I173" i="41" s="1"/>
  <c r="I155" i="41"/>
  <c r="I156" i="41" s="1"/>
  <c r="L194" i="26"/>
  <c r="D168" i="26" l="1"/>
  <c r="D174" i="26"/>
  <c r="D173" i="26"/>
  <c r="D172" i="26"/>
  <c r="D171" i="26"/>
  <c r="D170" i="26"/>
  <c r="D169" i="26"/>
  <c r="D133" i="26"/>
  <c r="D120" i="26"/>
  <c r="D115" i="26"/>
  <c r="D114" i="26"/>
  <c r="D113" i="26"/>
  <c r="D112" i="26"/>
  <c r="D111" i="26"/>
  <c r="D110" i="26"/>
  <c r="D41" i="26"/>
  <c r="D40" i="26"/>
  <c r="D39" i="26"/>
  <c r="D38" i="26"/>
  <c r="D37" i="26"/>
  <c r="D36" i="26"/>
  <c r="D35" i="26"/>
  <c r="D34" i="26"/>
  <c r="D33" i="26"/>
  <c r="D32" i="26"/>
  <c r="D31" i="26"/>
  <c r="D30" i="26"/>
  <c r="F2614" i="28"/>
  <c r="F2613" i="28"/>
  <c r="F2612" i="28"/>
  <c r="F2611" i="28"/>
  <c r="I655" i="42" s="1"/>
  <c r="Y655" i="42" s="1"/>
  <c r="F2610" i="28"/>
  <c r="F2609" i="28"/>
  <c r="F2608" i="28"/>
  <c r="I653" i="42" s="1"/>
  <c r="Y653" i="42" s="1"/>
  <c r="F2607" i="28"/>
  <c r="F2606" i="28"/>
  <c r="F2605" i="28"/>
  <c r="F2604" i="28"/>
  <c r="I652" i="42" s="1"/>
  <c r="Y652" i="42" s="1"/>
  <c r="F2603" i="28"/>
  <c r="F2602" i="28"/>
  <c r="F2601" i="28"/>
  <c r="F2600" i="28"/>
  <c r="F2599" i="28"/>
  <c r="F2598" i="28"/>
  <c r="I650" i="42" s="1"/>
  <c r="Y650" i="42" s="1"/>
  <c r="F2597" i="28"/>
  <c r="F2596" i="28"/>
  <c r="F2595" i="28"/>
  <c r="I649" i="42" s="1"/>
  <c r="Y649" i="42" s="1"/>
  <c r="F2594" i="28"/>
  <c r="F2593" i="28"/>
  <c r="F2592" i="28"/>
  <c r="F2591" i="28"/>
  <c r="F2590" i="28"/>
  <c r="F2589" i="28"/>
  <c r="F2588" i="28"/>
  <c r="F2587" i="28"/>
  <c r="I648" i="42" s="1"/>
  <c r="Y648" i="42" s="1"/>
  <c r="F2586" i="28"/>
  <c r="F2585" i="28"/>
  <c r="F2584" i="28"/>
  <c r="F641" i="29"/>
  <c r="F640" i="29"/>
  <c r="F639" i="29"/>
  <c r="F638" i="29"/>
  <c r="F637" i="29"/>
  <c r="F636" i="29"/>
  <c r="F635" i="29"/>
  <c r="F634" i="29"/>
  <c r="F633" i="29"/>
  <c r="F632" i="29"/>
  <c r="F631" i="29"/>
  <c r="F628" i="29"/>
  <c r="F627" i="29"/>
  <c r="F626" i="29"/>
  <c r="F623" i="29"/>
  <c r="F624" i="29" s="1"/>
  <c r="F601" i="29"/>
  <c r="F600" i="29"/>
  <c r="F599" i="29"/>
  <c r="F598" i="29"/>
  <c r="F597" i="29"/>
  <c r="F596" i="29"/>
  <c r="F593" i="29"/>
  <c r="C592" i="29"/>
  <c r="F592" i="29" s="1"/>
  <c r="F591" i="29"/>
  <c r="F588" i="29"/>
  <c r="F589" i="29" s="1"/>
  <c r="F565" i="29"/>
  <c r="F564" i="29"/>
  <c r="F563" i="29"/>
  <c r="F562" i="29"/>
  <c r="F559" i="29"/>
  <c r="F558" i="29"/>
  <c r="F557" i="29"/>
  <c r="F554" i="29"/>
  <c r="F555" i="29" s="1"/>
  <c r="F530" i="29"/>
  <c r="F529" i="29"/>
  <c r="F526" i="29"/>
  <c r="F525" i="29"/>
  <c r="F524" i="29"/>
  <c r="F521" i="29"/>
  <c r="F522" i="29" s="1"/>
  <c r="F497" i="29"/>
  <c r="F498" i="29" s="1"/>
  <c r="F496" i="29"/>
  <c r="F492" i="29"/>
  <c r="F491" i="29"/>
  <c r="F490" i="29"/>
  <c r="F487" i="29"/>
  <c r="F488" i="29" s="1"/>
  <c r="F464" i="29"/>
  <c r="F466" i="29" s="1"/>
  <c r="F461" i="29"/>
  <c r="F462" i="29" s="1"/>
  <c r="F439" i="29"/>
  <c r="F440" i="29" s="1"/>
  <c r="F436" i="29"/>
  <c r="F437" i="29" s="1"/>
  <c r="F932" i="27"/>
  <c r="F931" i="27"/>
  <c r="F930" i="27"/>
  <c r="F929" i="27"/>
  <c r="F928" i="27"/>
  <c r="F925" i="27"/>
  <c r="F924" i="27"/>
  <c r="F921" i="27"/>
  <c r="F922" i="27" s="1"/>
  <c r="K186" i="37" l="1"/>
  <c r="I181" i="42"/>
  <c r="I647" i="42"/>
  <c r="K654" i="37"/>
  <c r="K660" i="37"/>
  <c r="K657" i="37"/>
  <c r="K658" i="37"/>
  <c r="K653" i="37"/>
  <c r="K655" i="37"/>
  <c r="K652" i="37"/>
  <c r="F2615" i="28"/>
  <c r="F926" i="27"/>
  <c r="I182" i="42" s="1"/>
  <c r="Y182" i="42" s="1"/>
  <c r="F933" i="27"/>
  <c r="I183" i="42" s="1"/>
  <c r="Y183" i="42" s="1"/>
  <c r="F531" i="29"/>
  <c r="F560" i="29"/>
  <c r="F594" i="29"/>
  <c r="F467" i="29"/>
  <c r="F643" i="29"/>
  <c r="F629" i="29"/>
  <c r="F493" i="29"/>
  <c r="F501" i="29" s="1"/>
  <c r="F527" i="29"/>
  <c r="F532" i="29" s="1"/>
  <c r="F566" i="29"/>
  <c r="F567" i="29" s="1"/>
  <c r="F603" i="29"/>
  <c r="F442" i="29"/>
  <c r="Y647" i="42" l="1"/>
  <c r="I644" i="42"/>
  <c r="Y644" i="42" s="1"/>
  <c r="Y181" i="42"/>
  <c r="I178" i="42"/>
  <c r="Y178" i="42" s="1"/>
  <c r="K2615" i="28"/>
  <c r="K649" i="37"/>
  <c r="M649" i="37"/>
  <c r="K188" i="37"/>
  <c r="K187" i="37"/>
  <c r="F934" i="27"/>
  <c r="P934" i="27" s="1"/>
  <c r="F644" i="29"/>
  <c r="L168" i="26" s="1"/>
  <c r="F604" i="29"/>
  <c r="L175" i="34" s="1"/>
  <c r="L172" i="26"/>
  <c r="L173" i="34"/>
  <c r="L170" i="26"/>
  <c r="L171" i="34"/>
  <c r="L169" i="26"/>
  <c r="L170" i="34"/>
  <c r="L171" i="26"/>
  <c r="L172" i="34"/>
  <c r="L173" i="26"/>
  <c r="L174" i="34"/>
  <c r="L133" i="26"/>
  <c r="L133" i="34"/>
  <c r="L40" i="26"/>
  <c r="L40" i="34"/>
  <c r="L39" i="26"/>
  <c r="L39" i="34"/>
  <c r="I181" i="41" l="1"/>
  <c r="I182" i="41" s="1"/>
  <c r="L169" i="34"/>
  <c r="K177" i="37"/>
  <c r="K189" i="37"/>
  <c r="K183" i="37"/>
  <c r="K195" i="37"/>
  <c r="K201" i="37"/>
  <c r="M177" i="37"/>
  <c r="L41" i="34"/>
  <c r="L41" i="26"/>
  <c r="L38" i="26"/>
  <c r="L174" i="26"/>
  <c r="L38" i="34"/>
  <c r="L37" i="26"/>
  <c r="L37" i="34"/>
  <c r="L34" i="26"/>
  <c r="L34" i="34"/>
  <c r="L30" i="26"/>
  <c r="L30" i="34"/>
  <c r="L35" i="26"/>
  <c r="L35" i="34"/>
  <c r="L33" i="26"/>
  <c r="L33" i="34"/>
  <c r="L31" i="26"/>
  <c r="L31" i="34"/>
  <c r="L32" i="26"/>
  <c r="L32" i="34"/>
  <c r="L36" i="26"/>
  <c r="L36" i="34"/>
  <c r="D94" i="26"/>
  <c r="D93" i="26"/>
  <c r="D92" i="26"/>
  <c r="D91" i="26"/>
  <c r="D90" i="26"/>
  <c r="D89" i="26"/>
  <c r="D88" i="26"/>
  <c r="D87" i="26"/>
  <c r="D86" i="26"/>
  <c r="F1497" i="28"/>
  <c r="F1496" i="28"/>
  <c r="F1495" i="28"/>
  <c r="F1494" i="28"/>
  <c r="F1493" i="28"/>
  <c r="F1492" i="28"/>
  <c r="F1489" i="28"/>
  <c r="F1488" i="28"/>
  <c r="F1485" i="28"/>
  <c r="F1486" i="28" s="1"/>
  <c r="F1457" i="28"/>
  <c r="F1456" i="28"/>
  <c r="F1455" i="28"/>
  <c r="F1454" i="28"/>
  <c r="F1453" i="28"/>
  <c r="F1452" i="28"/>
  <c r="F1451" i="28"/>
  <c r="F1450" i="28"/>
  <c r="F1449" i="28"/>
  <c r="F1446" i="28"/>
  <c r="F1445" i="28"/>
  <c r="F1442" i="28"/>
  <c r="F1443" i="28" s="1"/>
  <c r="F1414" i="28"/>
  <c r="F1413" i="28"/>
  <c r="F1415" i="28" s="1"/>
  <c r="F1410" i="28"/>
  <c r="F1411" i="28" s="1"/>
  <c r="F1382" i="28"/>
  <c r="F1384" i="28" s="1"/>
  <c r="F1379" i="28"/>
  <c r="F1380" i="28" s="1"/>
  <c r="F1351" i="28"/>
  <c r="F1350" i="28"/>
  <c r="F1349" i="28"/>
  <c r="F1346" i="28"/>
  <c r="F1345" i="28"/>
  <c r="F1342" i="28"/>
  <c r="F1343" i="28" s="1"/>
  <c r="I69" i="41" l="1"/>
  <c r="I70" i="41" s="1"/>
  <c r="I75" i="41"/>
  <c r="I76" i="41" s="1"/>
  <c r="I67" i="41"/>
  <c r="I68" i="41" s="1"/>
  <c r="I71" i="41"/>
  <c r="I72" i="41" s="1"/>
  <c r="I73" i="41"/>
  <c r="I74" i="41" s="1"/>
  <c r="F1347" i="28"/>
  <c r="F1417" i="28"/>
  <c r="F1447" i="28"/>
  <c r="F1490" i="28"/>
  <c r="F1353" i="28"/>
  <c r="F1459" i="28"/>
  <c r="F1498" i="28"/>
  <c r="F1385" i="28"/>
  <c r="L110" i="26" l="1"/>
  <c r="L110" i="34"/>
  <c r="L87" i="26"/>
  <c r="L87" i="34"/>
  <c r="L91" i="26"/>
  <c r="L91" i="34"/>
  <c r="L92" i="26"/>
  <c r="L92" i="34"/>
  <c r="L89" i="26"/>
  <c r="L89" i="34"/>
  <c r="F1499" i="28"/>
  <c r="F1354" i="28"/>
  <c r="F1460" i="28"/>
  <c r="L113" i="34" l="1"/>
  <c r="L111" i="26"/>
  <c r="L115" i="34"/>
  <c r="L86" i="34"/>
  <c r="L113" i="26"/>
  <c r="L111" i="34"/>
  <c r="L86" i="26"/>
  <c r="L115" i="26"/>
  <c r="L93" i="26"/>
  <c r="L93" i="34"/>
  <c r="L94" i="26"/>
  <c r="L94" i="34"/>
  <c r="L90" i="26"/>
  <c r="L90" i="34"/>
  <c r="L112" i="26"/>
  <c r="L112" i="34"/>
  <c r="L114" i="26"/>
  <c r="L114" i="34"/>
  <c r="L88" i="26"/>
  <c r="L88" i="34"/>
  <c r="D124" i="26"/>
  <c r="D123" i="26"/>
  <c r="D122" i="26"/>
  <c r="D121" i="26"/>
  <c r="D119" i="26"/>
  <c r="D118" i="26"/>
  <c r="D117" i="26"/>
  <c r="F2170" i="28"/>
  <c r="F2169" i="28"/>
  <c r="F2168" i="28"/>
  <c r="F2167" i="28"/>
  <c r="F2166" i="28"/>
  <c r="F2165" i="28"/>
  <c r="F2164" i="28"/>
  <c r="F2163" i="28"/>
  <c r="F2162" i="28"/>
  <c r="F2159" i="28"/>
  <c r="F2158" i="28"/>
  <c r="F2157" i="28"/>
  <c r="F2154" i="28"/>
  <c r="F2155" i="28" s="1"/>
  <c r="F2133" i="28"/>
  <c r="F2132" i="28"/>
  <c r="F2131" i="28"/>
  <c r="F2130" i="28"/>
  <c r="F2127" i="28"/>
  <c r="C2126" i="28"/>
  <c r="F2126" i="28" s="1"/>
  <c r="F2125" i="28"/>
  <c r="F2122" i="28"/>
  <c r="F2123" i="28" s="1"/>
  <c r="F2101" i="28"/>
  <c r="F2100" i="28"/>
  <c r="F2097" i="28"/>
  <c r="F2096" i="28"/>
  <c r="F2095" i="28"/>
  <c r="F2092" i="28"/>
  <c r="F2093" i="28" s="1"/>
  <c r="F2071" i="28"/>
  <c r="F2070" i="28"/>
  <c r="F2069" i="28"/>
  <c r="F2068" i="28"/>
  <c r="F2065" i="28"/>
  <c r="F2064" i="28"/>
  <c r="F2063" i="28"/>
  <c r="F2060" i="28"/>
  <c r="F2061" i="28" s="1"/>
  <c r="F2039" i="28"/>
  <c r="F2040" i="28" s="1"/>
  <c r="F2035" i="28"/>
  <c r="F2036" i="28" s="1"/>
  <c r="F2031" i="28"/>
  <c r="F2030" i="28"/>
  <c r="F2027" i="28"/>
  <c r="F2028" i="28" s="1"/>
  <c r="F2005" i="28"/>
  <c r="F2007" i="28" s="1"/>
  <c r="F2002" i="28"/>
  <c r="F2003" i="28" s="1"/>
  <c r="F1980" i="28"/>
  <c r="F1979" i="28"/>
  <c r="F1978" i="28"/>
  <c r="F1977" i="28"/>
  <c r="F1976" i="28"/>
  <c r="F1973" i="28"/>
  <c r="F1972" i="28"/>
  <c r="F1971" i="28"/>
  <c r="F1968" i="28"/>
  <c r="F1969" i="28" s="1"/>
  <c r="F1947" i="28"/>
  <c r="F1948" i="28" s="1"/>
  <c r="F1944" i="28"/>
  <c r="F1945" i="28" s="1"/>
  <c r="F2102" i="28" l="1"/>
  <c r="F2160" i="28"/>
  <c r="F2171" i="28"/>
  <c r="F2008" i="28"/>
  <c r="F1974" i="28"/>
  <c r="F1982" i="28"/>
  <c r="F2032" i="28"/>
  <c r="F2042" i="28" s="1"/>
  <c r="F1950" i="28"/>
  <c r="F2072" i="28"/>
  <c r="F2135" i="28"/>
  <c r="F2066" i="28"/>
  <c r="F2098" i="28"/>
  <c r="F2128" i="28"/>
  <c r="F2172" i="28" l="1"/>
  <c r="L124" i="34" s="1"/>
  <c r="F2103" i="28"/>
  <c r="L122" i="26" s="1"/>
  <c r="L119" i="26"/>
  <c r="L119" i="34"/>
  <c r="L120" i="26"/>
  <c r="L120" i="34"/>
  <c r="L117" i="26"/>
  <c r="L117" i="34"/>
  <c r="L124" i="26"/>
  <c r="F1983" i="28"/>
  <c r="F2073" i="28"/>
  <c r="F2136" i="28"/>
  <c r="L122" i="34" l="1"/>
  <c r="L118" i="26"/>
  <c r="L118" i="34"/>
  <c r="L121" i="26"/>
  <c r="L121" i="34"/>
  <c r="L123" i="26"/>
  <c r="L123" i="34"/>
  <c r="L16" i="9"/>
  <c r="D189" i="26"/>
  <c r="D187" i="26"/>
  <c r="D185" i="26"/>
  <c r="D184" i="26"/>
  <c r="D183" i="26"/>
  <c r="D182" i="26"/>
  <c r="D181" i="26"/>
  <c r="D180" i="26"/>
  <c r="D179" i="26"/>
  <c r="D178" i="26"/>
  <c r="D177" i="26"/>
  <c r="D176" i="26"/>
  <c r="D175" i="26"/>
  <c r="D167" i="26"/>
  <c r="D166" i="26"/>
  <c r="D165" i="26"/>
  <c r="D164" i="26"/>
  <c r="D163" i="26"/>
  <c r="D162" i="26"/>
  <c r="D161" i="26"/>
  <c r="D159" i="26"/>
  <c r="D158" i="26"/>
  <c r="D157" i="26"/>
  <c r="D156" i="26"/>
  <c r="D155" i="26"/>
  <c r="D154" i="26"/>
  <c r="D153" i="26"/>
  <c r="D152" i="26"/>
  <c r="D151" i="26"/>
  <c r="D150" i="26"/>
  <c r="D149" i="26"/>
  <c r="D148" i="26"/>
  <c r="D147" i="26"/>
  <c r="D146" i="26"/>
  <c r="D145" i="26"/>
  <c r="D143" i="26"/>
  <c r="D142" i="26"/>
  <c r="D141" i="26"/>
  <c r="D140" i="26"/>
  <c r="D139" i="26"/>
  <c r="D138" i="26"/>
  <c r="D137" i="26"/>
  <c r="D136" i="26"/>
  <c r="D135" i="26"/>
  <c r="D132" i="26"/>
  <c r="D131" i="26"/>
  <c r="D129" i="26"/>
  <c r="D128" i="26"/>
  <c r="D127" i="26"/>
  <c r="D126" i="26"/>
  <c r="D125" i="26"/>
  <c r="D109" i="26"/>
  <c r="D108" i="26"/>
  <c r="D107" i="26"/>
  <c r="D106" i="26"/>
  <c r="D105" i="26"/>
  <c r="D104" i="26"/>
  <c r="D103" i="26"/>
  <c r="D102" i="26"/>
  <c r="D101" i="26"/>
  <c r="D100" i="26"/>
  <c r="D99" i="26"/>
  <c r="D98" i="26"/>
  <c r="D97" i="26"/>
  <c r="D96" i="26"/>
  <c r="D95" i="26"/>
  <c r="D80" i="26"/>
  <c r="F293" i="27"/>
  <c r="J293" i="27" s="1"/>
  <c r="L189" i="26" l="1"/>
  <c r="L189" i="34"/>
  <c r="F868" i="29"/>
  <c r="F867" i="29"/>
  <c r="F866" i="29"/>
  <c r="F865" i="29"/>
  <c r="C864" i="29"/>
  <c r="F864" i="29" s="1"/>
  <c r="F863" i="29"/>
  <c r="F862" i="29"/>
  <c r="F861" i="29"/>
  <c r="F860" i="29"/>
  <c r="F859" i="29"/>
  <c r="F858" i="29"/>
  <c r="F857" i="29"/>
  <c r="C856" i="29"/>
  <c r="F856" i="29" s="1"/>
  <c r="F855" i="29"/>
  <c r="C854" i="29"/>
  <c r="F854" i="29" s="1"/>
  <c r="F853" i="29"/>
  <c r="F852" i="29"/>
  <c r="F848" i="29"/>
  <c r="F845" i="29"/>
  <c r="F844" i="29"/>
  <c r="F843" i="29"/>
  <c r="F839" i="29"/>
  <c r="F838" i="29"/>
  <c r="F837" i="29"/>
  <c r="F834" i="29"/>
  <c r="F831" i="29"/>
  <c r="F809" i="29"/>
  <c r="F808" i="29"/>
  <c r="F807" i="29"/>
  <c r="F806" i="29"/>
  <c r="F805" i="29"/>
  <c r="F804" i="29"/>
  <c r="F803" i="29"/>
  <c r="F802" i="29"/>
  <c r="F801" i="29"/>
  <c r="F800" i="29"/>
  <c r="F799" i="29"/>
  <c r="F798" i="29"/>
  <c r="F797" i="29"/>
  <c r="F796" i="29"/>
  <c r="F795" i="29"/>
  <c r="F794" i="29"/>
  <c r="F793" i="29"/>
  <c r="F792" i="29"/>
  <c r="F791" i="29"/>
  <c r="F787" i="29"/>
  <c r="F784" i="29"/>
  <c r="F783" i="29"/>
  <c r="F782" i="29"/>
  <c r="F778" i="29"/>
  <c r="F777" i="29"/>
  <c r="F776" i="29"/>
  <c r="F773" i="29"/>
  <c r="F770" i="29"/>
  <c r="F747" i="29"/>
  <c r="F746" i="29"/>
  <c r="F745" i="29"/>
  <c r="F744" i="29"/>
  <c r="F743" i="29"/>
  <c r="F742" i="29"/>
  <c r="F741" i="29"/>
  <c r="F740" i="29"/>
  <c r="C739" i="29"/>
  <c r="F739" i="29" s="1"/>
  <c r="F738" i="29"/>
  <c r="F737" i="29"/>
  <c r="F733" i="29"/>
  <c r="F730" i="29"/>
  <c r="F729" i="29"/>
  <c r="F728" i="29"/>
  <c r="F724" i="29"/>
  <c r="F723" i="29"/>
  <c r="F722" i="29"/>
  <c r="F719" i="29"/>
  <c r="F716" i="29"/>
  <c r="F203" i="29"/>
  <c r="F202" i="29"/>
  <c r="F201" i="29"/>
  <c r="F200" i="29"/>
  <c r="F199" i="29"/>
  <c r="F198" i="29"/>
  <c r="F197" i="29"/>
  <c r="F196" i="29"/>
  <c r="F195" i="29"/>
  <c r="F194" i="29"/>
  <c r="F193" i="29"/>
  <c r="F192" i="29"/>
  <c r="F191" i="29"/>
  <c r="F190" i="29"/>
  <c r="F189" i="29"/>
  <c r="F185" i="29"/>
  <c r="F182" i="29"/>
  <c r="F181" i="29"/>
  <c r="F180" i="29"/>
  <c r="F176" i="29"/>
  <c r="F175" i="29"/>
  <c r="F174" i="29"/>
  <c r="F171" i="29"/>
  <c r="F168" i="29"/>
  <c r="F694" i="29"/>
  <c r="F693" i="29"/>
  <c r="F692" i="29"/>
  <c r="F691" i="29"/>
  <c r="F690" i="29"/>
  <c r="F689" i="29"/>
  <c r="F688" i="29"/>
  <c r="C687" i="29"/>
  <c r="F687" i="29" s="1"/>
  <c r="F686" i="29"/>
  <c r="F685" i="29"/>
  <c r="F684" i="29"/>
  <c r="F683" i="29"/>
  <c r="F682" i="29"/>
  <c r="F681" i="29"/>
  <c r="F680" i="29"/>
  <c r="F679" i="29"/>
  <c r="F678" i="29"/>
  <c r="F677" i="29"/>
  <c r="F676" i="29"/>
  <c r="F675" i="29"/>
  <c r="F674" i="29"/>
  <c r="F673" i="29"/>
  <c r="F672" i="29"/>
  <c r="F671" i="29"/>
  <c r="F670" i="29"/>
  <c r="F669" i="29"/>
  <c r="F668" i="29"/>
  <c r="F667" i="29"/>
  <c r="F666" i="29"/>
  <c r="F145" i="29"/>
  <c r="F144" i="29"/>
  <c r="F143" i="29"/>
  <c r="F142" i="29"/>
  <c r="F138" i="29"/>
  <c r="F135" i="29"/>
  <c r="F134" i="29"/>
  <c r="F133" i="29"/>
  <c r="F129" i="29"/>
  <c r="F128" i="29"/>
  <c r="F127" i="29"/>
  <c r="F124" i="29"/>
  <c r="F121" i="29"/>
  <c r="F307" i="29"/>
  <c r="F306" i="29"/>
  <c r="F305" i="29"/>
  <c r="F304" i="29"/>
  <c r="F303" i="29"/>
  <c r="F302" i="29"/>
  <c r="F301" i="29"/>
  <c r="F300" i="29"/>
  <c r="F299" i="29"/>
  <c r="F298" i="29"/>
  <c r="F297" i="29"/>
  <c r="I917" i="42" s="1"/>
  <c r="Y917" i="42" s="1"/>
  <c r="F296" i="29"/>
  <c r="F295" i="29"/>
  <c r="F294" i="29"/>
  <c r="F293" i="29"/>
  <c r="F292" i="29"/>
  <c r="F291" i="29"/>
  <c r="F290" i="29"/>
  <c r="F289" i="29"/>
  <c r="F288" i="29"/>
  <c r="F287" i="29"/>
  <c r="I914" i="42" s="1"/>
  <c r="Y914" i="42" s="1"/>
  <c r="F286" i="29"/>
  <c r="F285" i="29"/>
  <c r="F284" i="29"/>
  <c r="I913" i="42" s="1"/>
  <c r="Y913" i="42" s="1"/>
  <c r="F283" i="29"/>
  <c r="F282" i="29"/>
  <c r="F281" i="29"/>
  <c r="I912" i="42" s="1"/>
  <c r="F47" i="29"/>
  <c r="F46" i="29"/>
  <c r="F45" i="29"/>
  <c r="F44" i="29"/>
  <c r="C43" i="29"/>
  <c r="F43" i="29" s="1"/>
  <c r="F42" i="29"/>
  <c r="F41" i="29"/>
  <c r="E40" i="29"/>
  <c r="F40" i="29" s="1"/>
  <c r="F39" i="29"/>
  <c r="F38" i="29"/>
  <c r="F37" i="29"/>
  <c r="F36" i="29"/>
  <c r="F32" i="29"/>
  <c r="I894" i="42" s="1"/>
  <c r="Y894" i="42" s="1"/>
  <c r="F29" i="29"/>
  <c r="F28" i="29"/>
  <c r="F27" i="29"/>
  <c r="F23" i="29"/>
  <c r="F22" i="29"/>
  <c r="F21" i="29"/>
  <c r="I891" i="42" s="1"/>
  <c r="Y891" i="42" s="1"/>
  <c r="F18" i="29"/>
  <c r="I890" i="42" s="1"/>
  <c r="Y890" i="42" s="1"/>
  <c r="F15" i="29"/>
  <c r="I889" i="42" s="1"/>
  <c r="F100" i="29"/>
  <c r="F99" i="29"/>
  <c r="F98" i="29"/>
  <c r="F97" i="29"/>
  <c r="F96" i="29"/>
  <c r="F95" i="29"/>
  <c r="F94" i="29"/>
  <c r="F93" i="29"/>
  <c r="F92" i="29"/>
  <c r="F91" i="29"/>
  <c r="I908" i="42" s="1"/>
  <c r="Y908" i="42" s="1"/>
  <c r="F87" i="29"/>
  <c r="I906" i="42" s="1"/>
  <c r="Y906" i="42" s="1"/>
  <c r="F84" i="29"/>
  <c r="F83" i="29"/>
  <c r="F82" i="29"/>
  <c r="I905" i="42" s="1"/>
  <c r="Y905" i="42" s="1"/>
  <c r="F78" i="29"/>
  <c r="F77" i="29"/>
  <c r="F76" i="29"/>
  <c r="I903" i="42" s="1"/>
  <c r="Y903" i="42" s="1"/>
  <c r="F73" i="29"/>
  <c r="I902" i="42" s="1"/>
  <c r="Y902" i="42" s="1"/>
  <c r="F70" i="29"/>
  <c r="I901" i="42" s="1"/>
  <c r="I919" i="42" l="1"/>
  <c r="Y919" i="42" s="1"/>
  <c r="I896" i="42"/>
  <c r="Y896" i="42" s="1"/>
  <c r="I916" i="42"/>
  <c r="Y916" i="42" s="1"/>
  <c r="Y889" i="42"/>
  <c r="Y901" i="42"/>
  <c r="I898" i="42"/>
  <c r="Y898" i="42" s="1"/>
  <c r="I893" i="42"/>
  <c r="Y893" i="42" s="1"/>
  <c r="Y912" i="42"/>
  <c r="K895" i="37"/>
  <c r="K896" i="37"/>
  <c r="K899" i="37"/>
  <c r="K908" i="37"/>
  <c r="K894" i="37"/>
  <c r="K918" i="37"/>
  <c r="K906" i="37"/>
  <c r="K911" i="37"/>
  <c r="K907" i="37"/>
  <c r="K917" i="37"/>
  <c r="K922" i="37"/>
  <c r="K919" i="37"/>
  <c r="K924" i="37"/>
  <c r="K910" i="37"/>
  <c r="K913" i="37"/>
  <c r="K898" i="37"/>
  <c r="K901" i="37"/>
  <c r="K921" i="37"/>
  <c r="F869" i="29"/>
  <c r="F810" i="29"/>
  <c r="F748" i="29"/>
  <c r="F204" i="29"/>
  <c r="F695" i="29"/>
  <c r="F308" i="29"/>
  <c r="T147" i="29"/>
  <c r="F49" i="29"/>
  <c r="F101" i="29"/>
  <c r="I886" i="42" l="1"/>
  <c r="I909" i="42"/>
  <c r="Y909" i="42" s="1"/>
  <c r="J101" i="29"/>
  <c r="M891" i="37"/>
  <c r="K914" i="37"/>
  <c r="K903" i="37"/>
  <c r="K891" i="37"/>
  <c r="I235" i="41" s="1"/>
  <c r="I236" i="41" s="1"/>
  <c r="J308" i="29"/>
  <c r="M914" i="37"/>
  <c r="M903" i="37"/>
  <c r="L162" i="34"/>
  <c r="S49" i="29"/>
  <c r="S2" i="29" s="1"/>
  <c r="N11" i="35" s="1"/>
  <c r="L176" i="26"/>
  <c r="L177" i="34"/>
  <c r="L164" i="26"/>
  <c r="L165" i="34"/>
  <c r="L166" i="26"/>
  <c r="L167" i="34"/>
  <c r="L177" i="26"/>
  <c r="L178" i="34"/>
  <c r="L162" i="26"/>
  <c r="L163" i="34"/>
  <c r="L175" i="26"/>
  <c r="L176" i="34"/>
  <c r="L178" i="26"/>
  <c r="L179" i="34"/>
  <c r="L163" i="26"/>
  <c r="L164" i="34"/>
  <c r="L161" i="26"/>
  <c r="F1840" i="28"/>
  <c r="F1839" i="28"/>
  <c r="F1838" i="28"/>
  <c r="F1837" i="28"/>
  <c r="F1836" i="28"/>
  <c r="F1835" i="28"/>
  <c r="F1834" i="28"/>
  <c r="F1831" i="28"/>
  <c r="F1830" i="28"/>
  <c r="F1827" i="28"/>
  <c r="F1828" i="28" s="1"/>
  <c r="F1798" i="28"/>
  <c r="F1799" i="28" s="1"/>
  <c r="F1795" i="28"/>
  <c r="F1796" i="28" s="1"/>
  <c r="F1770" i="28"/>
  <c r="F1769" i="28"/>
  <c r="F1768" i="28"/>
  <c r="F1767" i="28"/>
  <c r="F1766" i="28"/>
  <c r="F1765" i="28"/>
  <c r="F1762" i="28"/>
  <c r="F1761" i="28"/>
  <c r="F1758" i="28"/>
  <c r="F1759" i="28" s="1"/>
  <c r="F1730" i="28"/>
  <c r="F1729" i="28"/>
  <c r="F1728" i="28"/>
  <c r="F1727" i="28"/>
  <c r="F1726" i="28"/>
  <c r="F1725" i="28"/>
  <c r="F1724" i="28"/>
  <c r="F1721" i="28"/>
  <c r="F1720" i="28"/>
  <c r="F1717" i="28"/>
  <c r="F1718" i="28" s="1"/>
  <c r="I547" i="42" s="1"/>
  <c r="F1690" i="28"/>
  <c r="F1689" i="28"/>
  <c r="F1688" i="28"/>
  <c r="F1687" i="28"/>
  <c r="F1686" i="28"/>
  <c r="F1685" i="28"/>
  <c r="F1684" i="28"/>
  <c r="F1681" i="28"/>
  <c r="F1680" i="28"/>
  <c r="F1677" i="28"/>
  <c r="F1678" i="28" s="1"/>
  <c r="F1646" i="28"/>
  <c r="F1645" i="28"/>
  <c r="F1644" i="28"/>
  <c r="F1643" i="28"/>
  <c r="F1642" i="28"/>
  <c r="F1641" i="28"/>
  <c r="F1640" i="28"/>
  <c r="F1637" i="28"/>
  <c r="F1636" i="28"/>
  <c r="F1633" i="28"/>
  <c r="F1634" i="28" s="1"/>
  <c r="F1607" i="28"/>
  <c r="F1606" i="28"/>
  <c r="F1605" i="28"/>
  <c r="F1604" i="28"/>
  <c r="F1603" i="28"/>
  <c r="F1602" i="28"/>
  <c r="F1601" i="28"/>
  <c r="F1598" i="28"/>
  <c r="F1597" i="28"/>
  <c r="F1594" i="28"/>
  <c r="F1595" i="28" s="1"/>
  <c r="F1564" i="28"/>
  <c r="F1565" i="28" s="1"/>
  <c r="F1561" i="28"/>
  <c r="F1562" i="28" s="1"/>
  <c r="Y547" i="42" l="1"/>
  <c r="Y886" i="42"/>
  <c r="I240" i="41"/>
  <c r="I241" i="41" s="1"/>
  <c r="I238" i="41"/>
  <c r="I239" i="41" s="1"/>
  <c r="F1763" i="28"/>
  <c r="F1682" i="28"/>
  <c r="K552" i="37"/>
  <c r="F1638" i="28"/>
  <c r="F1722" i="28"/>
  <c r="I548" i="42" s="1"/>
  <c r="Y548" i="42" s="1"/>
  <c r="F1647" i="28"/>
  <c r="F1691" i="28"/>
  <c r="F1731" i="28"/>
  <c r="I549" i="42" s="1"/>
  <c r="Y549" i="42" s="1"/>
  <c r="F1771" i="28"/>
  <c r="F1801" i="28"/>
  <c r="F1841" i="28"/>
  <c r="F1832" i="28"/>
  <c r="F1567" i="28"/>
  <c r="F1608" i="28"/>
  <c r="F1599" i="28"/>
  <c r="I544" i="42" l="1"/>
  <c r="Y544" i="42" s="1"/>
  <c r="K553" i="37"/>
  <c r="K554" i="37"/>
  <c r="L1692" i="28"/>
  <c r="F1732" i="28"/>
  <c r="L98" i="26"/>
  <c r="L98" i="34"/>
  <c r="L97" i="26"/>
  <c r="L97" i="34"/>
  <c r="L108" i="26"/>
  <c r="L108" i="34"/>
  <c r="L95" i="26"/>
  <c r="L95" i="34"/>
  <c r="L102" i="26"/>
  <c r="L102" i="34"/>
  <c r="L106" i="26"/>
  <c r="L106" i="34"/>
  <c r="L100" i="26"/>
  <c r="L100" i="34"/>
  <c r="L104" i="26"/>
  <c r="L104" i="34"/>
  <c r="F1772" i="28"/>
  <c r="F1842" i="28"/>
  <c r="F1609" i="28"/>
  <c r="K549" i="37" l="1"/>
  <c r="L1648" i="28"/>
  <c r="L1732" i="28"/>
  <c r="M549" i="37"/>
  <c r="L103" i="26"/>
  <c r="L103" i="34"/>
  <c r="L99" i="26"/>
  <c r="L99" i="34"/>
  <c r="L96" i="26"/>
  <c r="L96" i="34"/>
  <c r="L105" i="26"/>
  <c r="L105" i="34"/>
  <c r="L109" i="26"/>
  <c r="L109" i="34"/>
  <c r="L101" i="26"/>
  <c r="L101" i="34"/>
  <c r="L107" i="26"/>
  <c r="L107" i="34"/>
  <c r="D79" i="26"/>
  <c r="D78" i="26"/>
  <c r="D77" i="26"/>
  <c r="D76" i="26"/>
  <c r="D75" i="26"/>
  <c r="D74" i="26"/>
  <c r="D73" i="26"/>
  <c r="D72" i="26"/>
  <c r="D71" i="26"/>
  <c r="D70" i="26"/>
  <c r="D69" i="26"/>
  <c r="D68" i="26"/>
  <c r="D67" i="26"/>
  <c r="D66" i="26"/>
  <c r="D65" i="26"/>
  <c r="D64" i="26"/>
  <c r="D63" i="26"/>
  <c r="D62" i="26"/>
  <c r="D61" i="26"/>
  <c r="D60" i="26"/>
  <c r="D59" i="26"/>
  <c r="D58" i="26"/>
  <c r="D57" i="26"/>
  <c r="B57" i="26"/>
  <c r="F479" i="31"/>
  <c r="F478" i="31"/>
  <c r="F477" i="31"/>
  <c r="F473" i="31"/>
  <c r="I157" i="41" l="1"/>
  <c r="I158" i="41" s="1"/>
  <c r="F480" i="31"/>
  <c r="L143" i="26" l="1"/>
  <c r="L144" i="34"/>
  <c r="D55" i="26"/>
  <c r="D54" i="26"/>
  <c r="D53" i="26"/>
  <c r="D52" i="26"/>
  <c r="D51" i="26"/>
  <c r="D50" i="26"/>
  <c r="C1357" i="27"/>
  <c r="D49" i="26"/>
  <c r="D48" i="26"/>
  <c r="D47" i="26"/>
  <c r="D46" i="26"/>
  <c r="D45" i="26"/>
  <c r="D44" i="26"/>
  <c r="D43" i="26"/>
  <c r="D42" i="26"/>
  <c r="D29" i="26"/>
  <c r="O28" i="26"/>
  <c r="D28" i="26"/>
  <c r="D27" i="26"/>
  <c r="D26" i="26"/>
  <c r="D25" i="26"/>
  <c r="F98" i="31"/>
  <c r="L98" i="31" s="1"/>
  <c r="D24" i="26"/>
  <c r="D23" i="26"/>
  <c r="D22" i="26"/>
  <c r="D21" i="26"/>
  <c r="D20" i="26"/>
  <c r="D19" i="26"/>
  <c r="D18" i="26"/>
  <c r="D17" i="26"/>
  <c r="D16" i="26"/>
  <c r="D15" i="26"/>
  <c r="D14" i="26"/>
  <c r="D13" i="26"/>
  <c r="F819" i="27"/>
  <c r="D12" i="26"/>
  <c r="B12" i="26"/>
  <c r="K167" i="37" l="1"/>
  <c r="I162" i="42" s="1"/>
  <c r="Y162" i="42" s="1"/>
  <c r="K819" i="27"/>
  <c r="F1130" i="27"/>
  <c r="I212" i="42" s="1"/>
  <c r="Y212" i="42" s="1"/>
  <c r="F1127" i="27"/>
  <c r="F1128" i="27"/>
  <c r="F1126" i="27"/>
  <c r="I211" i="42" l="1"/>
  <c r="K217" i="37"/>
  <c r="K216" i="37"/>
  <c r="F1132" i="27"/>
  <c r="F448" i="31"/>
  <c r="F449" i="31"/>
  <c r="F447" i="31"/>
  <c r="F441" i="31"/>
  <c r="C439" i="31"/>
  <c r="F439" i="31" s="1"/>
  <c r="C438" i="31"/>
  <c r="Y211" i="42" l="1"/>
  <c r="I208" i="42"/>
  <c r="Y208" i="42" s="1"/>
  <c r="K213" i="37"/>
  <c r="F1135" i="27"/>
  <c r="P1135" i="27" s="1"/>
  <c r="F451" i="31"/>
  <c r="F444" i="31"/>
  <c r="F438" i="31"/>
  <c r="C877" i="31"/>
  <c r="F877" i="31" s="1"/>
  <c r="I833" i="42" s="1"/>
  <c r="F884" i="31"/>
  <c r="I837" i="42" s="1"/>
  <c r="Y837" i="42" s="1"/>
  <c r="F883" i="31"/>
  <c r="F882" i="31"/>
  <c r="F881" i="31"/>
  <c r="I835" i="42" s="1"/>
  <c r="Y835" i="42" s="1"/>
  <c r="F879" i="31"/>
  <c r="I834" i="42" s="1"/>
  <c r="Y834" i="42" s="1"/>
  <c r="F878" i="31"/>
  <c r="F876" i="31"/>
  <c r="F1528" i="27"/>
  <c r="F1329" i="29"/>
  <c r="I1001" i="42" s="1"/>
  <c r="Y1001" i="42" s="1"/>
  <c r="F1328" i="29"/>
  <c r="Y833" i="42" l="1"/>
  <c r="I830" i="42"/>
  <c r="Y830" i="42" s="1"/>
  <c r="I79" i="41"/>
  <c r="I80" i="41" s="1"/>
  <c r="K1006" i="37"/>
  <c r="K838" i="37"/>
  <c r="K839" i="37"/>
  <c r="K842" i="37"/>
  <c r="K840" i="37"/>
  <c r="L43" i="34"/>
  <c r="L43" i="26"/>
  <c r="F885" i="31"/>
  <c r="K885" i="31" s="1"/>
  <c r="F1137" i="31"/>
  <c r="K1137" i="31" s="1"/>
  <c r="K835" i="37" l="1"/>
  <c r="L154" i="26"/>
  <c r="L155" i="34"/>
  <c r="F2273" i="28"/>
  <c r="K2273" i="28" s="1"/>
  <c r="F417" i="28"/>
  <c r="F175" i="28"/>
  <c r="I221" i="41" l="1"/>
  <c r="I222" i="41" s="1"/>
  <c r="F139" i="27"/>
  <c r="J139" i="27" s="1"/>
  <c r="F127" i="27"/>
  <c r="J127" i="27" s="1"/>
  <c r="F163" i="27" l="1"/>
  <c r="J163" i="27" s="1"/>
  <c r="F162" i="27"/>
  <c r="J162" i="27" s="1"/>
  <c r="F132" i="27"/>
  <c r="J132" i="27" s="1"/>
  <c r="F126" i="27"/>
  <c r="J126" i="27" s="1"/>
  <c r="F145" i="28" l="1"/>
  <c r="I316" i="42" s="1"/>
  <c r="Y316" i="42" s="1"/>
  <c r="F137" i="28"/>
  <c r="F67" i="28"/>
  <c r="R67" i="28" s="1"/>
  <c r="F66" i="28"/>
  <c r="R66" i="28" s="1"/>
  <c r="F259" i="31"/>
  <c r="F260" i="31"/>
  <c r="F258" i="31"/>
  <c r="F337" i="31"/>
  <c r="F321" i="31"/>
  <c r="F322" i="31"/>
  <c r="F320" i="31"/>
  <c r="Q145" i="28" l="1"/>
  <c r="Q137" i="28"/>
  <c r="K321" i="37"/>
  <c r="F329" i="31"/>
  <c r="F328" i="31"/>
  <c r="F332" i="31"/>
  <c r="F336" i="31"/>
  <c r="F335" i="31"/>
  <c r="C324" i="31"/>
  <c r="F324" i="31" s="1"/>
  <c r="F312" i="31"/>
  <c r="C309" i="31"/>
  <c r="F309" i="31" s="1"/>
  <c r="C305" i="31"/>
  <c r="F305" i="31" s="1"/>
  <c r="C304" i="31"/>
  <c r="F304" i="31" s="1"/>
  <c r="F346" i="31"/>
  <c r="F344" i="31"/>
  <c r="F343" i="31"/>
  <c r="F342" i="31"/>
  <c r="F334" i="31"/>
  <c r="F326" i="31"/>
  <c r="F325" i="31"/>
  <c r="F317" i="31"/>
  <c r="F316" i="31"/>
  <c r="F315" i="31"/>
  <c r="F314" i="31"/>
  <c r="F311" i="31"/>
  <c r="F307" i="31"/>
  <c r="F1104" i="31"/>
  <c r="I858" i="42" s="1"/>
  <c r="Y858" i="42" s="1"/>
  <c r="F1074" i="31"/>
  <c r="F1073" i="31"/>
  <c r="F1072" i="31"/>
  <c r="F1071" i="31"/>
  <c r="F1070" i="31"/>
  <c r="F999" i="31"/>
  <c r="F1032" i="31"/>
  <c r="F1058" i="31"/>
  <c r="F1067" i="31"/>
  <c r="F1065" i="31"/>
  <c r="F1063" i="31"/>
  <c r="F1055" i="31"/>
  <c r="F1054" i="31"/>
  <c r="F1060" i="31"/>
  <c r="F1059" i="31"/>
  <c r="F1052" i="31"/>
  <c r="F1039" i="31"/>
  <c r="F1005" i="31"/>
  <c r="F1034" i="31"/>
  <c r="F1024" i="31"/>
  <c r="F1025" i="31"/>
  <c r="F1023" i="31"/>
  <c r="F1033" i="31"/>
  <c r="F1000" i="31"/>
  <c r="F1048" i="31"/>
  <c r="F1047" i="31"/>
  <c r="F1046" i="31"/>
  <c r="C1020" i="31"/>
  <c r="F1020" i="31" s="1"/>
  <c r="F1045" i="31"/>
  <c r="F1044" i="31"/>
  <c r="F1043" i="31"/>
  <c r="F1042" i="31"/>
  <c r="F1037" i="31"/>
  <c r="F1030" i="31"/>
  <c r="F1029" i="31"/>
  <c r="F1027" i="31"/>
  <c r="C1021" i="31"/>
  <c r="F1021" i="31" s="1"/>
  <c r="F997" i="31"/>
  <c r="F991" i="31"/>
  <c r="F990" i="31"/>
  <c r="F989" i="31"/>
  <c r="F996" i="31"/>
  <c r="F1007" i="31"/>
  <c r="F1006" i="31"/>
  <c r="F1003" i="31"/>
  <c r="F1013" i="31"/>
  <c r="F1014" i="31"/>
  <c r="F1015" i="31"/>
  <c r="F1012" i="31"/>
  <c r="F1010" i="31"/>
  <c r="F355" i="29"/>
  <c r="H331" i="29"/>
  <c r="F363" i="29"/>
  <c r="F362" i="29"/>
  <c r="F361" i="29"/>
  <c r="F360" i="29"/>
  <c r="F359" i="29"/>
  <c r="F358" i="29"/>
  <c r="F357" i="29"/>
  <c r="F356" i="29"/>
  <c r="F354" i="29"/>
  <c r="F353" i="29"/>
  <c r="F352" i="29"/>
  <c r="F351" i="29"/>
  <c r="F350" i="29"/>
  <c r="C347" i="29"/>
  <c r="F347" i="29" s="1"/>
  <c r="F345" i="29"/>
  <c r="F344" i="29"/>
  <c r="F343" i="29"/>
  <c r="F339" i="29"/>
  <c r="F338" i="29"/>
  <c r="F337" i="29"/>
  <c r="F334" i="29"/>
  <c r="F331" i="29"/>
  <c r="F1206" i="29"/>
  <c r="F1207" i="29"/>
  <c r="F1208" i="29"/>
  <c r="F1209" i="29"/>
  <c r="F1210" i="29"/>
  <c r="F1211" i="29"/>
  <c r="F1212" i="29"/>
  <c r="F1213" i="29"/>
  <c r="F1214" i="29"/>
  <c r="F1215" i="29"/>
  <c r="F1216" i="29"/>
  <c r="F1217" i="29"/>
  <c r="F1218" i="29"/>
  <c r="F1219" i="29"/>
  <c r="F1220" i="29"/>
  <c r="F1221" i="29"/>
  <c r="F1222" i="29"/>
  <c r="F1223" i="29"/>
  <c r="F1224" i="29"/>
  <c r="F1225" i="29"/>
  <c r="F1226" i="29"/>
  <c r="F1227" i="29"/>
  <c r="F1228" i="29"/>
  <c r="F1229" i="29"/>
  <c r="F1230" i="29"/>
  <c r="F1231" i="29"/>
  <c r="F1232" i="29"/>
  <c r="F1233" i="29"/>
  <c r="F1234" i="29"/>
  <c r="F1235" i="29"/>
  <c r="F1236" i="29"/>
  <c r="F1237" i="29"/>
  <c r="F1238" i="29"/>
  <c r="F1239" i="29"/>
  <c r="F1240" i="29"/>
  <c r="F1241" i="29"/>
  <c r="F1242" i="29"/>
  <c r="F1243" i="29"/>
  <c r="F1244" i="29"/>
  <c r="F1245" i="29"/>
  <c r="F1246" i="29"/>
  <c r="F1247" i="29"/>
  <c r="F1248" i="29"/>
  <c r="F1249" i="29"/>
  <c r="F1250" i="29"/>
  <c r="F1251" i="29"/>
  <c r="F1252" i="29"/>
  <c r="F1253" i="29"/>
  <c r="F1254" i="29"/>
  <c r="F1255" i="29"/>
  <c r="F1205" i="29"/>
  <c r="C1192" i="29"/>
  <c r="F1192" i="29" s="1"/>
  <c r="I976" i="42" s="1"/>
  <c r="Y976" i="42" s="1"/>
  <c r="C1190" i="29"/>
  <c r="F1190" i="29" s="1"/>
  <c r="C1189" i="29"/>
  <c r="F1189" i="29" s="1"/>
  <c r="I975" i="42" s="1"/>
  <c r="F1202" i="29"/>
  <c r="I980" i="42" s="1"/>
  <c r="Y980" i="42" s="1"/>
  <c r="F1199" i="29"/>
  <c r="F1198" i="29"/>
  <c r="F1197" i="29"/>
  <c r="F1195" i="29"/>
  <c r="I977" i="42" s="1"/>
  <c r="Y977" i="42" s="1"/>
  <c r="F832" i="27"/>
  <c r="C244" i="31"/>
  <c r="F543" i="28"/>
  <c r="F550" i="28"/>
  <c r="F2535" i="28"/>
  <c r="F547" i="28"/>
  <c r="F2530" i="28"/>
  <c r="I634" i="42" s="1"/>
  <c r="Y634" i="42" s="1"/>
  <c r="F2537" i="28"/>
  <c r="I982" i="42" l="1"/>
  <c r="Y982" i="42" s="1"/>
  <c r="Y975" i="42"/>
  <c r="I978" i="42"/>
  <c r="Y978" i="42" s="1"/>
  <c r="K985" i="37"/>
  <c r="K981" i="37"/>
  <c r="K982" i="37"/>
  <c r="K980" i="37"/>
  <c r="K863" i="37"/>
  <c r="K639" i="37"/>
  <c r="K983" i="37"/>
  <c r="K987" i="37"/>
  <c r="K832" i="27"/>
  <c r="F348" i="31"/>
  <c r="F364" i="29"/>
  <c r="F1256" i="29"/>
  <c r="F2536" i="28"/>
  <c r="K642" i="37" s="1"/>
  <c r="F2533" i="28"/>
  <c r="I636" i="42" s="1"/>
  <c r="Y636" i="42" s="1"/>
  <c r="F280" i="31"/>
  <c r="F279" i="31"/>
  <c r="F278" i="31"/>
  <c r="F276" i="31"/>
  <c r="F274" i="31"/>
  <c r="F273" i="31"/>
  <c r="F272" i="31"/>
  <c r="F267" i="31"/>
  <c r="F264" i="31"/>
  <c r="F263" i="31"/>
  <c r="F262" i="31"/>
  <c r="F255" i="31"/>
  <c r="F254" i="31"/>
  <c r="F253" i="31"/>
  <c r="F252" i="31"/>
  <c r="F250" i="31"/>
  <c r="F248" i="31"/>
  <c r="F246" i="31"/>
  <c r="F244" i="31"/>
  <c r="F242" i="31"/>
  <c r="I972" i="42" l="1"/>
  <c r="Y972" i="42" s="1"/>
  <c r="I637" i="42"/>
  <c r="Y637" i="42" s="1"/>
  <c r="K977" i="37"/>
  <c r="K641" i="37"/>
  <c r="K1256" i="29"/>
  <c r="M977" i="37"/>
  <c r="L167" i="26"/>
  <c r="L168" i="34"/>
  <c r="L185" i="26"/>
  <c r="L186" i="34"/>
  <c r="L141" i="26"/>
  <c r="L141" i="34"/>
  <c r="F282" i="31"/>
  <c r="C768" i="31"/>
  <c r="F759" i="31"/>
  <c r="C734" i="31"/>
  <c r="I255" i="41" l="1"/>
  <c r="I256" i="41" s="1"/>
  <c r="L140" i="26"/>
  <c r="L140" i="34"/>
  <c r="F251" i="29"/>
  <c r="F250" i="29"/>
  <c r="F247" i="29"/>
  <c r="F246" i="29"/>
  <c r="F815" i="28"/>
  <c r="F377" i="31"/>
  <c r="F1147" i="29"/>
  <c r="F1148" i="29"/>
  <c r="F1149" i="29"/>
  <c r="F1150" i="29"/>
  <c r="F1151" i="29"/>
  <c r="F1152" i="29"/>
  <c r="F1153" i="29"/>
  <c r="F1154" i="29"/>
  <c r="F1155" i="29"/>
  <c r="F1156" i="29"/>
  <c r="F1157" i="29"/>
  <c r="F1158" i="29"/>
  <c r="F1159" i="29"/>
  <c r="F1160" i="29"/>
  <c r="F1161" i="29"/>
  <c r="F1162" i="29"/>
  <c r="F1163" i="29"/>
  <c r="F1164" i="29"/>
  <c r="F1165" i="29"/>
  <c r="F1166" i="29"/>
  <c r="F1146" i="29"/>
  <c r="F1140" i="29"/>
  <c r="F1139" i="29"/>
  <c r="F1138" i="29"/>
  <c r="F1131" i="29"/>
  <c r="F1130" i="29"/>
  <c r="C1133" i="29"/>
  <c r="F1133" i="29" s="1"/>
  <c r="F1143" i="29"/>
  <c r="F1136" i="29"/>
  <c r="F2350" i="28"/>
  <c r="F2351" i="28"/>
  <c r="F2365" i="28"/>
  <c r="F2363" i="28"/>
  <c r="F2364" i="28"/>
  <c r="K730" i="37" l="1"/>
  <c r="I725" i="42"/>
  <c r="Y725" i="42" s="1"/>
  <c r="I461" i="42"/>
  <c r="F818" i="28"/>
  <c r="L818" i="28" s="1"/>
  <c r="K466" i="37"/>
  <c r="K463" i="37" s="1"/>
  <c r="F1168" i="29"/>
  <c r="C2355" i="28"/>
  <c r="F380" i="31"/>
  <c r="F373" i="31"/>
  <c r="F384" i="31"/>
  <c r="F370" i="31"/>
  <c r="F369" i="31"/>
  <c r="I722" i="42" s="1"/>
  <c r="F375" i="31"/>
  <c r="F347" i="28"/>
  <c r="F346" i="28"/>
  <c r="F345" i="28"/>
  <c r="F344" i="28"/>
  <c r="F349" i="28"/>
  <c r="F341" i="28"/>
  <c r="C328" i="28"/>
  <c r="F328" i="28" s="1"/>
  <c r="C330" i="28"/>
  <c r="Y461" i="42" l="1"/>
  <c r="I458" i="42"/>
  <c r="Y458" i="42" s="1"/>
  <c r="K729" i="37"/>
  <c r="I724" i="42"/>
  <c r="Y724" i="42" s="1"/>
  <c r="Y722" i="42"/>
  <c r="K734" i="37"/>
  <c r="I729" i="42"/>
  <c r="Y729" i="42" s="1"/>
  <c r="K728" i="37"/>
  <c r="I723" i="42"/>
  <c r="Y723" i="42" s="1"/>
  <c r="K732" i="37"/>
  <c r="I727" i="42"/>
  <c r="Y727" i="42" s="1"/>
  <c r="I138" i="41"/>
  <c r="I139" i="41" s="1"/>
  <c r="K727" i="37"/>
  <c r="K724" i="37" s="1"/>
  <c r="I196" i="41" s="1"/>
  <c r="I197" i="41" s="1"/>
  <c r="L73" i="34"/>
  <c r="L73" i="26"/>
  <c r="M463" i="37"/>
  <c r="F385" i="31"/>
  <c r="U385" i="31" s="1"/>
  <c r="L184" i="26"/>
  <c r="L185" i="34"/>
  <c r="C819" i="31"/>
  <c r="C813" i="31"/>
  <c r="C806" i="31"/>
  <c r="F782" i="31"/>
  <c r="C733" i="31"/>
  <c r="C732" i="31"/>
  <c r="I719" i="42" l="1"/>
  <c r="Y719" i="42" s="1"/>
  <c r="L142" i="26"/>
  <c r="L142" i="34"/>
  <c r="F932" i="28"/>
  <c r="I484" i="42" s="1"/>
  <c r="Y484" i="42" s="1"/>
  <c r="F940" i="28"/>
  <c r="I488" i="42" s="1"/>
  <c r="Y488" i="42" s="1"/>
  <c r="F963" i="28"/>
  <c r="F962" i="28"/>
  <c r="F961" i="28"/>
  <c r="I495" i="42" s="1"/>
  <c r="Y495" i="42" s="1"/>
  <c r="F957" i="28"/>
  <c r="I493" i="42" s="1"/>
  <c r="Y493" i="42" s="1"/>
  <c r="F954" i="28"/>
  <c r="F953" i="28"/>
  <c r="F952" i="28"/>
  <c r="F948" i="28"/>
  <c r="F947" i="28"/>
  <c r="F946" i="28"/>
  <c r="I490" i="42" s="1"/>
  <c r="Y490" i="42" s="1"/>
  <c r="F943" i="28"/>
  <c r="I489" i="42" s="1"/>
  <c r="Y489" i="42" s="1"/>
  <c r="F936" i="28"/>
  <c r="I486" i="42" s="1"/>
  <c r="Y486" i="42" s="1"/>
  <c r="F930" i="28"/>
  <c r="I483" i="42" s="1"/>
  <c r="Y483" i="42" s="1"/>
  <c r="F927" i="28"/>
  <c r="F926" i="28"/>
  <c r="I482" i="42" s="1"/>
  <c r="F338" i="28"/>
  <c r="F337" i="28"/>
  <c r="F334" i="28"/>
  <c r="F333" i="28"/>
  <c r="F332" i="28"/>
  <c r="F330" i="28"/>
  <c r="I492" i="42" l="1"/>
  <c r="Y492" i="42" s="1"/>
  <c r="Y482" i="42"/>
  <c r="K498" i="37"/>
  <c r="K493" i="37"/>
  <c r="K494" i="37"/>
  <c r="K497" i="37"/>
  <c r="K500" i="37"/>
  <c r="K489" i="37"/>
  <c r="K491" i="37"/>
  <c r="K488" i="37"/>
  <c r="F965" i="28"/>
  <c r="V965" i="28" s="1"/>
  <c r="K487" i="37"/>
  <c r="K495" i="37"/>
  <c r="F139" i="28"/>
  <c r="Q139" i="28" s="1"/>
  <c r="F138" i="28"/>
  <c r="I312" i="42" s="1"/>
  <c r="Y312" i="42" s="1"/>
  <c r="F994" i="29"/>
  <c r="I942" i="42" s="1"/>
  <c r="Y942" i="42" s="1"/>
  <c r="F1325" i="29"/>
  <c r="I999" i="42" s="1"/>
  <c r="Y999" i="42" s="1"/>
  <c r="F1321" i="29"/>
  <c r="F1320" i="29"/>
  <c r="I997" i="42" s="1"/>
  <c r="Y997" i="42" s="1"/>
  <c r="F1317" i="29"/>
  <c r="I996" i="42" s="1"/>
  <c r="Y996" i="42" s="1"/>
  <c r="F1314" i="29"/>
  <c r="I995" i="42" s="1"/>
  <c r="K958" i="37"/>
  <c r="F1034" i="29"/>
  <c r="F1031" i="29"/>
  <c r="I951" i="42" s="1"/>
  <c r="Y951" i="42" s="1"/>
  <c r="F1027" i="29"/>
  <c r="F1026" i="29"/>
  <c r="F1025" i="29"/>
  <c r="I949" i="42" s="1"/>
  <c r="Y949" i="42" s="1"/>
  <c r="F1022" i="29"/>
  <c r="I948" i="42" s="1"/>
  <c r="Y948" i="42" s="1"/>
  <c r="F1019" i="29"/>
  <c r="I946" i="42" s="1"/>
  <c r="C983" i="29"/>
  <c r="F983" i="29" s="1"/>
  <c r="I937" i="42" s="1"/>
  <c r="F1106" i="29"/>
  <c r="I970" i="42" s="1"/>
  <c r="Y970" i="42" s="1"/>
  <c r="F1101" i="29"/>
  <c r="I967" i="42" s="1"/>
  <c r="Y967" i="42" s="1"/>
  <c r="F1099" i="29"/>
  <c r="F1072" i="29"/>
  <c r="I961" i="42" s="1"/>
  <c r="Y961" i="42" s="1"/>
  <c r="F1068" i="29"/>
  <c r="F1067" i="29"/>
  <c r="F1066" i="29"/>
  <c r="F1063" i="29"/>
  <c r="I958" i="42" s="1"/>
  <c r="Y958" i="42" s="1"/>
  <c r="F1060" i="29"/>
  <c r="I957" i="42" s="1"/>
  <c r="F990" i="29"/>
  <c r="I940" i="42" s="1"/>
  <c r="Y940" i="42" s="1"/>
  <c r="F986" i="29"/>
  <c r="I938" i="42" s="1"/>
  <c r="Y938" i="42" s="1"/>
  <c r="F957" i="29"/>
  <c r="I933" i="42" s="1"/>
  <c r="Y933" i="42" s="1"/>
  <c r="F953" i="29"/>
  <c r="I931" i="42" s="1"/>
  <c r="Y931" i="42" s="1"/>
  <c r="F950" i="29"/>
  <c r="I930" i="42" s="1"/>
  <c r="Y930" i="42" s="1"/>
  <c r="F947" i="29"/>
  <c r="I929" i="42" s="1"/>
  <c r="F1193" i="31"/>
  <c r="F1190" i="31"/>
  <c r="F1186" i="31"/>
  <c r="F1182" i="31"/>
  <c r="I879" i="42" s="1"/>
  <c r="Y879" i="42" s="1"/>
  <c r="F1177" i="31"/>
  <c r="X1177" i="31" s="1"/>
  <c r="F1176" i="31"/>
  <c r="I877" i="42" s="1"/>
  <c r="F1147" i="31"/>
  <c r="F1144" i="31"/>
  <c r="F1142" i="31"/>
  <c r="C1140" i="31"/>
  <c r="F1140" i="31" s="1"/>
  <c r="I867" i="42" s="1"/>
  <c r="Y867" i="42" s="1"/>
  <c r="F1139" i="31"/>
  <c r="I866" i="42" s="1"/>
  <c r="Y866" i="42" s="1"/>
  <c r="F1136" i="31"/>
  <c r="K1136" i="31" s="1"/>
  <c r="F1135" i="31"/>
  <c r="F1112" i="31"/>
  <c r="I861" i="42" s="1"/>
  <c r="Y861" i="42" s="1"/>
  <c r="F1109" i="31"/>
  <c r="F1108" i="31"/>
  <c r="F1107" i="31"/>
  <c r="I859" i="42" s="1"/>
  <c r="Y859" i="42" s="1"/>
  <c r="F1102" i="31"/>
  <c r="I857" i="42" s="1"/>
  <c r="Y857" i="42" s="1"/>
  <c r="C1100" i="31"/>
  <c r="F1100" i="31" s="1"/>
  <c r="F1099" i="31"/>
  <c r="I856" i="42" s="1"/>
  <c r="F905" i="31"/>
  <c r="F853" i="31"/>
  <c r="I829" i="42" s="1"/>
  <c r="Y829" i="42" s="1"/>
  <c r="F852" i="31"/>
  <c r="F851" i="31"/>
  <c r="F850" i="31"/>
  <c r="I827" i="42" s="1"/>
  <c r="Y827" i="42" s="1"/>
  <c r="F848" i="31"/>
  <c r="I826" i="42" s="1"/>
  <c r="Y826" i="42" s="1"/>
  <c r="F847" i="31"/>
  <c r="C846" i="31"/>
  <c r="F846" i="31" s="1"/>
  <c r="F845" i="31"/>
  <c r="I825" i="42" s="1"/>
  <c r="F844" i="31"/>
  <c r="F817" i="31"/>
  <c r="F816" i="31"/>
  <c r="F815" i="31"/>
  <c r="I819" i="42" s="1"/>
  <c r="Y819" i="42" s="1"/>
  <c r="F819" i="31"/>
  <c r="I821" i="42" s="1"/>
  <c r="Y821" i="42" s="1"/>
  <c r="F813" i="31"/>
  <c r="F812" i="31"/>
  <c r="I818" i="42" s="1"/>
  <c r="Y818" i="42" s="1"/>
  <c r="F809" i="31"/>
  <c r="F808" i="31"/>
  <c r="I816" i="42" s="1"/>
  <c r="Y816" i="42" s="1"/>
  <c r="F806" i="31"/>
  <c r="F805" i="31"/>
  <c r="I815" i="42" s="1"/>
  <c r="F781" i="31"/>
  <c r="I811" i="42" s="1"/>
  <c r="Y811" i="42" s="1"/>
  <c r="F778" i="31"/>
  <c r="F777" i="31"/>
  <c r="F776" i="31"/>
  <c r="I809" i="42" s="1"/>
  <c r="Y809" i="42" s="1"/>
  <c r="F774" i="31"/>
  <c r="I808" i="42" s="1"/>
  <c r="Y808" i="42" s="1"/>
  <c r="F771" i="31"/>
  <c r="F770" i="31"/>
  <c r="F768" i="31"/>
  <c r="F767" i="31"/>
  <c r="I805" i="42" s="1"/>
  <c r="Y805" i="42" s="1"/>
  <c r="F762" i="31"/>
  <c r="I801" i="42" s="1"/>
  <c r="Y801" i="42" s="1"/>
  <c r="F758" i="31"/>
  <c r="F757" i="31"/>
  <c r="F756" i="31"/>
  <c r="F754" i="31"/>
  <c r="F752" i="31"/>
  <c r="F751" i="31"/>
  <c r="F750" i="31"/>
  <c r="F746" i="31"/>
  <c r="F745" i="31"/>
  <c r="F744" i="31"/>
  <c r="I797" i="42" s="1"/>
  <c r="Y797" i="42" s="1"/>
  <c r="F741" i="31"/>
  <c r="F740" i="31"/>
  <c r="F739" i="31"/>
  <c r="F738" i="31"/>
  <c r="F736" i="31"/>
  <c r="I794" i="42" s="1"/>
  <c r="Y794" i="42" s="1"/>
  <c r="F734" i="31"/>
  <c r="F733" i="31"/>
  <c r="F732" i="31"/>
  <c r="F731" i="31"/>
  <c r="I793" i="42" s="1"/>
  <c r="F707" i="31"/>
  <c r="F702" i="31"/>
  <c r="F697" i="31"/>
  <c r="F692" i="31"/>
  <c r="F666" i="31"/>
  <c r="F665" i="31"/>
  <c r="I772" i="42" s="1"/>
  <c r="F642" i="31"/>
  <c r="F619" i="31"/>
  <c r="F618" i="31"/>
  <c r="F615" i="31"/>
  <c r="I762" i="42" s="1"/>
  <c r="Y762" i="42" s="1"/>
  <c r="F613" i="31"/>
  <c r="I761" i="42" s="1"/>
  <c r="F589" i="31"/>
  <c r="F588" i="31"/>
  <c r="F587" i="31"/>
  <c r="F586" i="31"/>
  <c r="F585" i="31"/>
  <c r="F584" i="31"/>
  <c r="F583" i="31"/>
  <c r="F582" i="31"/>
  <c r="F557" i="31"/>
  <c r="M557" i="31" s="1"/>
  <c r="F555" i="31"/>
  <c r="M555" i="31" s="1"/>
  <c r="F554" i="31"/>
  <c r="M554" i="31" s="1"/>
  <c r="F553" i="31"/>
  <c r="M553" i="31" s="1"/>
  <c r="F552" i="31"/>
  <c r="M552" i="31" s="1"/>
  <c r="F551" i="31"/>
  <c r="M551" i="31" s="1"/>
  <c r="F550" i="31"/>
  <c r="M550" i="31" s="1"/>
  <c r="F549" i="31"/>
  <c r="M549" i="31" s="1"/>
  <c r="F548" i="31"/>
  <c r="M548" i="31" s="1"/>
  <c r="F547" i="31"/>
  <c r="M547" i="31" s="1"/>
  <c r="F546" i="31"/>
  <c r="M546" i="31" s="1"/>
  <c r="F545" i="31"/>
  <c r="M545" i="31" s="1"/>
  <c r="F544" i="31"/>
  <c r="I752" i="42" s="1"/>
  <c r="Y752" i="42" s="1"/>
  <c r="F542" i="31"/>
  <c r="F218" i="31"/>
  <c r="I718" i="42" s="1"/>
  <c r="Y718" i="42" s="1"/>
  <c r="F216" i="31"/>
  <c r="I716" i="42" s="1"/>
  <c r="Y716" i="42" s="1"/>
  <c r="F214" i="31"/>
  <c r="F213" i="31"/>
  <c r="F212" i="31"/>
  <c r="I715" i="42" s="1"/>
  <c r="Y715" i="42" s="1"/>
  <c r="F209" i="31"/>
  <c r="F208" i="31"/>
  <c r="F206" i="31"/>
  <c r="Y712" i="42"/>
  <c r="F200" i="31"/>
  <c r="F199" i="31"/>
  <c r="F198" i="31"/>
  <c r="F196" i="31"/>
  <c r="F194" i="31"/>
  <c r="F193" i="31"/>
  <c r="F192" i="31"/>
  <c r="I707" i="42" s="1"/>
  <c r="Y707" i="42" s="1"/>
  <c r="F187" i="31"/>
  <c r="I705" i="42" s="1"/>
  <c r="Y705" i="42" s="1"/>
  <c r="F184" i="31"/>
  <c r="F183" i="31"/>
  <c r="F182" i="31"/>
  <c r="I703" i="42" s="1"/>
  <c r="Y703" i="42" s="1"/>
  <c r="F179" i="31"/>
  <c r="F178" i="31"/>
  <c r="F177" i="31"/>
  <c r="F176" i="31"/>
  <c r="I701" i="42" s="1"/>
  <c r="Y701" i="42" s="1"/>
  <c r="F174" i="31"/>
  <c r="I700" i="42" s="1"/>
  <c r="Y700" i="42" s="1"/>
  <c r="F172" i="31"/>
  <c r="F170" i="31"/>
  <c r="F168" i="31"/>
  <c r="F166" i="31"/>
  <c r="I699" i="42" s="1"/>
  <c r="Y699" i="42" s="1"/>
  <c r="F163" i="31"/>
  <c r="I698" i="42" s="1"/>
  <c r="Y698" i="42" s="1"/>
  <c r="F138" i="31"/>
  <c r="I693" i="42" s="1"/>
  <c r="Y693" i="42" s="1"/>
  <c r="F135" i="31"/>
  <c r="F132" i="31"/>
  <c r="I690" i="42" s="1"/>
  <c r="Y690" i="42" s="1"/>
  <c r="F130" i="31"/>
  <c r="I689" i="42" s="1"/>
  <c r="Y689" i="42" s="1"/>
  <c r="F128" i="31"/>
  <c r="F127" i="31"/>
  <c r="F126" i="31"/>
  <c r="F125" i="31"/>
  <c r="I688" i="42" s="1"/>
  <c r="Y688" i="42" s="1"/>
  <c r="F123" i="31"/>
  <c r="I687" i="42" s="1"/>
  <c r="F99" i="31"/>
  <c r="L99" i="31" s="1"/>
  <c r="F97" i="31"/>
  <c r="L97" i="31" s="1"/>
  <c r="F96" i="31"/>
  <c r="L96" i="31" s="1"/>
  <c r="F95" i="31"/>
  <c r="F92" i="31"/>
  <c r="F90" i="31"/>
  <c r="K90" i="31" s="1"/>
  <c r="F89" i="31"/>
  <c r="I680" i="42" s="1"/>
  <c r="Y680" i="42" s="1"/>
  <c r="F86" i="31"/>
  <c r="K86" i="31" s="1"/>
  <c r="F85" i="31"/>
  <c r="I678" i="42" s="1"/>
  <c r="F58" i="31"/>
  <c r="I673" i="42" s="1"/>
  <c r="Y673" i="42" s="1"/>
  <c r="F56" i="31"/>
  <c r="F55" i="31"/>
  <c r="F54" i="31"/>
  <c r="I671" i="42" s="1"/>
  <c r="Y671" i="42" s="1"/>
  <c r="F50" i="31"/>
  <c r="F49" i="31"/>
  <c r="I669" i="42" s="1"/>
  <c r="F24" i="31"/>
  <c r="I665" i="42" s="1"/>
  <c r="Y665" i="42" s="1"/>
  <c r="F22" i="31"/>
  <c r="F21" i="31"/>
  <c r="F20" i="31"/>
  <c r="C17" i="31"/>
  <c r="F17" i="31" s="1"/>
  <c r="C16" i="31"/>
  <c r="F16" i="31" s="1"/>
  <c r="I661" i="42" s="1"/>
  <c r="I479" i="42" l="1"/>
  <c r="Y479" i="42" s="1"/>
  <c r="Y687" i="42"/>
  <c r="I684" i="42"/>
  <c r="Y684" i="42" s="1"/>
  <c r="Y877" i="42"/>
  <c r="I713" i="42"/>
  <c r="Y713" i="42" s="1"/>
  <c r="I768" i="42"/>
  <c r="Y825" i="42"/>
  <c r="I822" i="42"/>
  <c r="Y822" i="42" s="1"/>
  <c r="I841" i="42"/>
  <c r="K1135" i="31"/>
  <c r="I865" i="42"/>
  <c r="Y772" i="42"/>
  <c r="I769" i="42"/>
  <c r="Y769" i="42" s="1"/>
  <c r="I681" i="42"/>
  <c r="Y681" i="42" s="1"/>
  <c r="X1186" i="31"/>
  <c r="I881" i="42"/>
  <c r="Y881" i="42" s="1"/>
  <c r="I683" i="42"/>
  <c r="Y683" i="42" s="1"/>
  <c r="I777" i="42"/>
  <c r="X1190" i="31"/>
  <c r="I883" i="42"/>
  <c r="Y883" i="42" s="1"/>
  <c r="Y957" i="42"/>
  <c r="Y856" i="42"/>
  <c r="I852" i="42"/>
  <c r="Y852" i="42" s="1"/>
  <c r="F1108" i="29"/>
  <c r="I966" i="42"/>
  <c r="Y661" i="42"/>
  <c r="I663" i="42"/>
  <c r="Y663" i="42" s="1"/>
  <c r="I757" i="42"/>
  <c r="Y761" i="42"/>
  <c r="I780" i="42"/>
  <c r="Y780" i="42" s="1"/>
  <c r="I799" i="42"/>
  <c r="Y799" i="42" s="1"/>
  <c r="K1142" i="31"/>
  <c r="I868" i="42"/>
  <c r="Y868" i="42" s="1"/>
  <c r="X1193" i="31"/>
  <c r="I884" i="42"/>
  <c r="Y884" i="42" s="1"/>
  <c r="Y937" i="42"/>
  <c r="I934" i="42"/>
  <c r="Y934" i="42" s="1"/>
  <c r="Y678" i="42"/>
  <c r="I788" i="42"/>
  <c r="Y788" i="42" s="1"/>
  <c r="Y669" i="42"/>
  <c r="I666" i="42"/>
  <c r="Y666" i="42" s="1"/>
  <c r="Y793" i="42"/>
  <c r="I795" i="42"/>
  <c r="Y795" i="42" s="1"/>
  <c r="Y815" i="42"/>
  <c r="I812" i="42"/>
  <c r="Y812" i="42" s="1"/>
  <c r="K1144" i="31"/>
  <c r="I869" i="42"/>
  <c r="Y869" i="42" s="1"/>
  <c r="Y929" i="42"/>
  <c r="I926" i="42"/>
  <c r="I959" i="42"/>
  <c r="Y959" i="42" s="1"/>
  <c r="Y946" i="42"/>
  <c r="I943" i="42"/>
  <c r="Y943" i="42" s="1"/>
  <c r="Y995" i="42"/>
  <c r="I992" i="42"/>
  <c r="Y992" i="42" s="1"/>
  <c r="I751" i="42"/>
  <c r="I764" i="42"/>
  <c r="Y764" i="42" s="1"/>
  <c r="I784" i="42"/>
  <c r="Y784" i="42" s="1"/>
  <c r="I806" i="42"/>
  <c r="Y806" i="42" s="1"/>
  <c r="K1147" i="31"/>
  <c r="I871" i="42"/>
  <c r="Y871" i="42" s="1"/>
  <c r="X1176" i="31"/>
  <c r="K882" i="37"/>
  <c r="K1139" i="31"/>
  <c r="K871" i="37"/>
  <c r="X1140" i="31"/>
  <c r="K872" i="37"/>
  <c r="X1182" i="31"/>
  <c r="K884" i="37"/>
  <c r="F1114" i="31"/>
  <c r="X1114" i="31" s="1"/>
  <c r="X2" i="31" s="1"/>
  <c r="S10" i="35" s="1"/>
  <c r="F1195" i="31"/>
  <c r="K971" i="37"/>
  <c r="K945" i="37"/>
  <c r="K956" i="37"/>
  <c r="K975" i="37"/>
  <c r="K942" i="37"/>
  <c r="K964" i="37"/>
  <c r="K951" i="37"/>
  <c r="K1000" i="37"/>
  <c r="K935" i="37"/>
  <c r="K953" i="37"/>
  <c r="K1001" i="37"/>
  <c r="K1004" i="37"/>
  <c r="K972" i="37"/>
  <c r="K947" i="37"/>
  <c r="K962" i="37"/>
  <c r="K963" i="37"/>
  <c r="K934" i="37"/>
  <c r="K936" i="37"/>
  <c r="K943" i="37"/>
  <c r="K938" i="37"/>
  <c r="K966" i="37"/>
  <c r="K721" i="37"/>
  <c r="K766" i="37"/>
  <c r="K799" i="37"/>
  <c r="K813" i="37"/>
  <c r="K816" i="37"/>
  <c r="K832" i="37"/>
  <c r="K874" i="37"/>
  <c r="K889" i="37"/>
  <c r="K670" i="37"/>
  <c r="K692" i="37"/>
  <c r="K698" i="37"/>
  <c r="K705" i="37"/>
  <c r="K710" i="37"/>
  <c r="K723" i="37"/>
  <c r="K767" i="37"/>
  <c r="K862" i="37"/>
  <c r="K866" i="37"/>
  <c r="K876" i="37"/>
  <c r="K694" i="37"/>
  <c r="K886" i="37"/>
  <c r="K678" i="37"/>
  <c r="K695" i="37"/>
  <c r="K806" i="37"/>
  <c r="K826" i="37"/>
  <c r="K831" i="37"/>
  <c r="K834" i="37"/>
  <c r="K873" i="37"/>
  <c r="K888" i="37"/>
  <c r="M484" i="37"/>
  <c r="F1152" i="31"/>
  <c r="K1002" i="37"/>
  <c r="K666" i="37"/>
  <c r="K676" i="37"/>
  <c r="K762" i="37"/>
  <c r="K759" i="37" s="1"/>
  <c r="K798" i="37"/>
  <c r="K804" i="37"/>
  <c r="K810" i="37"/>
  <c r="K824" i="37"/>
  <c r="K830" i="37"/>
  <c r="K814" i="37"/>
  <c r="K704" i="37"/>
  <c r="F907" i="31"/>
  <c r="K846" i="37"/>
  <c r="K843" i="37" s="1"/>
  <c r="K706" i="37"/>
  <c r="K708" i="37"/>
  <c r="K712" i="37"/>
  <c r="K769" i="37"/>
  <c r="K811" i="37"/>
  <c r="K864" i="37"/>
  <c r="K870" i="37"/>
  <c r="K703" i="37"/>
  <c r="K718" i="37"/>
  <c r="K861" i="37"/>
  <c r="K954" i="37"/>
  <c r="K777" i="37"/>
  <c r="K774" i="37" s="1"/>
  <c r="K802" i="37"/>
  <c r="K820" i="37"/>
  <c r="K823" i="37"/>
  <c r="K821" i="37"/>
  <c r="K800" i="37"/>
  <c r="U697" i="31"/>
  <c r="K785" i="37"/>
  <c r="U702" i="31"/>
  <c r="K789" i="37"/>
  <c r="U692" i="31"/>
  <c r="K782" i="37"/>
  <c r="U707" i="31"/>
  <c r="K793" i="37"/>
  <c r="F644" i="31"/>
  <c r="AA644" i="31" s="1"/>
  <c r="AA2" i="31" s="1"/>
  <c r="V10" i="35" s="1"/>
  <c r="V13" i="35" s="1"/>
  <c r="V14" i="35" s="1"/>
  <c r="K773" i="37"/>
  <c r="K770" i="37" s="1"/>
  <c r="K720" i="37"/>
  <c r="M542" i="31"/>
  <c r="K756" i="37"/>
  <c r="M544" i="31"/>
  <c r="K757" i="37"/>
  <c r="L95" i="31"/>
  <c r="K688" i="37"/>
  <c r="K693" i="37"/>
  <c r="T92" i="31"/>
  <c r="K686" i="37"/>
  <c r="K668" i="37"/>
  <c r="K674" i="37"/>
  <c r="K89" i="31"/>
  <c r="K685" i="37"/>
  <c r="K85" i="31"/>
  <c r="K683" i="37"/>
  <c r="L356" i="28"/>
  <c r="K484" i="37"/>
  <c r="Q138" i="28"/>
  <c r="K317" i="37"/>
  <c r="L62" i="26"/>
  <c r="L62" i="34"/>
  <c r="L76" i="26"/>
  <c r="L76" i="34"/>
  <c r="F1075" i="31"/>
  <c r="X1108" i="29"/>
  <c r="X2" i="29" s="1"/>
  <c r="S11" i="35" s="1"/>
  <c r="F1331" i="29"/>
  <c r="F621" i="31"/>
  <c r="F783" i="31"/>
  <c r="F591" i="31"/>
  <c r="M591" i="31" s="1"/>
  <c r="F855" i="31"/>
  <c r="K855" i="31" s="1"/>
  <c r="F559" i="31"/>
  <c r="F709" i="31"/>
  <c r="F668" i="31"/>
  <c r="F1037" i="29"/>
  <c r="F959" i="29"/>
  <c r="L959" i="29" s="1"/>
  <c r="F995" i="29"/>
  <c r="F1074" i="29"/>
  <c r="U1074" i="29" s="1"/>
  <c r="U2" i="29" s="1"/>
  <c r="P11" i="35" s="1"/>
  <c r="F821" i="31"/>
  <c r="F26" i="31"/>
  <c r="F140" i="31"/>
  <c r="F60" i="31"/>
  <c r="V60" i="31" s="1"/>
  <c r="F101" i="31"/>
  <c r="I695" i="42" l="1"/>
  <c r="I658" i="42"/>
  <c r="Y658" i="42" s="1"/>
  <c r="I674" i="42"/>
  <c r="Y674" i="42" s="1"/>
  <c r="Y966" i="42"/>
  <c r="I962" i="42"/>
  <c r="Y962" i="42" s="1"/>
  <c r="Y777" i="42"/>
  <c r="I773" i="42"/>
  <c r="Y773" i="42" s="1"/>
  <c r="Y768" i="42"/>
  <c r="I765" i="42"/>
  <c r="Y765" i="42" s="1"/>
  <c r="I790" i="42"/>
  <c r="Y790" i="42" s="1"/>
  <c r="Y865" i="42"/>
  <c r="I862" i="42"/>
  <c r="Y862" i="42" s="1"/>
  <c r="I874" i="42"/>
  <c r="Y874" i="42" s="1"/>
  <c r="Y841" i="42"/>
  <c r="I838" i="42"/>
  <c r="Y838" i="42" s="1"/>
  <c r="Y757" i="42"/>
  <c r="I754" i="42"/>
  <c r="Y754" i="42" s="1"/>
  <c r="I954" i="42"/>
  <c r="Y954" i="42" s="1"/>
  <c r="Y926" i="42"/>
  <c r="I758" i="42"/>
  <c r="Y758" i="42" s="1"/>
  <c r="Y751" i="42"/>
  <c r="I748" i="42"/>
  <c r="Y748" i="42" s="1"/>
  <c r="I223" i="41"/>
  <c r="I224" i="41" s="1"/>
  <c r="I144" i="41"/>
  <c r="I145" i="41" s="1"/>
  <c r="I204" i="41"/>
  <c r="I205" i="41" s="1"/>
  <c r="I208" i="41"/>
  <c r="I209" i="41" s="1"/>
  <c r="I210" i="41"/>
  <c r="I211" i="41" s="1"/>
  <c r="K967" i="37"/>
  <c r="F1397" i="29"/>
  <c r="X11" i="35" s="1"/>
  <c r="F1205" i="31"/>
  <c r="X10" i="35" s="1"/>
  <c r="K939" i="37"/>
  <c r="K959" i="37"/>
  <c r="K26" i="31"/>
  <c r="K931" i="37"/>
  <c r="I244" i="41" s="1"/>
  <c r="I245" i="41" s="1"/>
  <c r="K663" i="37"/>
  <c r="I185" i="41" s="1"/>
  <c r="I186" i="41" s="1"/>
  <c r="K763" i="37"/>
  <c r="M997" i="37"/>
  <c r="M967" i="37"/>
  <c r="M959" i="37"/>
  <c r="K827" i="37"/>
  <c r="K997" i="37"/>
  <c r="M931" i="37"/>
  <c r="K948" i="37"/>
  <c r="K879" i="37"/>
  <c r="K671" i="37"/>
  <c r="K689" i="37"/>
  <c r="M679" i="37"/>
  <c r="M700" i="37"/>
  <c r="M879" i="37"/>
  <c r="M753" i="37"/>
  <c r="M671" i="37"/>
  <c r="M763" i="37"/>
  <c r="L155" i="26"/>
  <c r="M867" i="37"/>
  <c r="K848" i="37"/>
  <c r="K867" i="37"/>
  <c r="K857" i="37"/>
  <c r="L156" i="34"/>
  <c r="N907" i="31"/>
  <c r="M843" i="37"/>
  <c r="M848" i="37"/>
  <c r="L149" i="34"/>
  <c r="L148" i="26"/>
  <c r="T995" i="29"/>
  <c r="M939" i="37"/>
  <c r="T1037" i="29"/>
  <c r="M948" i="37"/>
  <c r="K795" i="37"/>
  <c r="U821" i="31"/>
  <c r="M817" i="37"/>
  <c r="U783" i="31"/>
  <c r="M795" i="37"/>
  <c r="K817" i="37"/>
  <c r="L151" i="34"/>
  <c r="M778" i="37"/>
  <c r="N668" i="31"/>
  <c r="M774" i="37"/>
  <c r="K778" i="37"/>
  <c r="K679" i="37"/>
  <c r="K700" i="37"/>
  <c r="I194" i="41" s="1"/>
  <c r="I195" i="41" s="1"/>
  <c r="L140" i="31"/>
  <c r="L2" i="31" s="1"/>
  <c r="G10" i="35" s="1"/>
  <c r="M689" i="37"/>
  <c r="K753" i="37"/>
  <c r="W2" i="31"/>
  <c r="R10" i="35" s="1"/>
  <c r="M663" i="37"/>
  <c r="L137" i="34"/>
  <c r="Q1331" i="29"/>
  <c r="Q2" i="29" s="1"/>
  <c r="L11" i="35" s="1"/>
  <c r="V2" i="31"/>
  <c r="Q10" i="35" s="1"/>
  <c r="L135" i="34"/>
  <c r="L136" i="34"/>
  <c r="L146" i="34"/>
  <c r="M2" i="31"/>
  <c r="H10" i="35" s="1"/>
  <c r="L138" i="34"/>
  <c r="L139" i="34"/>
  <c r="L148" i="34"/>
  <c r="U621" i="31"/>
  <c r="L158" i="34"/>
  <c r="L184" i="34"/>
  <c r="L183" i="34"/>
  <c r="L180" i="34"/>
  <c r="K2" i="29"/>
  <c r="F11" i="35" s="1"/>
  <c r="L182" i="34"/>
  <c r="L181" i="34"/>
  <c r="L146" i="26"/>
  <c r="L147" i="34"/>
  <c r="L156" i="26"/>
  <c r="L157" i="34"/>
  <c r="L149" i="26"/>
  <c r="L150" i="34"/>
  <c r="L151" i="26"/>
  <c r="L152" i="34"/>
  <c r="L153" i="26"/>
  <c r="L154" i="34"/>
  <c r="L187" i="26"/>
  <c r="L188" i="34"/>
  <c r="L159" i="26"/>
  <c r="L160" i="34"/>
  <c r="L158" i="26"/>
  <c r="L159" i="34"/>
  <c r="L152" i="26"/>
  <c r="L153" i="34"/>
  <c r="N178" i="30"/>
  <c r="L135" i="26"/>
  <c r="N174" i="30"/>
  <c r="L137" i="26"/>
  <c r="N183" i="30"/>
  <c r="L150" i="26"/>
  <c r="N179" i="30"/>
  <c r="L136" i="26"/>
  <c r="N184" i="30"/>
  <c r="L145" i="26"/>
  <c r="N180" i="30"/>
  <c r="L138" i="26"/>
  <c r="N191" i="30"/>
  <c r="L139" i="26"/>
  <c r="N206" i="30"/>
  <c r="L157" i="26"/>
  <c r="L147" i="26"/>
  <c r="N217" i="30"/>
  <c r="L179" i="26"/>
  <c r="N218" i="30"/>
  <c r="L182" i="26"/>
  <c r="N233" i="30"/>
  <c r="L181" i="26"/>
  <c r="N234" i="30"/>
  <c r="L183" i="26"/>
  <c r="N232" i="30"/>
  <c r="L180" i="26"/>
  <c r="N220" i="30"/>
  <c r="N201" i="30"/>
  <c r="N204" i="30"/>
  <c r="F2559" i="28"/>
  <c r="F2528" i="28"/>
  <c r="I633" i="42" s="1"/>
  <c r="Y633" i="42" s="1"/>
  <c r="F2526" i="28"/>
  <c r="F2525" i="28"/>
  <c r="F2524" i="28"/>
  <c r="F2521" i="28"/>
  <c r="F2520" i="28"/>
  <c r="F2519" i="28"/>
  <c r="F2517" i="28"/>
  <c r="I629" i="42" s="1"/>
  <c r="Y629" i="42" s="1"/>
  <c r="F2515" i="28"/>
  <c r="I628" i="42" s="1"/>
  <c r="F2461" i="28"/>
  <c r="F2458" i="28"/>
  <c r="F2457" i="28"/>
  <c r="F2456" i="28"/>
  <c r="F2455" i="28"/>
  <c r="I616" i="42" s="1"/>
  <c r="M616" i="42" s="1"/>
  <c r="X616" i="42" s="1"/>
  <c r="Y616" i="42" s="1"/>
  <c r="F2453" i="28"/>
  <c r="F2452" i="28"/>
  <c r="F2451" i="28"/>
  <c r="F2450" i="28"/>
  <c r="F2449" i="28"/>
  <c r="F2421" i="28"/>
  <c r="K2421" i="28" s="1"/>
  <c r="F2420" i="28"/>
  <c r="K2420" i="28" s="1"/>
  <c r="F2419" i="28"/>
  <c r="I611" i="42" s="1"/>
  <c r="Y611" i="42" s="1"/>
  <c r="C2415" i="28"/>
  <c r="F2415" i="28" s="1"/>
  <c r="K2415" i="28" s="1"/>
  <c r="F2414" i="28"/>
  <c r="K2414" i="28" s="1"/>
  <c r="F2413" i="28"/>
  <c r="T2413" i="28" s="1"/>
  <c r="C2412" i="28"/>
  <c r="F2412" i="28" s="1"/>
  <c r="C2411" i="28"/>
  <c r="F2411" i="28" s="1"/>
  <c r="F2408" i="28"/>
  <c r="K2408" i="28" s="1"/>
  <c r="F2407" i="28"/>
  <c r="K2407" i="28" s="1"/>
  <c r="F2406" i="28"/>
  <c r="K2406" i="28" s="1"/>
  <c r="F2405" i="28"/>
  <c r="K2405" i="28" s="1"/>
  <c r="F2404" i="28"/>
  <c r="K2404" i="28" s="1"/>
  <c r="F2403" i="28"/>
  <c r="F2400" i="28"/>
  <c r="K2400" i="28" s="1"/>
  <c r="F2399" i="28"/>
  <c r="F2396" i="28"/>
  <c r="I604" i="42" s="1"/>
  <c r="C2374" i="28"/>
  <c r="F2374" i="28" s="1"/>
  <c r="I600" i="42" s="1"/>
  <c r="Y600" i="42" s="1"/>
  <c r="F2371" i="28"/>
  <c r="F2370" i="28"/>
  <c r="F2369" i="28"/>
  <c r="F2368" i="28"/>
  <c r="F2367" i="28"/>
  <c r="F2362" i="28"/>
  <c r="F2361" i="28"/>
  <c r="F2360" i="28"/>
  <c r="F2359" i="28"/>
  <c r="F2358" i="28"/>
  <c r="F2357" i="28"/>
  <c r="F2356" i="28"/>
  <c r="F2355" i="28"/>
  <c r="F2354" i="28"/>
  <c r="F2349" i="28"/>
  <c r="F2348" i="28"/>
  <c r="I595" i="42" s="1"/>
  <c r="F2321" i="28"/>
  <c r="K2321" i="28" s="1"/>
  <c r="F2320" i="28"/>
  <c r="K2320" i="28" s="1"/>
  <c r="F2319" i="28"/>
  <c r="F2316" i="28"/>
  <c r="F2314" i="28"/>
  <c r="F2311" i="28"/>
  <c r="F2298" i="28"/>
  <c r="K2298" i="28" s="1"/>
  <c r="F2297" i="28"/>
  <c r="K2297" i="28" s="1"/>
  <c r="F2296" i="28"/>
  <c r="K2296" i="28" s="1"/>
  <c r="F2295" i="28"/>
  <c r="F2291" i="28"/>
  <c r="K2291" i="28" s="1"/>
  <c r="F2290" i="28"/>
  <c r="K2290" i="28" s="1"/>
  <c r="F2289" i="28"/>
  <c r="K2289" i="28" s="1"/>
  <c r="F2288" i="28"/>
  <c r="K2288" i="28" s="1"/>
  <c r="F2287" i="28"/>
  <c r="K2287" i="28" s="1"/>
  <c r="F2286" i="28"/>
  <c r="K2286" i="28" s="1"/>
  <c r="F2285" i="28"/>
  <c r="K2285" i="28" s="1"/>
  <c r="F2284" i="28"/>
  <c r="F2281" i="28"/>
  <c r="P2281" i="28" s="1"/>
  <c r="F2280" i="28"/>
  <c r="P2280" i="28" s="1"/>
  <c r="F2279" i="28"/>
  <c r="P2279" i="28" s="1"/>
  <c r="F2278" i="28"/>
  <c r="P2278" i="28" s="1"/>
  <c r="F2277" i="28"/>
  <c r="P2277" i="28" s="1"/>
  <c r="F2275" i="28"/>
  <c r="F2272" i="28"/>
  <c r="K2272" i="28" s="1"/>
  <c r="F2271" i="28"/>
  <c r="K2271" i="28" s="1"/>
  <c r="F2270" i="28"/>
  <c r="K2270" i="28" s="1"/>
  <c r="F2269" i="28"/>
  <c r="K2269" i="28" s="1"/>
  <c r="F2268" i="28"/>
  <c r="K2268" i="28" s="1"/>
  <c r="F2267" i="28"/>
  <c r="K2267" i="28" s="1"/>
  <c r="F2266" i="28"/>
  <c r="K2266" i="28" s="1"/>
  <c r="F2265" i="28"/>
  <c r="K2265" i="28" s="1"/>
  <c r="F2264" i="28"/>
  <c r="F2262" i="28"/>
  <c r="F2260" i="28"/>
  <c r="K2260" i="28" s="1"/>
  <c r="F2259" i="28"/>
  <c r="K2259" i="28" s="1"/>
  <c r="F2258" i="28"/>
  <c r="F2233" i="28"/>
  <c r="K2233" i="28" s="1"/>
  <c r="F2232" i="28"/>
  <c r="K2232" i="28" s="1"/>
  <c r="F2231" i="28"/>
  <c r="K2231" i="28" s="1"/>
  <c r="F2230" i="28"/>
  <c r="I571" i="42" s="1"/>
  <c r="Y571" i="42" s="1"/>
  <c r="F2229" i="28"/>
  <c r="K2229" i="28" s="1"/>
  <c r="F2228" i="28"/>
  <c r="K2228" i="28" s="1"/>
  <c r="F2227" i="28"/>
  <c r="K2227" i="28" s="1"/>
  <c r="F2226" i="28"/>
  <c r="K2226" i="28" s="1"/>
  <c r="F2225" i="28"/>
  <c r="F2222" i="28"/>
  <c r="I568" i="42" s="1"/>
  <c r="Y568" i="42" s="1"/>
  <c r="F2221" i="28"/>
  <c r="K2221" i="28" s="1"/>
  <c r="F2220" i="28"/>
  <c r="K2220" i="28" s="1"/>
  <c r="F2219" i="28"/>
  <c r="F2215" i="28"/>
  <c r="I565" i="42" s="1"/>
  <c r="Y565" i="42" s="1"/>
  <c r="F2214" i="28"/>
  <c r="W2214" i="28" s="1"/>
  <c r="F2213" i="28"/>
  <c r="W2213" i="28" s="1"/>
  <c r="F2212" i="28"/>
  <c r="W2212" i="28" s="1"/>
  <c r="F2211" i="28"/>
  <c r="W2211" i="28" s="1"/>
  <c r="F2210" i="28"/>
  <c r="F2207" i="28"/>
  <c r="W2207" i="28" s="1"/>
  <c r="F2206" i="28"/>
  <c r="W2206" i="28" s="1"/>
  <c r="F2205" i="28"/>
  <c r="W2205" i="28" s="1"/>
  <c r="F2204" i="28"/>
  <c r="F2202" i="28"/>
  <c r="Q2202" i="28" s="1"/>
  <c r="F2201" i="28"/>
  <c r="F2199" i="28"/>
  <c r="Q2199" i="28" s="1"/>
  <c r="F2198" i="28"/>
  <c r="Q2198" i="28" s="1"/>
  <c r="F2197" i="28"/>
  <c r="I560" i="42" s="1"/>
  <c r="Y560" i="42" s="1"/>
  <c r="F2195" i="28"/>
  <c r="Q2195" i="28" s="1"/>
  <c r="F2194" i="28"/>
  <c r="F2192" i="28"/>
  <c r="Q2192" i="28" s="1"/>
  <c r="F2191" i="28"/>
  <c r="Q2191" i="28" s="1"/>
  <c r="F2190" i="28"/>
  <c r="Q2190" i="28" s="1"/>
  <c r="F2189" i="28"/>
  <c r="Q2189" i="28" s="1"/>
  <c r="F2188" i="28"/>
  <c r="F188" i="28"/>
  <c r="F187" i="28"/>
  <c r="F186" i="28"/>
  <c r="Y695" i="42" l="1"/>
  <c r="F223" i="31"/>
  <c r="I576" i="42"/>
  <c r="I597" i="42"/>
  <c r="Y597" i="42" s="1"/>
  <c r="I598" i="42"/>
  <c r="Y598" i="42" s="1"/>
  <c r="I609" i="42"/>
  <c r="Y609" i="42" s="1"/>
  <c r="I562" i="42"/>
  <c r="Y562" i="42" s="1"/>
  <c r="I606" i="42"/>
  <c r="Y606" i="42" s="1"/>
  <c r="I326" i="42"/>
  <c r="Y326" i="42" s="1"/>
  <c r="I559" i="42"/>
  <c r="Y559" i="42" s="1"/>
  <c r="Y576" i="42"/>
  <c r="Y628" i="42"/>
  <c r="I591" i="42"/>
  <c r="Y591" i="42" s="1"/>
  <c r="I656" i="42"/>
  <c r="Y656" i="42" s="1"/>
  <c r="I567" i="42"/>
  <c r="Y567" i="42" s="1"/>
  <c r="I577" i="42"/>
  <c r="Y577" i="42" s="1"/>
  <c r="I580" i="42"/>
  <c r="Y580" i="42" s="1"/>
  <c r="I581" i="42"/>
  <c r="Y581" i="42" s="1"/>
  <c r="H2297" i="28"/>
  <c r="I630" i="42"/>
  <c r="Y630" i="42" s="1"/>
  <c r="I589" i="42"/>
  <c r="Y589" i="42" s="1"/>
  <c r="I564" i="42"/>
  <c r="Y564" i="42" s="1"/>
  <c r="Y604" i="42"/>
  <c r="I632" i="42"/>
  <c r="Y632" i="42" s="1"/>
  <c r="I885" i="42"/>
  <c r="Y885" i="42" s="1"/>
  <c r="I588" i="42"/>
  <c r="Y588" i="42" s="1"/>
  <c r="I578" i="42"/>
  <c r="Y578" i="42" s="1"/>
  <c r="I558" i="42"/>
  <c r="I579" i="42"/>
  <c r="Y579" i="42" s="1"/>
  <c r="H2282" i="28"/>
  <c r="P2275" i="28"/>
  <c r="Y595" i="42"/>
  <c r="I561" i="42"/>
  <c r="Y561" i="42" s="1"/>
  <c r="I570" i="42"/>
  <c r="Y570" i="42" s="1"/>
  <c r="I586" i="42"/>
  <c r="Y586" i="42" s="1"/>
  <c r="I605" i="42"/>
  <c r="Y605" i="42" s="1"/>
  <c r="I608" i="42"/>
  <c r="Y608" i="42" s="1"/>
  <c r="I615" i="42"/>
  <c r="M615" i="42" s="1"/>
  <c r="X615" i="42" s="1"/>
  <c r="Y615" i="42" s="1"/>
  <c r="I618" i="42"/>
  <c r="I217" i="41"/>
  <c r="I218" i="41" s="1"/>
  <c r="I228" i="41"/>
  <c r="I229" i="41" s="1"/>
  <c r="I191" i="41"/>
  <c r="I192" i="41" s="1"/>
  <c r="I250" i="41"/>
  <c r="I251" i="41" s="1"/>
  <c r="I230" i="41"/>
  <c r="I231" i="41" s="1"/>
  <c r="I187" i="41"/>
  <c r="I188" i="41" s="1"/>
  <c r="I246" i="41"/>
  <c r="I247" i="41" s="1"/>
  <c r="I189" i="41"/>
  <c r="I190" i="41" s="1"/>
  <c r="I226" i="41"/>
  <c r="I227" i="41" s="1"/>
  <c r="I232" i="41"/>
  <c r="I233" i="41" s="1"/>
  <c r="I212" i="41"/>
  <c r="I213" i="41" s="1"/>
  <c r="I259" i="41"/>
  <c r="I260" i="41" s="1"/>
  <c r="I219" i="41"/>
  <c r="I220" i="41" s="1"/>
  <c r="I215" i="41"/>
  <c r="I216" i="41" s="1"/>
  <c r="I252" i="41"/>
  <c r="I253" i="41" s="1"/>
  <c r="I202" i="41"/>
  <c r="I203" i="41" s="1"/>
  <c r="I248" i="41"/>
  <c r="I249" i="41" s="1"/>
  <c r="I206" i="41"/>
  <c r="I207" i="41" s="1"/>
  <c r="K600" i="37"/>
  <c r="K585" i="37"/>
  <c r="K581" i="37"/>
  <c r="K602" i="37"/>
  <c r="K603" i="37"/>
  <c r="K890" i="37"/>
  <c r="K234" i="41" s="1"/>
  <c r="K661" i="37"/>
  <c r="K183" i="41" s="1"/>
  <c r="Q2188" i="28"/>
  <c r="K563" i="37"/>
  <c r="Q2194" i="28"/>
  <c r="K564" i="37"/>
  <c r="Q2215" i="28"/>
  <c r="K570" i="37"/>
  <c r="V2222" i="28"/>
  <c r="V2" i="28" s="1"/>
  <c r="Q9" i="35" s="1"/>
  <c r="Q13" i="35" s="1"/>
  <c r="Q14" i="35" s="1"/>
  <c r="Q15" i="35" s="1"/>
  <c r="K573" i="37"/>
  <c r="Q2201" i="28"/>
  <c r="K566" i="37"/>
  <c r="K2219" i="28"/>
  <c r="K572" i="37"/>
  <c r="K2225" i="28"/>
  <c r="K575" i="37"/>
  <c r="W2230" i="28"/>
  <c r="K576" i="37"/>
  <c r="K583" i="37"/>
  <c r="Q2197" i="28"/>
  <c r="K565" i="37"/>
  <c r="W2204" i="28"/>
  <c r="K567" i="37"/>
  <c r="W2210" i="28"/>
  <c r="K569" i="37"/>
  <c r="K584" i="37"/>
  <c r="K2" i="31"/>
  <c r="F10" i="35" s="1"/>
  <c r="T2" i="29"/>
  <c r="O11" i="35" s="1"/>
  <c r="M890" i="37"/>
  <c r="N700" i="37"/>
  <c r="M661" i="37"/>
  <c r="K623" i="37"/>
  <c r="K605" i="37"/>
  <c r="K633" i="37"/>
  <c r="K638" i="37"/>
  <c r="K609" i="37"/>
  <c r="K634" i="37"/>
  <c r="N2" i="31"/>
  <c r="I10" i="35" s="1"/>
  <c r="I13" i="35" s="1"/>
  <c r="I14" i="35" s="1"/>
  <c r="N817" i="37"/>
  <c r="F2323" i="28"/>
  <c r="K2264" i="28"/>
  <c r="K2314" i="28"/>
  <c r="K593" i="37"/>
  <c r="K2412" i="28"/>
  <c r="K614" i="37"/>
  <c r="K2419" i="28"/>
  <c r="K616" i="37"/>
  <c r="K621" i="37"/>
  <c r="K2316" i="28"/>
  <c r="K594" i="37"/>
  <c r="K2403" i="28"/>
  <c r="K611" i="37"/>
  <c r="K2319" i="28"/>
  <c r="K596" i="37"/>
  <c r="K637" i="37"/>
  <c r="K2262" i="28"/>
  <c r="K582" i="37"/>
  <c r="K2284" i="28"/>
  <c r="K2295" i="28"/>
  <c r="K586" i="37"/>
  <c r="K2311" i="28"/>
  <c r="K591" i="37"/>
  <c r="K2399" i="28"/>
  <c r="K610" i="37"/>
  <c r="T2411" i="28"/>
  <c r="K613" i="37"/>
  <c r="K620" i="37"/>
  <c r="K635" i="37"/>
  <c r="F2235" i="28"/>
  <c r="F2375" i="28"/>
  <c r="F2538" i="28"/>
  <c r="K2538" i="28" s="1"/>
  <c r="F2423" i="28"/>
  <c r="F2561" i="28"/>
  <c r="I642" i="42" s="1"/>
  <c r="K331" i="37"/>
  <c r="F2463" i="28"/>
  <c r="K2258" i="28"/>
  <c r="K2396" i="28"/>
  <c r="T2" i="31"/>
  <c r="O10" i="35" s="1"/>
  <c r="U2" i="31"/>
  <c r="P10" i="35" s="1"/>
  <c r="L2" i="29"/>
  <c r="G11" i="35" s="1"/>
  <c r="L161" i="34"/>
  <c r="L160" i="26"/>
  <c r="F1206" i="31" s="1"/>
  <c r="N214" i="30"/>
  <c r="I592" i="42" l="1"/>
  <c r="Y592" i="42" s="1"/>
  <c r="F2181" i="28"/>
  <c r="I625" i="42"/>
  <c r="Y625" i="42" s="1"/>
  <c r="Y642" i="42"/>
  <c r="I639" i="42"/>
  <c r="Y639" i="42" s="1"/>
  <c r="Y558" i="42"/>
  <c r="I555" i="42"/>
  <c r="Y555" i="42" s="1"/>
  <c r="I601" i="42"/>
  <c r="Y601" i="42" s="1"/>
  <c r="I572" i="42"/>
  <c r="Y572" i="42" s="1"/>
  <c r="X618" i="42"/>
  <c r="Y618" i="42" s="1"/>
  <c r="I612" i="42"/>
  <c r="Y612" i="42" s="1"/>
  <c r="I234" i="41"/>
  <c r="L234" i="41" s="1"/>
  <c r="I183" i="41"/>
  <c r="L183" i="41" s="1"/>
  <c r="K577" i="37"/>
  <c r="L132" i="34"/>
  <c r="K597" i="37"/>
  <c r="M560" i="37"/>
  <c r="M577" i="37"/>
  <c r="M597" i="37"/>
  <c r="M630" i="37"/>
  <c r="N661" i="37"/>
  <c r="K606" i="37"/>
  <c r="K630" i="37"/>
  <c r="L2561" i="28"/>
  <c r="K647" i="37"/>
  <c r="K644" i="37" s="1"/>
  <c r="L132" i="26"/>
  <c r="L128" i="34"/>
  <c r="M606" i="37"/>
  <c r="K560" i="37"/>
  <c r="I162" i="41" s="1"/>
  <c r="I163" i="41" s="1"/>
  <c r="L2463" i="28"/>
  <c r="M617" i="37"/>
  <c r="K617" i="37"/>
  <c r="N166" i="30"/>
  <c r="W10" i="35"/>
  <c r="Y10" i="35" s="1"/>
  <c r="L131" i="34"/>
  <c r="L127" i="34"/>
  <c r="K2375" i="28"/>
  <c r="F1207" i="31"/>
  <c r="L199" i="26"/>
  <c r="L125" i="34"/>
  <c r="L129" i="26"/>
  <c r="L129" i="34"/>
  <c r="L126" i="26"/>
  <c r="L126" i="34"/>
  <c r="L125" i="26"/>
  <c r="N70" i="30"/>
  <c r="L127" i="26"/>
  <c r="N69" i="30"/>
  <c r="L128" i="26"/>
  <c r="N164" i="30"/>
  <c r="L131" i="26"/>
  <c r="N160" i="30"/>
  <c r="I164" i="41" l="1"/>
  <c r="I165" i="41" s="1"/>
  <c r="I166" i="41"/>
  <c r="I167" i="41" s="1"/>
  <c r="I170" i="41"/>
  <c r="I171" i="41" s="1"/>
  <c r="I178" i="41"/>
  <c r="I179" i="41" s="1"/>
  <c r="I175" i="41"/>
  <c r="I176" i="41" s="1"/>
  <c r="I168" i="41"/>
  <c r="I169" i="41" s="1"/>
  <c r="M561" i="37"/>
  <c r="N577" i="37"/>
  <c r="F1127" i="28"/>
  <c r="I536" i="42" s="1"/>
  <c r="Y536" i="42" s="1"/>
  <c r="F1123" i="28"/>
  <c r="I534" i="42" s="1"/>
  <c r="Y534" i="42" s="1"/>
  <c r="F1120" i="28"/>
  <c r="I533" i="42" s="1"/>
  <c r="Y533" i="42" s="1"/>
  <c r="F1117" i="28"/>
  <c r="F1116" i="28"/>
  <c r="F1115" i="28"/>
  <c r="F1094" i="28"/>
  <c r="I528" i="42" s="1"/>
  <c r="Y528" i="42" s="1"/>
  <c r="F1090" i="28"/>
  <c r="I526" i="42" s="1"/>
  <c r="Y526" i="42" s="1"/>
  <c r="F1086" i="28"/>
  <c r="F1085" i="28"/>
  <c r="F1084" i="28"/>
  <c r="F1083" i="28"/>
  <c r="F1082" i="28"/>
  <c r="F1060" i="28"/>
  <c r="U1059" i="28" s="1"/>
  <c r="F1059" i="28"/>
  <c r="U1058" i="28" s="1"/>
  <c r="F1058" i="28"/>
  <c r="C1055" i="28"/>
  <c r="F1055" i="28" s="1"/>
  <c r="F1053" i="28"/>
  <c r="L1053" i="28" s="1"/>
  <c r="F1052" i="28"/>
  <c r="L1052" i="28" s="1"/>
  <c r="F1051" i="28"/>
  <c r="F1048" i="28"/>
  <c r="L1048" i="28" s="1"/>
  <c r="F1047" i="28"/>
  <c r="L1047" i="28" s="1"/>
  <c r="F1046" i="28"/>
  <c r="L1046" i="28" s="1"/>
  <c r="F1045" i="28"/>
  <c r="L1045" i="28" s="1"/>
  <c r="F1044" i="28"/>
  <c r="F1042" i="28"/>
  <c r="F1037" i="28"/>
  <c r="L1037" i="28" s="1"/>
  <c r="F1036" i="28"/>
  <c r="F1034" i="28"/>
  <c r="L1034" i="28" s="1"/>
  <c r="F1033" i="28"/>
  <c r="F1007" i="28"/>
  <c r="I505" i="42" s="1"/>
  <c r="Y505" i="42" s="1"/>
  <c r="F1005" i="28"/>
  <c r="I503" i="42" s="1"/>
  <c r="Y503" i="42" s="1"/>
  <c r="F1003" i="28"/>
  <c r="F1002" i="28"/>
  <c r="F1001" i="28"/>
  <c r="I502" i="42" s="1"/>
  <c r="Y502" i="42" s="1"/>
  <c r="F998" i="28"/>
  <c r="F997" i="28"/>
  <c r="F996" i="28"/>
  <c r="F995" i="28"/>
  <c r="F994" i="28"/>
  <c r="F993" i="28"/>
  <c r="F992" i="28"/>
  <c r="F990" i="28"/>
  <c r="I499" i="42" s="1"/>
  <c r="F898" i="28"/>
  <c r="I478" i="42" s="1"/>
  <c r="Y478" i="42" s="1"/>
  <c r="F897" i="28"/>
  <c r="F896" i="28"/>
  <c r="F895" i="28"/>
  <c r="F894" i="28"/>
  <c r="I476" i="42" s="1"/>
  <c r="Y476" i="42" s="1"/>
  <c r="F893" i="28"/>
  <c r="F892" i="28"/>
  <c r="F891" i="28"/>
  <c r="I475" i="42" s="1"/>
  <c r="Y475" i="42" s="1"/>
  <c r="F890" i="28"/>
  <c r="F889" i="28"/>
  <c r="F888" i="28"/>
  <c r="I474" i="42" s="1"/>
  <c r="F861" i="28"/>
  <c r="I470" i="42" s="1"/>
  <c r="Y470" i="42" s="1"/>
  <c r="F856" i="28"/>
  <c r="F855" i="28"/>
  <c r="F854" i="28"/>
  <c r="F851" i="28"/>
  <c r="I467" i="42" s="1"/>
  <c r="Y467" i="42" s="1"/>
  <c r="F848" i="28"/>
  <c r="I466" i="42" s="1"/>
  <c r="Y466" i="42" s="1"/>
  <c r="F845" i="28"/>
  <c r="F844" i="28"/>
  <c r="F843" i="28"/>
  <c r="I465" i="42" s="1"/>
  <c r="F787" i="28"/>
  <c r="I457" i="42" s="1"/>
  <c r="Y457" i="42" s="1"/>
  <c r="F785" i="28"/>
  <c r="F784" i="28"/>
  <c r="F783" i="28"/>
  <c r="I456" i="42" s="1"/>
  <c r="Y456" i="42" s="1"/>
  <c r="F779" i="28"/>
  <c r="I454" i="42" s="1"/>
  <c r="Y454" i="42" s="1"/>
  <c r="F776" i="28"/>
  <c r="I453" i="42" s="1"/>
  <c r="F748" i="28"/>
  <c r="I449" i="42" s="1"/>
  <c r="Y449" i="42" s="1"/>
  <c r="F743" i="28"/>
  <c r="I447" i="42" s="1"/>
  <c r="Y447" i="42" s="1"/>
  <c r="F740" i="28"/>
  <c r="I446" i="42" s="1"/>
  <c r="Y446" i="42" s="1"/>
  <c r="F737" i="28"/>
  <c r="F736" i="28"/>
  <c r="F735" i="28"/>
  <c r="F734" i="28"/>
  <c r="F733" i="28"/>
  <c r="F217" i="28"/>
  <c r="I332" i="42" s="1"/>
  <c r="Y332" i="42" s="1"/>
  <c r="F214" i="28"/>
  <c r="C182" i="28"/>
  <c r="F182" i="28" s="1"/>
  <c r="I324" i="42" s="1"/>
  <c r="Y324" i="42" s="1"/>
  <c r="F179" i="28"/>
  <c r="I322" i="42" s="1"/>
  <c r="Y322" i="42" s="1"/>
  <c r="C177" i="28"/>
  <c r="F177" i="28" s="1"/>
  <c r="I321" i="42" s="1"/>
  <c r="Y321" i="42" s="1"/>
  <c r="F174" i="28"/>
  <c r="F173" i="28"/>
  <c r="F172" i="28"/>
  <c r="F171" i="28"/>
  <c r="F170" i="28"/>
  <c r="I320" i="42" s="1"/>
  <c r="C21" i="28"/>
  <c r="F21" i="28" s="1"/>
  <c r="R21" i="28" s="1"/>
  <c r="F141" i="28"/>
  <c r="I313" i="42" s="1"/>
  <c r="Y313" i="42" s="1"/>
  <c r="F134" i="28"/>
  <c r="F133" i="28"/>
  <c r="F132" i="28"/>
  <c r="F129" i="28"/>
  <c r="T129" i="28" s="1"/>
  <c r="F128" i="28"/>
  <c r="T128" i="28" s="1"/>
  <c r="F126" i="28"/>
  <c r="T126" i="28" s="1"/>
  <c r="F125" i="28"/>
  <c r="T125" i="28" s="1"/>
  <c r="F124" i="28"/>
  <c r="T124" i="28" s="1"/>
  <c r="F123" i="28"/>
  <c r="T123" i="28" s="1"/>
  <c r="F122" i="28"/>
  <c r="T122" i="28" s="1"/>
  <c r="F121" i="28"/>
  <c r="T121" i="28" s="1"/>
  <c r="F120" i="28"/>
  <c r="F116" i="28"/>
  <c r="R116" i="28" s="1"/>
  <c r="F115" i="28"/>
  <c r="R115" i="28" s="1"/>
  <c r="F114" i="28"/>
  <c r="R114" i="28" s="1"/>
  <c r="F113" i="28"/>
  <c r="R113" i="28" s="1"/>
  <c r="F112" i="28"/>
  <c r="R112" i="28" s="1"/>
  <c r="F111" i="28"/>
  <c r="R111" i="28" s="1"/>
  <c r="F110" i="28"/>
  <c r="R110" i="28" s="1"/>
  <c r="F109" i="28"/>
  <c r="R109" i="28" s="1"/>
  <c r="F108" i="28"/>
  <c r="R108" i="28" s="1"/>
  <c r="F107" i="28"/>
  <c r="F104" i="28"/>
  <c r="I303" i="42" s="1"/>
  <c r="Y303" i="42" s="1"/>
  <c r="F98" i="28"/>
  <c r="I301" i="42" s="1"/>
  <c r="Y301" i="42" s="1"/>
  <c r="F95" i="28"/>
  <c r="R95" i="28" s="1"/>
  <c r="F94" i="28"/>
  <c r="F91" i="28"/>
  <c r="I299" i="42" s="1"/>
  <c r="Y299" i="42" s="1"/>
  <c r="F43" i="28"/>
  <c r="R43" i="28" s="1"/>
  <c r="F42" i="28"/>
  <c r="R42" i="28" s="1"/>
  <c r="F89" i="28"/>
  <c r="R89" i="28" s="1"/>
  <c r="F39" i="28"/>
  <c r="R39" i="28" s="1"/>
  <c r="F88" i="28"/>
  <c r="R88" i="28" s="1"/>
  <c r="F87" i="28"/>
  <c r="R87" i="28" s="1"/>
  <c r="F86" i="28"/>
  <c r="R86" i="28" s="1"/>
  <c r="F85" i="28"/>
  <c r="R85" i="28" s="1"/>
  <c r="F84" i="28"/>
  <c r="R84" i="28" s="1"/>
  <c r="F83" i="28"/>
  <c r="R83" i="28" s="1"/>
  <c r="F82" i="28"/>
  <c r="R82" i="28" s="1"/>
  <c r="F81" i="28"/>
  <c r="R81" i="28" s="1"/>
  <c r="F80" i="28"/>
  <c r="R80" i="28" s="1"/>
  <c r="F79" i="28"/>
  <c r="R79" i="28" s="1"/>
  <c r="F78" i="28"/>
  <c r="R78" i="28" s="1"/>
  <c r="F77" i="28"/>
  <c r="R77" i="28" s="1"/>
  <c r="F76" i="28"/>
  <c r="R76" i="28" s="1"/>
  <c r="F101" i="28"/>
  <c r="R101" i="28" s="1"/>
  <c r="F75" i="28"/>
  <c r="R75" i="28" s="1"/>
  <c r="F74" i="28"/>
  <c r="R74" i="28" s="1"/>
  <c r="F73" i="28"/>
  <c r="F70" i="28"/>
  <c r="I297" i="42" s="1"/>
  <c r="Y297" i="42" s="1"/>
  <c r="F61" i="28"/>
  <c r="R61" i="28" s="1"/>
  <c r="F60" i="28"/>
  <c r="R60" i="28" s="1"/>
  <c r="F59" i="28"/>
  <c r="R59" i="28" s="1"/>
  <c r="F58" i="28"/>
  <c r="R58" i="28" s="1"/>
  <c r="F57" i="28"/>
  <c r="R57" i="28" s="1"/>
  <c r="F56" i="28"/>
  <c r="R56" i="28" s="1"/>
  <c r="F55" i="28"/>
  <c r="R55" i="28" s="1"/>
  <c r="F54" i="28"/>
  <c r="R54" i="28" s="1"/>
  <c r="F53" i="28"/>
  <c r="R53" i="28" s="1"/>
  <c r="F52" i="28"/>
  <c r="R52" i="28" s="1"/>
  <c r="F51" i="28"/>
  <c r="R51" i="28" s="1"/>
  <c r="F50" i="28"/>
  <c r="R50" i="28" s="1"/>
  <c r="F49" i="28"/>
  <c r="R49" i="28" s="1"/>
  <c r="F48" i="28"/>
  <c r="R48" i="28" s="1"/>
  <c r="F47" i="28"/>
  <c r="R47" i="28" s="1"/>
  <c r="F46" i="28"/>
  <c r="R46" i="28" s="1"/>
  <c r="F45" i="28"/>
  <c r="R45" i="28" s="1"/>
  <c r="F44" i="28"/>
  <c r="R44" i="28" s="1"/>
  <c r="F41" i="28"/>
  <c r="R41" i="28" s="1"/>
  <c r="F68" i="28"/>
  <c r="R68" i="28" s="1"/>
  <c r="F65" i="28"/>
  <c r="R65" i="28" s="1"/>
  <c r="F64" i="28"/>
  <c r="R64" i="28" s="1"/>
  <c r="F63" i="28"/>
  <c r="F38" i="28"/>
  <c r="R38" i="28" s="1"/>
  <c r="F37" i="28"/>
  <c r="R37" i="28" s="1"/>
  <c r="F36" i="28"/>
  <c r="R36" i="28" s="1"/>
  <c r="F35" i="28"/>
  <c r="R35" i="28" s="1"/>
  <c r="F34" i="28"/>
  <c r="R34" i="28" s="1"/>
  <c r="F33" i="28"/>
  <c r="R33" i="28" s="1"/>
  <c r="F32" i="28"/>
  <c r="R32" i="28" s="1"/>
  <c r="F31" i="28"/>
  <c r="R31" i="28" s="1"/>
  <c r="F30" i="28"/>
  <c r="R30" i="28" s="1"/>
  <c r="F29" i="28"/>
  <c r="R29" i="28" s="1"/>
  <c r="F28" i="28"/>
  <c r="R28" i="28" s="1"/>
  <c r="F27" i="28"/>
  <c r="R27" i="28" s="1"/>
  <c r="F26" i="28"/>
  <c r="R26" i="28" s="1"/>
  <c r="F25" i="28"/>
  <c r="R25" i="28" s="1"/>
  <c r="F24" i="28"/>
  <c r="R24" i="28" s="1"/>
  <c r="F23" i="28"/>
  <c r="R23" i="28" s="1"/>
  <c r="F22" i="28"/>
  <c r="R22" i="28" s="1"/>
  <c r="F20" i="28"/>
  <c r="R20" i="28" s="1"/>
  <c r="F19" i="28"/>
  <c r="R19" i="28" s="1"/>
  <c r="F18" i="28"/>
  <c r="R18" i="28" s="1"/>
  <c r="F17" i="28"/>
  <c r="R17" i="28" s="1"/>
  <c r="F16" i="28"/>
  <c r="F845" i="27"/>
  <c r="C235" i="27"/>
  <c r="F235" i="27" s="1"/>
  <c r="J235" i="27" s="1"/>
  <c r="C180" i="27"/>
  <c r="F180" i="27" s="1"/>
  <c r="F301" i="27"/>
  <c r="J301" i="27" s="1"/>
  <c r="F300" i="27"/>
  <c r="J300" i="27" s="1"/>
  <c r="F299" i="27"/>
  <c r="J299" i="27" s="1"/>
  <c r="F298" i="27"/>
  <c r="J298" i="27" s="1"/>
  <c r="F297" i="27"/>
  <c r="J297" i="27" s="1"/>
  <c r="F296" i="27"/>
  <c r="F292" i="27"/>
  <c r="J292" i="27" s="1"/>
  <c r="F291" i="27"/>
  <c r="J291" i="27" s="1"/>
  <c r="F290" i="27"/>
  <c r="J290" i="27" s="1"/>
  <c r="F289" i="27"/>
  <c r="J289" i="27" s="1"/>
  <c r="F287" i="27"/>
  <c r="J287" i="27" s="1"/>
  <c r="F286" i="27"/>
  <c r="J286" i="27" s="1"/>
  <c r="F285" i="27"/>
  <c r="J285" i="27" s="1"/>
  <c r="F284" i="27"/>
  <c r="J284" i="27" s="1"/>
  <c r="F283" i="27"/>
  <c r="J283" i="27" s="1"/>
  <c r="F282" i="27"/>
  <c r="J282" i="27" s="1"/>
  <c r="F281" i="27"/>
  <c r="J281" i="27" s="1"/>
  <c r="F280" i="27"/>
  <c r="J280" i="27" s="1"/>
  <c r="F279" i="27"/>
  <c r="J279" i="27" s="1"/>
  <c r="F277" i="27"/>
  <c r="F278" i="27"/>
  <c r="J278" i="27" s="1"/>
  <c r="F273" i="27"/>
  <c r="J273" i="27" s="1"/>
  <c r="F272" i="27"/>
  <c r="J272" i="27" s="1"/>
  <c r="F271" i="27"/>
  <c r="J271" i="27" s="1"/>
  <c r="F270" i="27"/>
  <c r="J270" i="27" s="1"/>
  <c r="F269" i="27"/>
  <c r="F265" i="27"/>
  <c r="F263" i="27"/>
  <c r="F258" i="27"/>
  <c r="J258" i="27" s="1"/>
  <c r="F257" i="27"/>
  <c r="J257" i="27" s="1"/>
  <c r="F256" i="27"/>
  <c r="J256" i="27" s="1"/>
  <c r="F255" i="27"/>
  <c r="J255" i="27" s="1"/>
  <c r="F254" i="27"/>
  <c r="J254" i="27" s="1"/>
  <c r="F253" i="27"/>
  <c r="J253" i="27" s="1"/>
  <c r="F252" i="27"/>
  <c r="J252" i="27" s="1"/>
  <c r="W2" i="27"/>
  <c r="S8" i="35" s="1"/>
  <c r="S13" i="35" s="1"/>
  <c r="S14" i="35" s="1"/>
  <c r="F251" i="27"/>
  <c r="F248" i="27"/>
  <c r="F247" i="27"/>
  <c r="F246" i="27"/>
  <c r="F245" i="27"/>
  <c r="F242" i="27"/>
  <c r="F239" i="27"/>
  <c r="J239" i="27" s="1"/>
  <c r="F238" i="27"/>
  <c r="J238" i="27" s="1"/>
  <c r="F237" i="27"/>
  <c r="J237" i="27" s="1"/>
  <c r="F234" i="27"/>
  <c r="J234" i="27" s="1"/>
  <c r="F233" i="27"/>
  <c r="F225" i="27"/>
  <c r="F221" i="27"/>
  <c r="I70" i="42" s="1"/>
  <c r="Y70" i="42" s="1"/>
  <c r="F217" i="27"/>
  <c r="J217" i="27" s="1"/>
  <c r="F216" i="27"/>
  <c r="J216" i="27" s="1"/>
  <c r="F215" i="27"/>
  <c r="J215" i="27" s="1"/>
  <c r="F214" i="27"/>
  <c r="J214" i="27" s="1"/>
  <c r="F213" i="27"/>
  <c r="F229" i="27"/>
  <c r="J229" i="27" s="1"/>
  <c r="F228" i="27"/>
  <c r="F207" i="27"/>
  <c r="J207" i="27" s="1"/>
  <c r="F206" i="27"/>
  <c r="J206" i="27" s="1"/>
  <c r="F205" i="27"/>
  <c r="J205" i="27" s="1"/>
  <c r="F204" i="27"/>
  <c r="J204" i="27" s="1"/>
  <c r="F203" i="27"/>
  <c r="J203" i="27" s="1"/>
  <c r="F202" i="27"/>
  <c r="F199" i="27"/>
  <c r="J199" i="27" s="1"/>
  <c r="F197" i="27"/>
  <c r="J197" i="27" s="1"/>
  <c r="F196" i="27"/>
  <c r="J196" i="27" s="1"/>
  <c r="F195" i="27"/>
  <c r="J195" i="27" s="1"/>
  <c r="F194" i="27"/>
  <c r="J194" i="27" s="1"/>
  <c r="F193" i="27"/>
  <c r="J193" i="27" s="1"/>
  <c r="F192" i="27"/>
  <c r="J192" i="27" s="1"/>
  <c r="F191" i="27"/>
  <c r="J191" i="27" s="1"/>
  <c r="F190" i="27"/>
  <c r="J190" i="27" s="1"/>
  <c r="F189" i="27"/>
  <c r="J189" i="27" s="1"/>
  <c r="F188" i="27"/>
  <c r="J188" i="27" s="1"/>
  <c r="F187" i="27"/>
  <c r="J187" i="27" s="1"/>
  <c r="F186" i="27"/>
  <c r="J186" i="27" s="1"/>
  <c r="F185" i="27"/>
  <c r="F182" i="27"/>
  <c r="J182" i="27" s="1"/>
  <c r="F181" i="27"/>
  <c r="J181" i="27" s="1"/>
  <c r="F177" i="27"/>
  <c r="J177" i="27" s="1"/>
  <c r="F176" i="27"/>
  <c r="J176" i="27" s="1"/>
  <c r="F175" i="27"/>
  <c r="J175" i="27" s="1"/>
  <c r="F174" i="27"/>
  <c r="J174" i="27" s="1"/>
  <c r="F173" i="27"/>
  <c r="J173" i="27" s="1"/>
  <c r="F172" i="27"/>
  <c r="J172" i="27" s="1"/>
  <c r="F171" i="27"/>
  <c r="J171" i="27" s="1"/>
  <c r="F170" i="27"/>
  <c r="J170" i="27" s="1"/>
  <c r="F169" i="27"/>
  <c r="J169" i="27" s="1"/>
  <c r="F168" i="27"/>
  <c r="J168" i="27" s="1"/>
  <c r="F167" i="27"/>
  <c r="J167" i="27" s="1"/>
  <c r="F166" i="27"/>
  <c r="F161" i="27"/>
  <c r="I63" i="42" s="1"/>
  <c r="Y63" i="42" s="1"/>
  <c r="F158" i="27"/>
  <c r="J158" i="27" s="1"/>
  <c r="F157" i="27"/>
  <c r="J157" i="27" s="1"/>
  <c r="F156" i="27"/>
  <c r="J156" i="27" s="1"/>
  <c r="F155" i="27"/>
  <c r="J155" i="27" s="1"/>
  <c r="F154" i="27"/>
  <c r="J154" i="27" s="1"/>
  <c r="F153" i="27"/>
  <c r="J153" i="27" s="1"/>
  <c r="F152" i="27"/>
  <c r="J152" i="27" s="1"/>
  <c r="F151" i="27"/>
  <c r="J151" i="27" s="1"/>
  <c r="F150" i="27"/>
  <c r="J150" i="27" s="1"/>
  <c r="F149" i="27"/>
  <c r="J149" i="27" s="1"/>
  <c r="F148" i="27"/>
  <c r="J148" i="27" s="1"/>
  <c r="F147" i="27"/>
  <c r="J147" i="27" s="1"/>
  <c r="F146" i="27"/>
  <c r="J146" i="27" s="1"/>
  <c r="F145" i="27"/>
  <c r="J145" i="27" s="1"/>
  <c r="F144" i="27"/>
  <c r="J144" i="27" s="1"/>
  <c r="F143" i="27"/>
  <c r="J143" i="27" s="1"/>
  <c r="F142" i="27"/>
  <c r="J142" i="27" s="1"/>
  <c r="F141" i="27"/>
  <c r="J141" i="27" s="1"/>
  <c r="F138" i="27"/>
  <c r="J138" i="27" s="1"/>
  <c r="F137" i="27"/>
  <c r="J137" i="27" s="1"/>
  <c r="F136" i="27"/>
  <c r="J136" i="27" s="1"/>
  <c r="F135" i="27"/>
  <c r="J135" i="27" s="1"/>
  <c r="F134" i="27"/>
  <c r="J134" i="27" s="1"/>
  <c r="F133" i="27"/>
  <c r="J133" i="27" s="1"/>
  <c r="F131" i="27"/>
  <c r="J131" i="27" s="1"/>
  <c r="F130" i="27"/>
  <c r="J130" i="27" s="1"/>
  <c r="F129" i="27"/>
  <c r="J129" i="27" s="1"/>
  <c r="F128" i="27"/>
  <c r="J128" i="27" s="1"/>
  <c r="F125" i="27"/>
  <c r="J125" i="27" s="1"/>
  <c r="F124" i="27"/>
  <c r="J124" i="27" s="1"/>
  <c r="F123" i="27"/>
  <c r="J123" i="27" s="1"/>
  <c r="F122" i="27"/>
  <c r="J122" i="27" s="1"/>
  <c r="F121" i="27"/>
  <c r="I532" i="42" l="1"/>
  <c r="I304" i="42"/>
  <c r="Y304" i="42" s="1"/>
  <c r="O265" i="27"/>
  <c r="I85" i="42"/>
  <c r="Y85" i="42" s="1"/>
  <c r="T120" i="28"/>
  <c r="I306" i="42"/>
  <c r="Y306" i="42" s="1"/>
  <c r="I445" i="42"/>
  <c r="I525" i="42"/>
  <c r="Y320" i="42"/>
  <c r="I317" i="42"/>
  <c r="Y317" i="42" s="1"/>
  <c r="Y465" i="42"/>
  <c r="I84" i="42"/>
  <c r="Y84" i="42" s="1"/>
  <c r="O263" i="27"/>
  <c r="L1033" i="28"/>
  <c r="I510" i="42"/>
  <c r="Y453" i="42"/>
  <c r="I450" i="42"/>
  <c r="Y450" i="42" s="1"/>
  <c r="I64" i="42"/>
  <c r="Y64" i="42" s="1"/>
  <c r="J242" i="27"/>
  <c r="I76" i="42"/>
  <c r="Y76" i="42" s="1"/>
  <c r="J269" i="27"/>
  <c r="I87" i="42"/>
  <c r="Y87" i="42" s="1"/>
  <c r="I308" i="42"/>
  <c r="Y308" i="42" s="1"/>
  <c r="L1036" i="28"/>
  <c r="I511" i="42"/>
  <c r="Y511" i="42" s="1"/>
  <c r="L1051" i="28"/>
  <c r="I518" i="42"/>
  <c r="Y518" i="42" s="1"/>
  <c r="I330" i="42"/>
  <c r="J185" i="27"/>
  <c r="I66" i="42"/>
  <c r="Y66" i="42" s="1"/>
  <c r="J277" i="27"/>
  <c r="I88" i="42"/>
  <c r="Y474" i="42"/>
  <c r="I471" i="42"/>
  <c r="Y471" i="42" s="1"/>
  <c r="J228" i="27"/>
  <c r="I72" i="42"/>
  <c r="Y72" i="42" s="1"/>
  <c r="J225" i="27"/>
  <c r="I71" i="42"/>
  <c r="Y71" i="42" s="1"/>
  <c r="J246" i="27"/>
  <c r="I79" i="42"/>
  <c r="Y79" i="42" s="1"/>
  <c r="I65" i="42"/>
  <c r="Y65" i="42" s="1"/>
  <c r="I310" i="42"/>
  <c r="Y310" i="42" s="1"/>
  <c r="I468" i="42"/>
  <c r="Y468" i="42" s="1"/>
  <c r="I500" i="42"/>
  <c r="Y500" i="42" s="1"/>
  <c r="L1042" i="28"/>
  <c r="I515" i="42"/>
  <c r="Y515" i="42" s="1"/>
  <c r="J251" i="27"/>
  <c r="I83" i="42"/>
  <c r="Y83" i="42" s="1"/>
  <c r="R16" i="28"/>
  <c r="I295" i="42"/>
  <c r="I62" i="42"/>
  <c r="J245" i="27"/>
  <c r="I78" i="42"/>
  <c r="Y78" i="42" s="1"/>
  <c r="R94" i="28"/>
  <c r="I300" i="42"/>
  <c r="Y300" i="42" s="1"/>
  <c r="I309" i="42"/>
  <c r="Y309" i="42" s="1"/>
  <c r="J233" i="27"/>
  <c r="I74" i="42"/>
  <c r="Y74" i="42" s="1"/>
  <c r="J247" i="27"/>
  <c r="I80" i="42"/>
  <c r="Y80" i="42" s="1"/>
  <c r="R63" i="28"/>
  <c r="I296" i="42"/>
  <c r="Y296" i="42" s="1"/>
  <c r="R73" i="28"/>
  <c r="I298" i="42"/>
  <c r="Y298" i="42" s="1"/>
  <c r="L1044" i="28"/>
  <c r="I516" i="42"/>
  <c r="Y516" i="42" s="1"/>
  <c r="L1055" i="28"/>
  <c r="I519" i="42"/>
  <c r="Y519" i="42" s="1"/>
  <c r="Y532" i="42"/>
  <c r="I529" i="42"/>
  <c r="Y529" i="42" s="1"/>
  <c r="Y499" i="42"/>
  <c r="J202" i="27"/>
  <c r="I67" i="42"/>
  <c r="Y67" i="42" s="1"/>
  <c r="I69" i="42"/>
  <c r="Y69" i="42" s="1"/>
  <c r="J248" i="27"/>
  <c r="I81" i="42"/>
  <c r="Y81" i="42" s="1"/>
  <c r="J296" i="27"/>
  <c r="I89" i="42"/>
  <c r="Y89" i="42" s="1"/>
  <c r="U1057" i="28"/>
  <c r="I521" i="42"/>
  <c r="Y521" i="42" s="1"/>
  <c r="J221" i="27"/>
  <c r="K75" i="37"/>
  <c r="J180" i="27"/>
  <c r="K70" i="37"/>
  <c r="J166" i="27"/>
  <c r="K69" i="37"/>
  <c r="J213" i="27"/>
  <c r="K74" i="37"/>
  <c r="K67" i="37"/>
  <c r="J161" i="27"/>
  <c r="K68" i="37"/>
  <c r="F304" i="27"/>
  <c r="J121" i="27"/>
  <c r="R70" i="28"/>
  <c r="R98" i="28"/>
  <c r="R141" i="28"/>
  <c r="R91" i="28"/>
  <c r="Q104" i="28"/>
  <c r="K327" i="37"/>
  <c r="K454" i="37"/>
  <c r="K471" i="37"/>
  <c r="K524" i="37"/>
  <c r="K538" i="37"/>
  <c r="K329" i="37"/>
  <c r="K472" i="37"/>
  <c r="K475" i="37"/>
  <c r="K481" i="37"/>
  <c r="K483" i="37"/>
  <c r="K508" i="37"/>
  <c r="K539" i="37"/>
  <c r="K451" i="37"/>
  <c r="K480" i="37"/>
  <c r="K504" i="37"/>
  <c r="K510" i="37"/>
  <c r="K531" i="37"/>
  <c r="K541" i="37"/>
  <c r="K326" i="37"/>
  <c r="K337" i="37"/>
  <c r="K452" i="37"/>
  <c r="K459" i="37"/>
  <c r="K462" i="37"/>
  <c r="K520" i="37"/>
  <c r="K533" i="37"/>
  <c r="K89" i="37"/>
  <c r="K86" i="37"/>
  <c r="K90" i="37"/>
  <c r="K76" i="37"/>
  <c r="K85" i="37"/>
  <c r="K81" i="37"/>
  <c r="K77" i="37"/>
  <c r="K84" i="37"/>
  <c r="K83" i="37"/>
  <c r="K88" i="37"/>
  <c r="K71" i="37"/>
  <c r="K93" i="37"/>
  <c r="K505" i="37"/>
  <c r="K845" i="27"/>
  <c r="K450" i="37"/>
  <c r="K461" i="37"/>
  <c r="K470" i="37"/>
  <c r="K521" i="37"/>
  <c r="K530" i="37"/>
  <c r="K537" i="37"/>
  <c r="F1062" i="28"/>
  <c r="K515" i="37"/>
  <c r="K458" i="37"/>
  <c r="K516" i="37"/>
  <c r="K523" i="37"/>
  <c r="K526" i="37"/>
  <c r="K473" i="37"/>
  <c r="K479" i="37"/>
  <c r="K507" i="37"/>
  <c r="K302" i="37"/>
  <c r="K301" i="37"/>
  <c r="K303" i="37"/>
  <c r="K306" i="37"/>
  <c r="W2" i="28"/>
  <c r="R9" i="35" s="1"/>
  <c r="K311" i="37"/>
  <c r="K318" i="37"/>
  <c r="F750" i="28"/>
  <c r="M750" i="28" s="1"/>
  <c r="F865" i="28"/>
  <c r="M865" i="28" s="1"/>
  <c r="F1096" i="28"/>
  <c r="F1130" i="28"/>
  <c r="K304" i="37"/>
  <c r="K308" i="37"/>
  <c r="L132" i="28"/>
  <c r="K313" i="37"/>
  <c r="F790" i="28"/>
  <c r="L134" i="28"/>
  <c r="K315" i="37"/>
  <c r="K300" i="37"/>
  <c r="F147" i="28"/>
  <c r="K305" i="37"/>
  <c r="R107" i="28"/>
  <c r="K309" i="37"/>
  <c r="L133" i="28"/>
  <c r="K314" i="37"/>
  <c r="K325" i="37"/>
  <c r="F191" i="28"/>
  <c r="K335" i="37"/>
  <c r="F218" i="28"/>
  <c r="M218" i="28" s="1"/>
  <c r="F900" i="28"/>
  <c r="F1009" i="28"/>
  <c r="T1009" i="28" s="1"/>
  <c r="K79" i="37"/>
  <c r="K72" i="37"/>
  <c r="K92" i="37"/>
  <c r="K94" i="37"/>
  <c r="N124" i="30"/>
  <c r="Y525" i="42" l="1"/>
  <c r="I522" i="42"/>
  <c r="Y522" i="42" s="1"/>
  <c r="Y62" i="42"/>
  <c r="I59" i="42"/>
  <c r="Y330" i="42"/>
  <c r="I327" i="42"/>
  <c r="Y327" i="42" s="1"/>
  <c r="Y445" i="42"/>
  <c r="I442" i="42"/>
  <c r="Y442" i="42" s="1"/>
  <c r="Y510" i="42"/>
  <c r="I506" i="42"/>
  <c r="Y506" i="42" s="1"/>
  <c r="Y295" i="42"/>
  <c r="I292" i="42"/>
  <c r="I496" i="42"/>
  <c r="Y496" i="42" s="1"/>
  <c r="I462" i="42"/>
  <c r="Y462" i="42" s="1"/>
  <c r="K64" i="37"/>
  <c r="K332" i="37"/>
  <c r="K322" i="37"/>
  <c r="K476" i="37"/>
  <c r="K534" i="37"/>
  <c r="M447" i="37"/>
  <c r="M501" i="37"/>
  <c r="M322" i="37"/>
  <c r="M297" i="37"/>
  <c r="M534" i="37"/>
  <c r="K501" i="37"/>
  <c r="M511" i="37"/>
  <c r="M476" i="37"/>
  <c r="M527" i="37"/>
  <c r="M455" i="37"/>
  <c r="M332" i="37"/>
  <c r="M467" i="37"/>
  <c r="K527" i="37"/>
  <c r="K447" i="37"/>
  <c r="S1096" i="28"/>
  <c r="K467" i="37"/>
  <c r="K511" i="37"/>
  <c r="K455" i="37"/>
  <c r="K297" i="37"/>
  <c r="I107" i="41" s="1"/>
  <c r="I108" i="41" s="1"/>
  <c r="L191" i="28"/>
  <c r="M64" i="37"/>
  <c r="S1130" i="28"/>
  <c r="R13" i="35"/>
  <c r="Q2" i="27"/>
  <c r="M8" i="35" s="1"/>
  <c r="L75" i="34"/>
  <c r="M900" i="28"/>
  <c r="L58" i="34"/>
  <c r="L72" i="34"/>
  <c r="S790" i="28"/>
  <c r="L74" i="34"/>
  <c r="L78" i="34"/>
  <c r="L59" i="34"/>
  <c r="L77" i="34"/>
  <c r="L57" i="34"/>
  <c r="L80" i="26"/>
  <c r="L80" i="34"/>
  <c r="L79" i="26"/>
  <c r="L79" i="34"/>
  <c r="L71" i="26"/>
  <c r="L71" i="34"/>
  <c r="L15" i="26"/>
  <c r="L15" i="34"/>
  <c r="N81" i="30"/>
  <c r="L75" i="26"/>
  <c r="N49" i="30"/>
  <c r="L58" i="26"/>
  <c r="N48" i="30"/>
  <c r="L57" i="26"/>
  <c r="N57" i="30"/>
  <c r="L72" i="26"/>
  <c r="N75" i="30"/>
  <c r="L78" i="26"/>
  <c r="N71" i="30"/>
  <c r="L74" i="26"/>
  <c r="N50" i="30"/>
  <c r="L59" i="26"/>
  <c r="N74" i="30"/>
  <c r="L77" i="26"/>
  <c r="F697" i="28"/>
  <c r="I436" i="42" s="1"/>
  <c r="Y436" i="42" s="1"/>
  <c r="F703" i="28"/>
  <c r="I439" i="42" s="1"/>
  <c r="Y439" i="42" s="1"/>
  <c r="F701" i="28"/>
  <c r="F700" i="28"/>
  <c r="F707" i="28"/>
  <c r="I441" i="42" s="1"/>
  <c r="Y441" i="42" s="1"/>
  <c r="F694" i="28"/>
  <c r="I434" i="42" s="1"/>
  <c r="Y434" i="42" s="1"/>
  <c r="F691" i="28"/>
  <c r="I433" i="42" s="1"/>
  <c r="Y433" i="42" s="1"/>
  <c r="F689" i="28"/>
  <c r="I432" i="42" s="1"/>
  <c r="Y432" i="42" s="1"/>
  <c r="F686" i="28"/>
  <c r="I431" i="42" s="1"/>
  <c r="C635" i="28"/>
  <c r="F635" i="28" s="1"/>
  <c r="I420" i="42" s="1"/>
  <c r="Y420" i="42" s="1"/>
  <c r="F658" i="28"/>
  <c r="F657" i="28"/>
  <c r="F656" i="28"/>
  <c r="F652" i="28"/>
  <c r="I425" i="42" s="1"/>
  <c r="Y425" i="42" s="1"/>
  <c r="F649" i="28"/>
  <c r="F648" i="28"/>
  <c r="F647" i="28"/>
  <c r="F643" i="28"/>
  <c r="F642" i="28"/>
  <c r="F641" i="28"/>
  <c r="F638" i="28"/>
  <c r="I421" i="42" s="1"/>
  <c r="Y421" i="42" s="1"/>
  <c r="F630" i="28"/>
  <c r="I418" i="42" s="1"/>
  <c r="Y418" i="42" s="1"/>
  <c r="F626" i="28"/>
  <c r="I416" i="42" s="1"/>
  <c r="Y416" i="42" s="1"/>
  <c r="F623" i="28"/>
  <c r="F622" i="28"/>
  <c r="I415" i="42" s="1"/>
  <c r="F597" i="28"/>
  <c r="F593" i="28"/>
  <c r="I410" i="42" s="1"/>
  <c r="Y410" i="42" s="1"/>
  <c r="F596" i="28"/>
  <c r="F595" i="28"/>
  <c r="F590" i="28"/>
  <c r="I408" i="42" s="1"/>
  <c r="Y408" i="42" s="1"/>
  <c r="F588" i="28"/>
  <c r="I407" i="42" s="1"/>
  <c r="F549" i="28"/>
  <c r="F548" i="28"/>
  <c r="I399" i="42" s="1"/>
  <c r="Y399" i="42" s="1"/>
  <c r="F542" i="28"/>
  <c r="I397" i="42" s="1"/>
  <c r="Y397" i="42" s="1"/>
  <c r="F539" i="28"/>
  <c r="F538" i="28"/>
  <c r="F537" i="28"/>
  <c r="F533" i="28"/>
  <c r="I394" i="42" s="1"/>
  <c r="Y394" i="42" s="1"/>
  <c r="F531" i="28"/>
  <c r="F530" i="28"/>
  <c r="F494" i="28"/>
  <c r="I384" i="42" s="1"/>
  <c r="Y384" i="42" s="1"/>
  <c r="F490" i="28"/>
  <c r="I382" i="42" s="1"/>
  <c r="Y382" i="42" s="1"/>
  <c r="F487" i="28"/>
  <c r="I381" i="42" s="1"/>
  <c r="F463" i="28"/>
  <c r="I377" i="42" s="1"/>
  <c r="Y377" i="42" s="1"/>
  <c r="F460" i="28"/>
  <c r="I375" i="42" s="1"/>
  <c r="Y375" i="42" s="1"/>
  <c r="F458" i="28"/>
  <c r="I374" i="42" s="1"/>
  <c r="Y374" i="42" s="1"/>
  <c r="F456" i="28"/>
  <c r="I373" i="42" s="1"/>
  <c r="Y373" i="42" s="1"/>
  <c r="F454" i="28"/>
  <c r="F453" i="28"/>
  <c r="F452" i="28"/>
  <c r="F451" i="28"/>
  <c r="I372" i="42" s="1"/>
  <c r="I424" i="42" l="1"/>
  <c r="Y424" i="42" s="1"/>
  <c r="I393" i="42"/>
  <c r="I411" i="42"/>
  <c r="Y411" i="42" s="1"/>
  <c r="I427" i="42"/>
  <c r="Y427" i="42" s="1"/>
  <c r="I396" i="42"/>
  <c r="Y396" i="42" s="1"/>
  <c r="I422" i="42"/>
  <c r="Y422" i="42" s="1"/>
  <c r="I438" i="42"/>
  <c r="Y438" i="42" s="1"/>
  <c r="Y393" i="42"/>
  <c r="Y372" i="42"/>
  <c r="I369" i="42"/>
  <c r="Y369" i="42" s="1"/>
  <c r="Y431" i="42"/>
  <c r="Y292" i="42"/>
  <c r="Y407" i="42"/>
  <c r="I400" i="42"/>
  <c r="Y400" i="42" s="1"/>
  <c r="Y381" i="42"/>
  <c r="I378" i="42"/>
  <c r="Y378" i="42" s="1"/>
  <c r="Y415" i="42"/>
  <c r="I134" i="41"/>
  <c r="I135" i="41" s="1"/>
  <c r="I109" i="41"/>
  <c r="I110" i="41" s="1"/>
  <c r="I136" i="41"/>
  <c r="I137" i="41" s="1"/>
  <c r="I150" i="41"/>
  <c r="I151" i="41" s="1"/>
  <c r="I148" i="41"/>
  <c r="I149" i="41" s="1"/>
  <c r="I140" i="41"/>
  <c r="I141" i="41" s="1"/>
  <c r="I152" i="41"/>
  <c r="I153" i="41" s="1"/>
  <c r="I111" i="41"/>
  <c r="I112" i="41" s="1"/>
  <c r="I142" i="41"/>
  <c r="I143" i="41" s="1"/>
  <c r="I36" i="41"/>
  <c r="I37" i="41" s="1"/>
  <c r="I146" i="41"/>
  <c r="I147" i="41" s="1"/>
  <c r="K379" i="37"/>
  <c r="K402" i="37"/>
  <c r="K425" i="37"/>
  <c r="K389" i="37"/>
  <c r="K382" i="37"/>
  <c r="K398" i="37"/>
  <c r="K427" i="37"/>
  <c r="K446" i="37"/>
  <c r="K441" i="37"/>
  <c r="K378" i="37"/>
  <c r="K386" i="37"/>
  <c r="K412" i="37"/>
  <c r="K415" i="37"/>
  <c r="K421" i="37"/>
  <c r="K437" i="37"/>
  <c r="K387" i="37"/>
  <c r="K438" i="37"/>
  <c r="K399" i="37"/>
  <c r="K413" i="37"/>
  <c r="K423" i="37"/>
  <c r="K430" i="37"/>
  <c r="K380" i="37"/>
  <c r="K401" i="37"/>
  <c r="K404" i="37"/>
  <c r="K416" i="37"/>
  <c r="K426" i="37"/>
  <c r="K429" i="37"/>
  <c r="K432" i="37"/>
  <c r="K439" i="37"/>
  <c r="K444" i="37"/>
  <c r="K443" i="37"/>
  <c r="F709" i="28"/>
  <c r="K436" i="37"/>
  <c r="K377" i="37"/>
  <c r="F661" i="28"/>
  <c r="U661" i="28" s="1"/>
  <c r="U2" i="28" s="1"/>
  <c r="P9" i="35" s="1"/>
  <c r="K420" i="37"/>
  <c r="F464" i="28"/>
  <c r="S464" i="28" s="1"/>
  <c r="F506" i="28"/>
  <c r="K506" i="28" s="1"/>
  <c r="F599" i="28"/>
  <c r="F552" i="28"/>
  <c r="R14" i="35"/>
  <c r="I428" i="42" l="1"/>
  <c r="Y428" i="42" s="1"/>
  <c r="I412" i="42"/>
  <c r="Y412" i="42" s="1"/>
  <c r="I390" i="42"/>
  <c r="Y390" i="42" s="1"/>
  <c r="M709" i="28"/>
  <c r="M2" i="28" s="1"/>
  <c r="H9" i="35" s="1"/>
  <c r="K383" i="37"/>
  <c r="R15" i="35"/>
  <c r="T552" i="28"/>
  <c r="K395" i="37"/>
  <c r="K405" i="37"/>
  <c r="K433" i="37"/>
  <c r="M383" i="37"/>
  <c r="M374" i="37"/>
  <c r="M433" i="37"/>
  <c r="K417" i="37"/>
  <c r="M405" i="37"/>
  <c r="M417" i="37"/>
  <c r="K374" i="37"/>
  <c r="Q2" i="28"/>
  <c r="L9" i="35" s="1"/>
  <c r="M395" i="37"/>
  <c r="L68" i="34"/>
  <c r="S599" i="28"/>
  <c r="L67" i="34"/>
  <c r="L69" i="26"/>
  <c r="L69" i="34"/>
  <c r="L66" i="26"/>
  <c r="L66" i="34"/>
  <c r="L65" i="26"/>
  <c r="L65" i="34"/>
  <c r="L70" i="26"/>
  <c r="L70" i="34"/>
  <c r="N68" i="30"/>
  <c r="L67" i="26"/>
  <c r="N63" i="30"/>
  <c r="L68" i="26"/>
  <c r="N62" i="30"/>
  <c r="C427" i="28"/>
  <c r="F427" i="28" s="1"/>
  <c r="I368" i="42" s="1"/>
  <c r="Y368" i="42" s="1"/>
  <c r="F423" i="28"/>
  <c r="I366" i="42" s="1"/>
  <c r="Y366" i="42" s="1"/>
  <c r="F420" i="28"/>
  <c r="I365" i="42" s="1"/>
  <c r="Y365" i="42" s="1"/>
  <c r="F418" i="28"/>
  <c r="F416" i="28"/>
  <c r="I364" i="42" s="1"/>
  <c r="Y364" i="42" s="1"/>
  <c r="F413" i="28"/>
  <c r="I363" i="42" s="1"/>
  <c r="F304" i="28"/>
  <c r="I352" i="42" s="1"/>
  <c r="Y352" i="42" s="1"/>
  <c r="F300" i="28"/>
  <c r="I350" i="42" s="1"/>
  <c r="Y350" i="42" s="1"/>
  <c r="F296" i="28"/>
  <c r="F295" i="28"/>
  <c r="F294" i="28"/>
  <c r="F291" i="28"/>
  <c r="I348" i="42" s="1"/>
  <c r="C378" i="28"/>
  <c r="F378" i="28" s="1"/>
  <c r="C383" i="28"/>
  <c r="F383" i="28" s="1"/>
  <c r="I359" i="42" s="1"/>
  <c r="Y359" i="42" s="1"/>
  <c r="F380" i="28"/>
  <c r="I357" i="42" s="1"/>
  <c r="Y357" i="42" s="1"/>
  <c r="F241" i="28"/>
  <c r="S241" i="28" s="1"/>
  <c r="C239" i="28"/>
  <c r="F239" i="28" s="1"/>
  <c r="S239" i="28" s="1"/>
  <c r="F240" i="28"/>
  <c r="S240" i="28" s="1"/>
  <c r="F258" i="28"/>
  <c r="L258" i="28" s="1"/>
  <c r="F257" i="28"/>
  <c r="L257" i="28" s="1"/>
  <c r="F256" i="28"/>
  <c r="L256" i="28" s="1"/>
  <c r="F255" i="28"/>
  <c r="L255" i="28" s="1"/>
  <c r="F254" i="28"/>
  <c r="L254" i="28" s="1"/>
  <c r="F260" i="28"/>
  <c r="I341" i="42" s="1"/>
  <c r="Y341" i="42" s="1"/>
  <c r="F266" i="28"/>
  <c r="I344" i="42" s="1"/>
  <c r="Y344" i="42" s="1"/>
  <c r="C244" i="28"/>
  <c r="F244" i="28" s="1"/>
  <c r="C249" i="28"/>
  <c r="F249" i="28" s="1"/>
  <c r="T249" i="28" s="1"/>
  <c r="F247" i="28"/>
  <c r="I339" i="42" s="1"/>
  <c r="Y339" i="42" s="1"/>
  <c r="C263" i="28"/>
  <c r="F263" i="28" s="1"/>
  <c r="L263" i="28" s="1"/>
  <c r="C262" i="28"/>
  <c r="F262" i="28" s="1"/>
  <c r="F253" i="28"/>
  <c r="L253" i="28" s="1"/>
  <c r="F252" i="28"/>
  <c r="F246" i="28"/>
  <c r="J246" i="28" s="1"/>
  <c r="F238" i="28"/>
  <c r="F919" i="29"/>
  <c r="F918" i="29"/>
  <c r="F917" i="29"/>
  <c r="F916" i="29"/>
  <c r="F915" i="29"/>
  <c r="F914" i="29"/>
  <c r="F913" i="29"/>
  <c r="F909" i="29"/>
  <c r="F906" i="29"/>
  <c r="F905" i="29"/>
  <c r="F904" i="29"/>
  <c r="F900" i="29"/>
  <c r="F897" i="29"/>
  <c r="F894" i="29"/>
  <c r="F893" i="29"/>
  <c r="F892" i="29"/>
  <c r="F891" i="29"/>
  <c r="I349" i="42" l="1"/>
  <c r="Y349" i="42" s="1"/>
  <c r="S238" i="28"/>
  <c r="I337" i="42"/>
  <c r="I338" i="42"/>
  <c r="Y338" i="42" s="1"/>
  <c r="I356" i="42"/>
  <c r="Y348" i="42"/>
  <c r="I345" i="42"/>
  <c r="Y345" i="42" s="1"/>
  <c r="I340" i="42"/>
  <c r="Y340" i="42" s="1"/>
  <c r="L262" i="28"/>
  <c r="I342" i="42"/>
  <c r="Y342" i="42" s="1"/>
  <c r="Y363" i="42"/>
  <c r="I360" i="42"/>
  <c r="Y360" i="42" s="1"/>
  <c r="I122" i="41"/>
  <c r="I123" i="41" s="1"/>
  <c r="I130" i="41"/>
  <c r="I131" i="41" s="1"/>
  <c r="I132" i="41"/>
  <c r="I133" i="41" s="1"/>
  <c r="I124" i="41"/>
  <c r="I125" i="41" s="1"/>
  <c r="I126" i="41"/>
  <c r="I127" i="41" s="1"/>
  <c r="I128" i="41"/>
  <c r="I129" i="41" s="1"/>
  <c r="J244" i="28"/>
  <c r="K343" i="37"/>
  <c r="T247" i="28"/>
  <c r="K344" i="37"/>
  <c r="L266" i="28"/>
  <c r="L260" i="28"/>
  <c r="K371" i="37"/>
  <c r="K364" i="37"/>
  <c r="K357" i="37"/>
  <c r="K370" i="37"/>
  <c r="K362" i="37"/>
  <c r="K355" i="37"/>
  <c r="K369" i="37"/>
  <c r="K373" i="37"/>
  <c r="F386" i="28"/>
  <c r="J386" i="28" s="1"/>
  <c r="K361" i="37"/>
  <c r="F429" i="28"/>
  <c r="K368" i="37"/>
  <c r="K349" i="37"/>
  <c r="K345" i="37"/>
  <c r="K346" i="37"/>
  <c r="K353" i="37"/>
  <c r="F306" i="28"/>
  <c r="P306" i="28" s="1"/>
  <c r="P2" i="28" s="1"/>
  <c r="K9" i="35" s="1"/>
  <c r="K342" i="37"/>
  <c r="F267" i="28"/>
  <c r="R2" i="28"/>
  <c r="M9" i="35" s="1"/>
  <c r="M13" i="35" s="1"/>
  <c r="M14" i="35" s="1"/>
  <c r="M15" i="35" s="1"/>
  <c r="K347" i="37"/>
  <c r="K354" i="37"/>
  <c r="S2" i="28"/>
  <c r="N9" i="35" s="1"/>
  <c r="N13" i="35" s="1"/>
  <c r="N14" i="35" s="1"/>
  <c r="L252" i="28"/>
  <c r="F920" i="29"/>
  <c r="C243" i="29"/>
  <c r="F243" i="29" s="1"/>
  <c r="F249" i="29"/>
  <c r="F248" i="29"/>
  <c r="F254" i="29"/>
  <c r="F257" i="29"/>
  <c r="F256" i="29"/>
  <c r="F255" i="29"/>
  <c r="F253" i="29"/>
  <c r="F252" i="29"/>
  <c r="F241" i="29"/>
  <c r="F240" i="29"/>
  <c r="F239" i="29"/>
  <c r="F235" i="29"/>
  <c r="F234" i="29"/>
  <c r="F233" i="29"/>
  <c r="F230" i="29"/>
  <c r="F227" i="29"/>
  <c r="Y356" i="42" l="1"/>
  <c r="I353" i="42"/>
  <c r="Y353" i="42" s="1"/>
  <c r="Y337" i="42"/>
  <c r="I334" i="42"/>
  <c r="T429" i="28"/>
  <c r="T2" i="28" s="1"/>
  <c r="O9" i="35" s="1"/>
  <c r="F2623" i="28"/>
  <c r="X9" i="35" s="1"/>
  <c r="N15" i="35"/>
  <c r="K2" i="28"/>
  <c r="F9" i="35" s="1"/>
  <c r="M350" i="37"/>
  <c r="M365" i="37"/>
  <c r="M339" i="37"/>
  <c r="K358" i="37"/>
  <c r="M358" i="37"/>
  <c r="K365" i="37"/>
  <c r="K350" i="37"/>
  <c r="K339" i="37"/>
  <c r="I114" i="41" s="1"/>
  <c r="I115" i="41" s="1"/>
  <c r="L2" i="28"/>
  <c r="G9" i="35" s="1"/>
  <c r="J2" i="28"/>
  <c r="E9" i="35" s="1"/>
  <c r="L60" i="34"/>
  <c r="L63" i="26"/>
  <c r="L63" i="34"/>
  <c r="L64" i="26"/>
  <c r="L64" i="34"/>
  <c r="L61" i="26"/>
  <c r="L61" i="34"/>
  <c r="N65" i="30"/>
  <c r="N173" i="30" s="1"/>
  <c r="L60" i="26"/>
  <c r="N226" i="30"/>
  <c r="N222" i="30"/>
  <c r="F258" i="29"/>
  <c r="Y334" i="42" l="1"/>
  <c r="I290" i="42"/>
  <c r="Y290" i="42" s="1"/>
  <c r="I118" i="41"/>
  <c r="I119" i="41" s="1"/>
  <c r="I116" i="41"/>
  <c r="I117" i="41" s="1"/>
  <c r="I120" i="41"/>
  <c r="I121" i="41" s="1"/>
  <c r="K295" i="37"/>
  <c r="K105" i="41" s="1"/>
  <c r="M295" i="37"/>
  <c r="W9" i="35"/>
  <c r="Y9" i="35" s="1"/>
  <c r="L134" i="34"/>
  <c r="L200" i="26"/>
  <c r="L166" i="34"/>
  <c r="L190" i="34" s="1"/>
  <c r="L134" i="26"/>
  <c r="N215" i="30"/>
  <c r="N256" i="30" s="1"/>
  <c r="L165" i="26"/>
  <c r="L190" i="26" s="1"/>
  <c r="F846" i="27"/>
  <c r="F1555" i="27"/>
  <c r="F1527" i="27"/>
  <c r="I285" i="42" s="1"/>
  <c r="C1501" i="27"/>
  <c r="F1501" i="27" s="1"/>
  <c r="I281" i="42" s="1"/>
  <c r="Y281" i="42" s="1"/>
  <c r="F1498" i="27"/>
  <c r="F1497" i="27"/>
  <c r="I280" i="42" s="1"/>
  <c r="F1470" i="27"/>
  <c r="I276" i="42" s="1"/>
  <c r="Y276" i="42" s="1"/>
  <c r="F1467" i="27"/>
  <c r="F1466" i="27"/>
  <c r="I275" i="42" s="1"/>
  <c r="F1440" i="27"/>
  <c r="C1439" i="27"/>
  <c r="F1439" i="27" s="1"/>
  <c r="F1438" i="27"/>
  <c r="F1437" i="27"/>
  <c r="F1434" i="27"/>
  <c r="F1433" i="27"/>
  <c r="F1432" i="27"/>
  <c r="C1427" i="27"/>
  <c r="F1427" i="27" s="1"/>
  <c r="I269" i="42" s="1"/>
  <c r="Y269" i="42" s="1"/>
  <c r="F1424" i="27"/>
  <c r="I268" i="42" s="1"/>
  <c r="C1400" i="27"/>
  <c r="F1400" i="27" s="1"/>
  <c r="I264" i="42" s="1"/>
  <c r="Y264" i="42" s="1"/>
  <c r="F1396" i="27"/>
  <c r="I262" i="42" s="1"/>
  <c r="Y262" i="42" s="1"/>
  <c r="F1392" i="27"/>
  <c r="F1391" i="27"/>
  <c r="F1390" i="27"/>
  <c r="I260" i="42" s="1"/>
  <c r="Y260" i="42" s="1"/>
  <c r="F1385" i="27"/>
  <c r="I258" i="42" s="1"/>
  <c r="F1388" i="27"/>
  <c r="I259" i="42" s="1"/>
  <c r="Y259" i="42" s="1"/>
  <c r="F1357" i="27"/>
  <c r="I254" i="42" s="1"/>
  <c r="Y254" i="42" s="1"/>
  <c r="F1353" i="27"/>
  <c r="I252" i="42" s="1"/>
  <c r="Y252" i="42" s="1"/>
  <c r="F1349" i="27"/>
  <c r="F1348" i="27"/>
  <c r="F1347" i="27"/>
  <c r="F1346" i="27"/>
  <c r="F1342" i="27"/>
  <c r="I248" i="42" s="1"/>
  <c r="F1344" i="27"/>
  <c r="I249" i="42" s="1"/>
  <c r="Y249" i="42" s="1"/>
  <c r="F1314" i="27"/>
  <c r="I244" i="42" s="1"/>
  <c r="Y244" i="42" s="1"/>
  <c r="F1311" i="27"/>
  <c r="I242" i="42" s="1"/>
  <c r="Y242" i="42" s="1"/>
  <c r="F1307" i="27"/>
  <c r="F1306" i="27"/>
  <c r="F1305" i="27"/>
  <c r="F1299" i="27"/>
  <c r="I238" i="42" s="1"/>
  <c r="F1302" i="27"/>
  <c r="I239" i="42" s="1"/>
  <c r="Y239" i="42" s="1"/>
  <c r="C1270" i="27"/>
  <c r="F1270" i="27" s="1"/>
  <c r="I233" i="42" s="1"/>
  <c r="Y233" i="42" s="1"/>
  <c r="C1265" i="27"/>
  <c r="F1265" i="27" s="1"/>
  <c r="F1264" i="27"/>
  <c r="C1263" i="27"/>
  <c r="F1263" i="27" s="1"/>
  <c r="I231" i="42" s="1"/>
  <c r="Y231" i="42" s="1"/>
  <c r="F1260" i="27"/>
  <c r="I230" i="42" s="1"/>
  <c r="F1232" i="27"/>
  <c r="F1228" i="27"/>
  <c r="F1227" i="27"/>
  <c r="F1224" i="27"/>
  <c r="F1221" i="27"/>
  <c r="F1195" i="27"/>
  <c r="I226" i="42" s="1"/>
  <c r="Y226" i="42" s="1"/>
  <c r="F1191" i="27"/>
  <c r="I224" i="42" s="1"/>
  <c r="F1163" i="27"/>
  <c r="I220" i="42" s="1"/>
  <c r="Y220" i="42" s="1"/>
  <c r="F1159" i="27"/>
  <c r="I218" i="42" s="1"/>
  <c r="F1098" i="27"/>
  <c r="F1097" i="27"/>
  <c r="F1093" i="27"/>
  <c r="F1095" i="27" s="1"/>
  <c r="I206" i="42" s="1"/>
  <c r="Y206" i="42" s="1"/>
  <c r="F1090" i="27"/>
  <c r="F1091" i="27" s="1"/>
  <c r="I205" i="42" s="1"/>
  <c r="F837" i="27"/>
  <c r="K837" i="27" s="1"/>
  <c r="F835" i="27"/>
  <c r="K835" i="27" s="1"/>
  <c r="F834" i="27"/>
  <c r="F833" i="27"/>
  <c r="F826" i="27"/>
  <c r="K826" i="27" s="1"/>
  <c r="F825" i="27"/>
  <c r="K825" i="27" s="1"/>
  <c r="F824" i="27"/>
  <c r="K824" i="27" s="1"/>
  <c r="F791" i="27"/>
  <c r="F790" i="27"/>
  <c r="F789" i="27"/>
  <c r="F788" i="27"/>
  <c r="F760" i="27"/>
  <c r="I153" i="42" s="1"/>
  <c r="F732" i="27"/>
  <c r="F664" i="27"/>
  <c r="I145" i="42" s="1"/>
  <c r="F706" i="27"/>
  <c r="C705" i="27"/>
  <c r="F705" i="27" s="1"/>
  <c r="F704" i="27"/>
  <c r="F703" i="27"/>
  <c r="C702" i="27"/>
  <c r="F702" i="27" s="1"/>
  <c r="F701" i="27"/>
  <c r="C700" i="27"/>
  <c r="F700" i="27" s="1"/>
  <c r="C638" i="27"/>
  <c r="F638" i="27" s="1"/>
  <c r="F637" i="27"/>
  <c r="F636" i="27"/>
  <c r="F635" i="27"/>
  <c r="F634" i="27"/>
  <c r="C633" i="27"/>
  <c r="F633" i="27" s="1"/>
  <c r="C631" i="27"/>
  <c r="F631" i="27" s="1"/>
  <c r="F630" i="27"/>
  <c r="F629" i="27"/>
  <c r="F628" i="27"/>
  <c r="F627" i="27"/>
  <c r="C626" i="27"/>
  <c r="F626" i="27" s="1"/>
  <c r="I140" i="42" s="1"/>
  <c r="C600" i="27"/>
  <c r="F600" i="27" s="1"/>
  <c r="F599" i="27"/>
  <c r="F598" i="27"/>
  <c r="F597" i="27"/>
  <c r="C595" i="27"/>
  <c r="F595" i="27" s="1"/>
  <c r="F594" i="27"/>
  <c r="F593" i="27"/>
  <c r="F592" i="27"/>
  <c r="I135" i="42" s="1"/>
  <c r="F564" i="27"/>
  <c r="I131" i="42" s="1"/>
  <c r="Y131" i="42" s="1"/>
  <c r="F562" i="27"/>
  <c r="F561" i="27"/>
  <c r="F560" i="27"/>
  <c r="I130" i="42" s="1"/>
  <c r="Y130" i="42" s="1"/>
  <c r="F557" i="27"/>
  <c r="I129" i="42" s="1"/>
  <c r="Y129" i="42" s="1"/>
  <c r="C555" i="27"/>
  <c r="F555" i="27" s="1"/>
  <c r="F554" i="27"/>
  <c r="C553" i="27"/>
  <c r="F553" i="27" s="1"/>
  <c r="I128" i="42" s="1"/>
  <c r="Y128" i="42" s="1"/>
  <c r="F551" i="27"/>
  <c r="F550" i="27"/>
  <c r="F524" i="27"/>
  <c r="F523" i="27"/>
  <c r="F522" i="27"/>
  <c r="F521" i="27"/>
  <c r="F517" i="27"/>
  <c r="I122" i="42" s="1"/>
  <c r="Y122" i="42" s="1"/>
  <c r="F520" i="27"/>
  <c r="C519" i="27"/>
  <c r="F519" i="27" s="1"/>
  <c r="I123" i="42" s="1"/>
  <c r="Y123" i="42" s="1"/>
  <c r="F489" i="27"/>
  <c r="F488" i="27"/>
  <c r="F487" i="27"/>
  <c r="F486" i="27"/>
  <c r="C480" i="27"/>
  <c r="F480" i="27" s="1"/>
  <c r="I116" i="42" s="1"/>
  <c r="F483" i="27"/>
  <c r="I117" i="42" s="1"/>
  <c r="Y117" i="42" s="1"/>
  <c r="F452" i="27"/>
  <c r="C451" i="27"/>
  <c r="F451" i="27" s="1"/>
  <c r="C450" i="27"/>
  <c r="F450" i="27" s="1"/>
  <c r="F449" i="27"/>
  <c r="C446" i="27"/>
  <c r="F446" i="27" s="1"/>
  <c r="I111" i="42" s="1"/>
  <c r="Y111" i="42" s="1"/>
  <c r="F443" i="27"/>
  <c r="F442" i="27"/>
  <c r="I110" i="42" s="1"/>
  <c r="F410" i="27"/>
  <c r="F417" i="27"/>
  <c r="F416" i="27"/>
  <c r="F412" i="27"/>
  <c r="C408" i="27"/>
  <c r="F408" i="27" s="1"/>
  <c r="F407" i="27"/>
  <c r="F406" i="27"/>
  <c r="F403" i="27"/>
  <c r="F402" i="27"/>
  <c r="F401" i="27"/>
  <c r="F400" i="27"/>
  <c r="I102" i="42" s="1"/>
  <c r="F372" i="27"/>
  <c r="F371" i="27"/>
  <c r="F370" i="27"/>
  <c r="F367" i="27"/>
  <c r="F366" i="27"/>
  <c r="F365" i="27"/>
  <c r="F363" i="27"/>
  <c r="F362" i="27"/>
  <c r="F361" i="27"/>
  <c r="F359" i="27"/>
  <c r="F358" i="27"/>
  <c r="F357" i="27"/>
  <c r="F96" i="27"/>
  <c r="K96" i="27" s="1"/>
  <c r="F95" i="27"/>
  <c r="K95" i="27" s="1"/>
  <c r="F94" i="27"/>
  <c r="F92" i="27"/>
  <c r="F90" i="27"/>
  <c r="J90" i="27" s="1"/>
  <c r="F89" i="27"/>
  <c r="J89" i="27" s="1"/>
  <c r="F88" i="27"/>
  <c r="F86" i="27"/>
  <c r="F61" i="27"/>
  <c r="K61" i="27" s="1"/>
  <c r="F60" i="27"/>
  <c r="K60" i="27" s="1"/>
  <c r="F59" i="27"/>
  <c r="K59" i="27" s="1"/>
  <c r="F58" i="27"/>
  <c r="K58" i="27" s="1"/>
  <c r="F56" i="27"/>
  <c r="K56" i="27" s="1"/>
  <c r="F55" i="27"/>
  <c r="K55" i="27" s="1"/>
  <c r="F54" i="27"/>
  <c r="K54" i="27" s="1"/>
  <c r="F52" i="27"/>
  <c r="K52" i="27" s="1"/>
  <c r="F51" i="27"/>
  <c r="K51" i="27" s="1"/>
  <c r="F50" i="27"/>
  <c r="F46" i="27"/>
  <c r="J46" i="27" s="1"/>
  <c r="F45" i="27"/>
  <c r="J45" i="27" s="1"/>
  <c r="F44" i="27"/>
  <c r="F18" i="27"/>
  <c r="F17" i="27"/>
  <c r="F16" i="27"/>
  <c r="F15" i="27"/>
  <c r="I43" i="42" s="1"/>
  <c r="K94" i="27" l="1"/>
  <c r="I58" i="42"/>
  <c r="Y58" i="42" s="1"/>
  <c r="I51" i="42"/>
  <c r="Y51" i="42" s="1"/>
  <c r="K109" i="37"/>
  <c r="I104" i="42"/>
  <c r="Y104" i="42" s="1"/>
  <c r="Y205" i="42"/>
  <c r="Y268" i="42"/>
  <c r="I289" i="42"/>
  <c r="Y135" i="42"/>
  <c r="Y285" i="42"/>
  <c r="I282" i="42"/>
  <c r="Y282" i="42" s="1"/>
  <c r="Y43" i="42"/>
  <c r="Y110" i="42"/>
  <c r="Y116" i="42"/>
  <c r="Y275" i="42"/>
  <c r="I272" i="42"/>
  <c r="Y272" i="42" s="1"/>
  <c r="I44" i="42"/>
  <c r="Y44" i="42" s="1"/>
  <c r="F98" i="27"/>
  <c r="J86" i="27"/>
  <c r="H86" i="27"/>
  <c r="I55" i="42"/>
  <c r="I98" i="42"/>
  <c r="K108" i="37"/>
  <c r="I103" i="42"/>
  <c r="Y103" i="42" s="1"/>
  <c r="I118" i="42"/>
  <c r="Y118" i="42" s="1"/>
  <c r="Y145" i="42"/>
  <c r="I142" i="42"/>
  <c r="Y142" i="42" s="1"/>
  <c r="I207" i="42"/>
  <c r="Y207" i="42" s="1"/>
  <c r="Y248" i="42"/>
  <c r="Y258" i="42"/>
  <c r="I255" i="42"/>
  <c r="Y255" i="42" s="1"/>
  <c r="I271" i="42"/>
  <c r="Y271" i="42" s="1"/>
  <c r="Y102" i="42"/>
  <c r="I136" i="42"/>
  <c r="Y136" i="42" s="1"/>
  <c r="I149" i="42"/>
  <c r="Y238" i="42"/>
  <c r="I250" i="42"/>
  <c r="Y250" i="42" s="1"/>
  <c r="K92" i="27"/>
  <c r="I57" i="42"/>
  <c r="Y57" i="42" s="1"/>
  <c r="Y224" i="42"/>
  <c r="I221" i="42"/>
  <c r="Y221" i="42" s="1"/>
  <c r="I46" i="42"/>
  <c r="Y46" i="42" s="1"/>
  <c r="I112" i="42"/>
  <c r="Y112" i="42" s="1"/>
  <c r="Y153" i="42"/>
  <c r="I150" i="42"/>
  <c r="Y150" i="42" s="1"/>
  <c r="K172" i="37"/>
  <c r="I167" i="42" s="1"/>
  <c r="Y167" i="42" s="1"/>
  <c r="Y218" i="42"/>
  <c r="I214" i="42"/>
  <c r="Y214" i="42" s="1"/>
  <c r="I240" i="42"/>
  <c r="Y240" i="42" s="1"/>
  <c r="Y280" i="42"/>
  <c r="I277" i="42"/>
  <c r="Y277" i="42" s="1"/>
  <c r="K111" i="37"/>
  <c r="I106" i="42"/>
  <c r="Y106" i="42" s="1"/>
  <c r="Y140" i="42"/>
  <c r="I45" i="42"/>
  <c r="Y45" i="42" s="1"/>
  <c r="J88" i="27"/>
  <c r="I56" i="42"/>
  <c r="Y56" i="42" s="1"/>
  <c r="I50" i="42"/>
  <c r="K110" i="37"/>
  <c r="I105" i="42"/>
  <c r="Y105" i="42" s="1"/>
  <c r="I127" i="42"/>
  <c r="I141" i="42"/>
  <c r="Y141" i="42" s="1"/>
  <c r="I157" i="42"/>
  <c r="K170" i="37"/>
  <c r="I165" i="42" s="1"/>
  <c r="Y230" i="42"/>
  <c r="I227" i="42"/>
  <c r="Y227" i="42" s="1"/>
  <c r="I105" i="41"/>
  <c r="L105" i="41" s="1"/>
  <c r="K61" i="37"/>
  <c r="K55" i="37"/>
  <c r="F639" i="27"/>
  <c r="K134" i="37"/>
  <c r="K150" i="37"/>
  <c r="K147" i="37" s="1"/>
  <c r="K253" i="37"/>
  <c r="K281" i="37"/>
  <c r="K62" i="37"/>
  <c r="K225" i="37"/>
  <c r="K235" i="37"/>
  <c r="K263" i="37"/>
  <c r="K265" i="37"/>
  <c r="K136" i="37"/>
  <c r="K229" i="37"/>
  <c r="K267" i="37"/>
  <c r="K286" i="37"/>
  <c r="K244" i="37"/>
  <c r="K116" i="37"/>
  <c r="K158" i="37"/>
  <c r="K155" i="37" s="1"/>
  <c r="K223" i="37"/>
  <c r="K231" i="37"/>
  <c r="K247" i="37"/>
  <c r="K257" i="37"/>
  <c r="K269" i="37"/>
  <c r="K290" i="37"/>
  <c r="K287" i="37" s="1"/>
  <c r="K48" i="37"/>
  <c r="K122" i="37"/>
  <c r="K127" i="37"/>
  <c r="K210" i="37"/>
  <c r="K249" i="37"/>
  <c r="K259" i="37"/>
  <c r="K273" i="37"/>
  <c r="K243" i="37"/>
  <c r="K60" i="37"/>
  <c r="K121" i="37"/>
  <c r="K211" i="37"/>
  <c r="K238" i="37"/>
  <c r="K254" i="37"/>
  <c r="K264" i="37"/>
  <c r="K274" i="37"/>
  <c r="K103" i="37"/>
  <c r="K100" i="37" s="1"/>
  <c r="K107" i="37"/>
  <c r="K115" i="37"/>
  <c r="K112" i="37" s="1"/>
  <c r="K146" i="37"/>
  <c r="K162" i="37"/>
  <c r="K159" i="37" s="1"/>
  <c r="K169" i="37"/>
  <c r="I164" i="42" s="1"/>
  <c r="Y164" i="42" s="1"/>
  <c r="K280" i="37"/>
  <c r="K276" i="37"/>
  <c r="K285" i="37"/>
  <c r="F1558" i="27"/>
  <c r="K294" i="37"/>
  <c r="K291" i="37" s="1"/>
  <c r="K846" i="27"/>
  <c r="K176" i="37"/>
  <c r="I171" i="42" s="1"/>
  <c r="Y171" i="42" s="1"/>
  <c r="N295" i="37"/>
  <c r="K63" i="37"/>
  <c r="K212" i="37"/>
  <c r="K236" i="37"/>
  <c r="K255" i="37"/>
  <c r="K245" i="37"/>
  <c r="K834" i="27"/>
  <c r="K128" i="37"/>
  <c r="K123" i="37"/>
  <c r="K18" i="27"/>
  <c r="K51" i="37"/>
  <c r="K50" i="27"/>
  <c r="K56" i="37"/>
  <c r="K133" i="37"/>
  <c r="K135" i="37"/>
  <c r="K140" i="37"/>
  <c r="K141" i="37"/>
  <c r="K145" i="37"/>
  <c r="K154" i="37"/>
  <c r="K151" i="37" s="1"/>
  <c r="K16" i="27"/>
  <c r="K49" i="37"/>
  <c r="K132" i="37"/>
  <c r="F567" i="27"/>
  <c r="K17" i="27"/>
  <c r="K50" i="37"/>
  <c r="K117" i="37"/>
  <c r="Y833" i="27"/>
  <c r="Y2" i="27" s="1"/>
  <c r="U8" i="35" s="1"/>
  <c r="U13" i="35" s="1"/>
  <c r="U14" i="35" s="1"/>
  <c r="U16" i="35" s="1"/>
  <c r="F601" i="27"/>
  <c r="F708" i="27"/>
  <c r="F1317" i="27"/>
  <c r="F1503" i="27"/>
  <c r="O1503" i="27" s="1"/>
  <c r="J15" i="27"/>
  <c r="F20" i="27"/>
  <c r="J44" i="27"/>
  <c r="F63" i="27"/>
  <c r="F526" i="27"/>
  <c r="F763" i="27"/>
  <c r="L27" i="26" s="1"/>
  <c r="F1234" i="27"/>
  <c r="F1442" i="27"/>
  <c r="J1442" i="27" s="1"/>
  <c r="F492" i="27"/>
  <c r="F33" i="35" s="1"/>
  <c r="F795" i="27"/>
  <c r="N795" i="27" s="1"/>
  <c r="F848" i="27"/>
  <c r="F1273" i="27"/>
  <c r="F1472" i="27"/>
  <c r="J1472" i="27" s="1"/>
  <c r="F374" i="27"/>
  <c r="F418" i="27"/>
  <c r="J418" i="27" s="1"/>
  <c r="F455" i="27"/>
  <c r="F676" i="27"/>
  <c r="F1359" i="27"/>
  <c r="F1402" i="27"/>
  <c r="F1530" i="27"/>
  <c r="T1530" i="27" s="1"/>
  <c r="F1398" i="29"/>
  <c r="F1399" i="29" s="1"/>
  <c r="F2624" i="28"/>
  <c r="L198" i="26" s="1"/>
  <c r="F1165" i="27"/>
  <c r="J1165" i="27" s="1"/>
  <c r="F1197" i="27"/>
  <c r="J1197" i="27" s="1"/>
  <c r="F1100" i="27"/>
  <c r="I113" i="42" l="1"/>
  <c r="Y113" i="42" s="1"/>
  <c r="I235" i="42"/>
  <c r="Y235" i="42" s="1"/>
  <c r="I202" i="42"/>
  <c r="Y202" i="42" s="1"/>
  <c r="Y157" i="42"/>
  <c r="I154" i="42"/>
  <c r="Y154" i="42" s="1"/>
  <c r="I245" i="42"/>
  <c r="Y245" i="42" s="1"/>
  <c r="Y98" i="42"/>
  <c r="I95" i="42"/>
  <c r="Y95" i="42" s="1"/>
  <c r="Y149" i="42"/>
  <c r="I146" i="42"/>
  <c r="Y146" i="42" s="1"/>
  <c r="Y55" i="42"/>
  <c r="I52" i="42"/>
  <c r="Y52" i="42" s="1"/>
  <c r="I132" i="42"/>
  <c r="Y132" i="42" s="1"/>
  <c r="I159" i="42"/>
  <c r="Y165" i="42"/>
  <c r="Y127" i="42"/>
  <c r="I124" i="42"/>
  <c r="Y124" i="42" s="1"/>
  <c r="I137" i="42"/>
  <c r="Y137" i="42" s="1"/>
  <c r="I99" i="42"/>
  <c r="Y99" i="42" s="1"/>
  <c r="I107" i="42"/>
  <c r="Y107" i="42" s="1"/>
  <c r="Y289" i="42"/>
  <c r="I286" i="42"/>
  <c r="Y286" i="42" s="1"/>
  <c r="J455" i="27"/>
  <c r="M112" i="37"/>
  <c r="Y50" i="42"/>
  <c r="I47" i="42"/>
  <c r="Y47" i="42" s="1"/>
  <c r="I40" i="42"/>
  <c r="Y40" i="42" s="1"/>
  <c r="I265" i="42"/>
  <c r="Y265" i="42" s="1"/>
  <c r="I119" i="42"/>
  <c r="Y119" i="42" s="1"/>
  <c r="I58" i="41"/>
  <c r="I59" i="41" s="1"/>
  <c r="I103" i="41"/>
  <c r="I104" i="41" s="1"/>
  <c r="I56" i="41"/>
  <c r="I57" i="41" s="1"/>
  <c r="I60" i="41"/>
  <c r="I61" i="41" s="1"/>
  <c r="I62" i="41"/>
  <c r="I63" i="41" s="1"/>
  <c r="I40" i="41"/>
  <c r="I41" i="41" s="1"/>
  <c r="I101" i="41"/>
  <c r="I102" i="41" s="1"/>
  <c r="K1558" i="27"/>
  <c r="K1317" i="27"/>
  <c r="F34" i="35"/>
  <c r="K124" i="37"/>
  <c r="K219" i="37"/>
  <c r="K226" i="37"/>
  <c r="K207" i="37"/>
  <c r="K260" i="37"/>
  <c r="K270" i="37"/>
  <c r="K282" i="37"/>
  <c r="K118" i="37"/>
  <c r="M129" i="37"/>
  <c r="M104" i="37"/>
  <c r="K240" i="37"/>
  <c r="M45" i="37"/>
  <c r="M270" i="37"/>
  <c r="L55" i="34"/>
  <c r="M151" i="37"/>
  <c r="K250" i="37"/>
  <c r="M118" i="37"/>
  <c r="M100" i="37"/>
  <c r="M232" i="37"/>
  <c r="M124" i="37"/>
  <c r="M142" i="37"/>
  <c r="K232" i="37"/>
  <c r="K277" i="37"/>
  <c r="M57" i="37"/>
  <c r="M250" i="37"/>
  <c r="M164" i="37"/>
  <c r="M52" i="37"/>
  <c r="K164" i="37"/>
  <c r="K142" i="37"/>
  <c r="L26" i="34"/>
  <c r="P708" i="27"/>
  <c r="L55" i="26"/>
  <c r="I735" i="27"/>
  <c r="I2" i="27" s="1"/>
  <c r="E8" i="35" s="1"/>
  <c r="K676" i="27"/>
  <c r="M147" i="37"/>
  <c r="K1359" i="27"/>
  <c r="F31" i="35"/>
  <c r="S2" i="27"/>
  <c r="O8" i="35" s="1"/>
  <c r="O13" i="35" s="1"/>
  <c r="O14" i="35" s="1"/>
  <c r="O16" i="35" s="1"/>
  <c r="L26" i="26"/>
  <c r="J1402" i="27"/>
  <c r="J2" i="27" s="1"/>
  <c r="F8" i="35" s="1"/>
  <c r="F13" i="35" s="1"/>
  <c r="F14" i="35" s="1"/>
  <c r="M260" i="37"/>
  <c r="K57" i="37"/>
  <c r="K52" i="37"/>
  <c r="K104" i="37"/>
  <c r="K137" i="37"/>
  <c r="M240" i="37"/>
  <c r="K45" i="37"/>
  <c r="I30" i="41" s="1"/>
  <c r="I31" i="41" s="1"/>
  <c r="L492" i="27"/>
  <c r="L2" i="27" s="1"/>
  <c r="H8" i="35" s="1"/>
  <c r="H13" i="35" s="1"/>
  <c r="H14" i="35" s="1"/>
  <c r="K601" i="27"/>
  <c r="M137" i="37"/>
  <c r="K129" i="37"/>
  <c r="K639" i="27"/>
  <c r="L24" i="26"/>
  <c r="N34" i="30"/>
  <c r="L54" i="26"/>
  <c r="L54" i="34"/>
  <c r="N763" i="27"/>
  <c r="N2" i="27" s="1"/>
  <c r="J8" i="35" s="1"/>
  <c r="J13" i="35" s="1"/>
  <c r="J14" i="35" s="1"/>
  <c r="L27" i="34"/>
  <c r="F1102" i="27"/>
  <c r="P1102" i="27" s="1"/>
  <c r="L24" i="34"/>
  <c r="O2" i="27"/>
  <c r="K8" i="35" s="1"/>
  <c r="K13" i="35" s="1"/>
  <c r="K14" i="35" s="1"/>
  <c r="K15" i="35" s="1"/>
  <c r="F32" i="35"/>
  <c r="L12" i="34"/>
  <c r="F28" i="35"/>
  <c r="L13" i="34"/>
  <c r="F29" i="35"/>
  <c r="L29" i="34"/>
  <c r="L50" i="34"/>
  <c r="L47" i="34"/>
  <c r="K1273" i="27"/>
  <c r="L45" i="34"/>
  <c r="L44" i="34"/>
  <c r="L16" i="34"/>
  <c r="K374" i="27"/>
  <c r="L18" i="34"/>
  <c r="L14" i="34"/>
  <c r="L21" i="34"/>
  <c r="T567" i="27"/>
  <c r="L20" i="34"/>
  <c r="K526" i="27"/>
  <c r="F2625" i="28"/>
  <c r="L19" i="26"/>
  <c r="L19" i="34"/>
  <c r="L28" i="26"/>
  <c r="L28" i="34"/>
  <c r="L51" i="26"/>
  <c r="L51" i="34"/>
  <c r="L53" i="26"/>
  <c r="L53" i="34"/>
  <c r="L22" i="26"/>
  <c r="L22" i="34"/>
  <c r="L49" i="26"/>
  <c r="L49" i="34"/>
  <c r="L52" i="26"/>
  <c r="L52" i="34"/>
  <c r="L48" i="26"/>
  <c r="L48" i="34"/>
  <c r="L23" i="26"/>
  <c r="L23" i="34"/>
  <c r="L46" i="26"/>
  <c r="L46" i="34"/>
  <c r="L25" i="26"/>
  <c r="L25" i="34"/>
  <c r="L17" i="26"/>
  <c r="L17" i="34"/>
  <c r="L12" i="26"/>
  <c r="N30" i="30"/>
  <c r="L50" i="26"/>
  <c r="N46" i="30"/>
  <c r="L45" i="26"/>
  <c r="N26" i="30"/>
  <c r="L47" i="26"/>
  <c r="N17" i="30"/>
  <c r="L29" i="26"/>
  <c r="N22" i="30"/>
  <c r="L44" i="26"/>
  <c r="N8" i="30"/>
  <c r="L13" i="26"/>
  <c r="N11" i="30"/>
  <c r="L16" i="26"/>
  <c r="N28" i="30"/>
  <c r="L18" i="26"/>
  <c r="N9" i="30"/>
  <c r="L14" i="26"/>
  <c r="N16" i="30"/>
  <c r="L21" i="26"/>
  <c r="N13" i="30"/>
  <c r="L20" i="26"/>
  <c r="N33" i="30"/>
  <c r="N7" i="30"/>
  <c r="N164" i="37" l="1"/>
  <c r="F17" i="35"/>
  <c r="F18" i="35" s="1"/>
  <c r="F16" i="35"/>
  <c r="I38" i="42"/>
  <c r="I1016" i="42" s="1"/>
  <c r="I52" i="41"/>
  <c r="I53" i="41" s="1"/>
  <c r="I91" i="41"/>
  <c r="I92" i="41" s="1"/>
  <c r="I99" i="41"/>
  <c r="I100" i="41" s="1"/>
  <c r="I54" i="41"/>
  <c r="I55" i="41" s="1"/>
  <c r="I97" i="41"/>
  <c r="I98" i="41" s="1"/>
  <c r="I89" i="41"/>
  <c r="I90" i="41" s="1"/>
  <c r="I77" i="41"/>
  <c r="I78" i="41" s="1"/>
  <c r="I48" i="41"/>
  <c r="I49" i="41" s="1"/>
  <c r="I42" i="41"/>
  <c r="I43" i="41" s="1"/>
  <c r="I50" i="41"/>
  <c r="I51" i="41" s="1"/>
  <c r="I32" i="41"/>
  <c r="I33" i="41" s="1"/>
  <c r="I65" i="41"/>
  <c r="I66" i="41" s="1"/>
  <c r="I86" i="41"/>
  <c r="I87" i="41" s="1"/>
  <c r="I95" i="41"/>
  <c r="I96" i="41" s="1"/>
  <c r="I84" i="41"/>
  <c r="I85" i="41" s="1"/>
  <c r="I34" i="41"/>
  <c r="I35" i="41" s="1"/>
  <c r="I44" i="41"/>
  <c r="I45" i="41" s="1"/>
  <c r="I46" i="41"/>
  <c r="I47" i="41" s="1"/>
  <c r="I93" i="41"/>
  <c r="I94" i="41" s="1"/>
  <c r="I82" i="41"/>
  <c r="I83" i="41" s="1"/>
  <c r="K43" i="37"/>
  <c r="K28" i="41" s="1"/>
  <c r="P2" i="27"/>
  <c r="L8" i="35" s="1"/>
  <c r="L13" i="35" s="1"/>
  <c r="L14" i="35" s="1"/>
  <c r="L15" i="35" s="1"/>
  <c r="F1569" i="27"/>
  <c r="X8" i="35" s="1"/>
  <c r="F35" i="35"/>
  <c r="L42" i="34"/>
  <c r="L56" i="34" s="1"/>
  <c r="L191" i="34" s="1"/>
  <c r="L195" i="34" s="1"/>
  <c r="L42" i="26"/>
  <c r="L56" i="26" s="1"/>
  <c r="L191" i="26" s="1"/>
  <c r="L195" i="26" s="1"/>
  <c r="T2" i="27"/>
  <c r="P8" i="35" s="1"/>
  <c r="P13" i="35" s="1"/>
  <c r="P14" i="35" s="1"/>
  <c r="J2" i="29" s="1"/>
  <c r="E11" i="35" s="1"/>
  <c r="W11" i="35" s="1"/>
  <c r="Y11" i="35" s="1"/>
  <c r="K2" i="27"/>
  <c r="G8" i="35" s="1"/>
  <c r="G13" i="35" s="1"/>
  <c r="G14" i="35" s="1"/>
  <c r="G16" i="35" s="1"/>
  <c r="N47" i="30"/>
  <c r="N257" i="30" s="1"/>
  <c r="Y1016" i="42" l="1"/>
  <c r="Z1016" i="42" s="1"/>
  <c r="I1017" i="42"/>
  <c r="Y1017" i="42"/>
  <c r="K1021" i="37"/>
  <c r="I267" i="41" s="1"/>
  <c r="I28" i="41"/>
  <c r="L28" i="41" s="1"/>
  <c r="M18" i="35"/>
  <c r="E13" i="35"/>
  <c r="E14" i="35" s="1"/>
  <c r="W14" i="35" s="1"/>
  <c r="P15" i="35"/>
  <c r="X13" i="35"/>
  <c r="M43" i="37"/>
  <c r="N43" i="37" s="1"/>
  <c r="W18" i="35"/>
  <c r="W8" i="35"/>
  <c r="Y8" i="35" s="1"/>
  <c r="M1021" i="37" l="1"/>
  <c r="N1021" i="37" s="1"/>
  <c r="W13" i="35"/>
  <c r="F38" i="35" s="1"/>
  <c r="K1022" i="37"/>
  <c r="F1571" i="27"/>
  <c r="L197" i="26"/>
  <c r="L201" i="26" s="1"/>
  <c r="M1022" i="37" l="1"/>
  <c r="I268" i="41"/>
  <c r="M1035" i="37"/>
  <c r="Y13" i="35"/>
  <c r="D28" i="22"/>
  <c r="D24" i="22"/>
  <c r="D23" i="22"/>
  <c r="D22" i="22"/>
  <c r="D21" i="22"/>
  <c r="D20" i="22"/>
  <c r="D27" i="22"/>
  <c r="D19" i="22"/>
  <c r="D18" i="22"/>
  <c r="D17" i="22"/>
  <c r="D16" i="22"/>
  <c r="D15" i="22"/>
  <c r="D14" i="22"/>
  <c r="D13" i="22"/>
  <c r="D12" i="22"/>
  <c r="D11" i="22"/>
  <c r="B11" i="22"/>
  <c r="C54" i="15"/>
  <c r="C230" i="11"/>
  <c r="C34" i="11"/>
  <c r="C126" i="15"/>
  <c r="C122" i="11"/>
  <c r="C100" i="15"/>
  <c r="J127" i="15"/>
  <c r="I127" i="15"/>
  <c r="H127" i="15"/>
  <c r="L18" i="15"/>
  <c r="F14" i="15"/>
  <c r="D14" i="15"/>
  <c r="D127" i="15" s="1"/>
  <c r="K17" i="15"/>
  <c r="K18" i="15"/>
  <c r="K19" i="15"/>
  <c r="K20" i="15"/>
  <c r="L20" i="15"/>
  <c r="K21" i="15"/>
  <c r="K22" i="15"/>
  <c r="K23" i="15"/>
  <c r="K34" i="15"/>
  <c r="M34" i="15" s="1"/>
  <c r="K35" i="15"/>
  <c r="M35" i="15" s="1"/>
  <c r="K36" i="15"/>
  <c r="M36" i="15" s="1"/>
  <c r="K37" i="15"/>
  <c r="M37" i="15" s="1"/>
  <c r="K38" i="15"/>
  <c r="M38" i="15" s="1"/>
  <c r="K39" i="15"/>
  <c r="M39" i="15" s="1"/>
  <c r="K40" i="15"/>
  <c r="M40" i="15" s="1"/>
  <c r="K41" i="15"/>
  <c r="M41" i="15" s="1"/>
  <c r="K44" i="15"/>
  <c r="M44" i="15" s="1"/>
  <c r="K48" i="15"/>
  <c r="M48" i="15" s="1"/>
  <c r="K49" i="15"/>
  <c r="M49" i="15" s="1"/>
  <c r="K50" i="15"/>
  <c r="M50" i="15" s="1"/>
  <c r="K51" i="15"/>
  <c r="M51" i="15" s="1"/>
  <c r="K52" i="15"/>
  <c r="M52" i="15" s="1"/>
  <c r="K53" i="15"/>
  <c r="M53" i="15" s="1"/>
  <c r="K55" i="15"/>
  <c r="M55" i="15" s="1"/>
  <c r="K56" i="15"/>
  <c r="M56" i="15" s="1"/>
  <c r="K57" i="15"/>
  <c r="M57" i="15" s="1"/>
  <c r="K58" i="15"/>
  <c r="M58" i="15" s="1"/>
  <c r="K59" i="15"/>
  <c r="M59" i="15" s="1"/>
  <c r="K60" i="15"/>
  <c r="M60" i="15" s="1"/>
  <c r="K61" i="15"/>
  <c r="M61" i="15" s="1"/>
  <c r="K62" i="15"/>
  <c r="M62" i="15" s="1"/>
  <c r="K63" i="15"/>
  <c r="M63" i="15" s="1"/>
  <c r="K89" i="15"/>
  <c r="M89" i="15" s="1"/>
  <c r="K90" i="15"/>
  <c r="M90" i="15" s="1"/>
  <c r="K91" i="15"/>
  <c r="M91" i="15" s="1"/>
  <c r="K92" i="15"/>
  <c r="M92" i="15" s="1"/>
  <c r="K93" i="15"/>
  <c r="M93" i="15" s="1"/>
  <c r="K94" i="15"/>
  <c r="M94" i="15" s="1"/>
  <c r="K95" i="15"/>
  <c r="M95" i="15" s="1"/>
  <c r="K96" i="15"/>
  <c r="M96" i="15" s="1"/>
  <c r="K97" i="15"/>
  <c r="M97" i="15" s="1"/>
  <c r="K124" i="15"/>
  <c r="M124" i="15" s="1"/>
  <c r="K125" i="15"/>
  <c r="M125" i="15" s="1"/>
  <c r="K104" i="15"/>
  <c r="M104" i="15" s="1"/>
  <c r="L23" i="15"/>
  <c r="L22" i="15"/>
  <c r="L21" i="15"/>
  <c r="L19" i="15"/>
  <c r="L17" i="15"/>
  <c r="F15" i="15"/>
  <c r="K15" i="15" s="1"/>
  <c r="M15" i="15" s="1"/>
  <c r="F13" i="15"/>
  <c r="K13" i="15" s="1"/>
  <c r="M13" i="15" s="1"/>
  <c r="L31" i="15"/>
  <c r="K31" i="15"/>
  <c r="K47" i="15"/>
  <c r="M47" i="15" s="1"/>
  <c r="K75" i="15"/>
  <c r="M75" i="15" s="1"/>
  <c r="K101" i="15"/>
  <c r="M101" i="15" s="1"/>
  <c r="K118" i="15"/>
  <c r="M118" i="15" s="1"/>
  <c r="L24" i="15"/>
  <c r="K24" i="15"/>
  <c r="L28" i="15"/>
  <c r="K28" i="15"/>
  <c r="L32" i="15"/>
  <c r="K32" i="15"/>
  <c r="K64" i="15"/>
  <c r="M64" i="15" s="1"/>
  <c r="K68" i="15"/>
  <c r="M68" i="15" s="1"/>
  <c r="K72" i="15"/>
  <c r="M72" i="15" s="1"/>
  <c r="K76" i="15"/>
  <c r="M76" i="15" s="1"/>
  <c r="K80" i="15"/>
  <c r="M80" i="15" s="1"/>
  <c r="K84" i="15"/>
  <c r="M84" i="15" s="1"/>
  <c r="K88" i="15"/>
  <c r="M88" i="15" s="1"/>
  <c r="K103" i="15"/>
  <c r="M103" i="15" s="1"/>
  <c r="K107" i="15"/>
  <c r="M107" i="15" s="1"/>
  <c r="K111" i="15"/>
  <c r="M111" i="15" s="1"/>
  <c r="K115" i="15"/>
  <c r="M115" i="15" s="1"/>
  <c r="K119" i="15"/>
  <c r="M119" i="15" s="1"/>
  <c r="K123" i="15"/>
  <c r="M123" i="15" s="1"/>
  <c r="K43" i="15"/>
  <c r="M43" i="15" s="1"/>
  <c r="K71" i="15"/>
  <c r="M71" i="15" s="1"/>
  <c r="K83" i="15"/>
  <c r="M83" i="15" s="1"/>
  <c r="K87" i="15"/>
  <c r="M87" i="15" s="1"/>
  <c r="K106" i="15"/>
  <c r="M106" i="15" s="1"/>
  <c r="K110" i="15"/>
  <c r="M110" i="15" s="1"/>
  <c r="K114" i="15"/>
  <c r="M114" i="15" s="1"/>
  <c r="K122" i="15"/>
  <c r="M122" i="15" s="1"/>
  <c r="L25" i="15"/>
  <c r="K25" i="15"/>
  <c r="L33" i="15"/>
  <c r="K33" i="15"/>
  <c r="K45" i="15"/>
  <c r="M45" i="15" s="1"/>
  <c r="K65" i="15"/>
  <c r="M65" i="15" s="1"/>
  <c r="K69" i="15"/>
  <c r="M69" i="15" s="1"/>
  <c r="K73" i="15"/>
  <c r="M73" i="15" s="1"/>
  <c r="K77" i="15"/>
  <c r="M77" i="15" s="1"/>
  <c r="K81" i="15"/>
  <c r="M81" i="15" s="1"/>
  <c r="K85" i="15"/>
  <c r="M85" i="15" s="1"/>
  <c r="K98" i="15"/>
  <c r="M98" i="15" s="1"/>
  <c r="K108" i="15"/>
  <c r="M108" i="15" s="1"/>
  <c r="K112" i="15"/>
  <c r="M112" i="15" s="1"/>
  <c r="K116" i="15"/>
  <c r="M116" i="15" s="1"/>
  <c r="K120" i="15"/>
  <c r="M120" i="15" s="1"/>
  <c r="L27" i="15"/>
  <c r="K27" i="15"/>
  <c r="K67" i="15"/>
  <c r="M67" i="15" s="1"/>
  <c r="K79" i="15"/>
  <c r="M79" i="15" s="1"/>
  <c r="L29" i="15"/>
  <c r="K29" i="15"/>
  <c r="L26" i="15"/>
  <c r="K26" i="15"/>
  <c r="L30" i="15"/>
  <c r="K30" i="15"/>
  <c r="K42" i="15"/>
  <c r="M42" i="15" s="1"/>
  <c r="K46" i="15"/>
  <c r="M46" i="15" s="1"/>
  <c r="K66" i="15"/>
  <c r="M66" i="15" s="1"/>
  <c r="K70" i="15"/>
  <c r="M70" i="15" s="1"/>
  <c r="K74" i="15"/>
  <c r="M74" i="15" s="1"/>
  <c r="K78" i="15"/>
  <c r="M78" i="15" s="1"/>
  <c r="K82" i="15"/>
  <c r="M82" i="15" s="1"/>
  <c r="K86" i="15"/>
  <c r="M86" i="15" s="1"/>
  <c r="K99" i="15"/>
  <c r="M99" i="15" s="1"/>
  <c r="K105" i="15"/>
  <c r="M105" i="15" s="1"/>
  <c r="K109" i="15"/>
  <c r="M109" i="15" s="1"/>
  <c r="K113" i="15"/>
  <c r="M113" i="15" s="1"/>
  <c r="K117" i="15"/>
  <c r="M117" i="15" s="1"/>
  <c r="K121" i="15"/>
  <c r="M121" i="15" s="1"/>
  <c r="I18" i="9"/>
  <c r="I12" i="9"/>
  <c r="I21" i="9"/>
  <c r="K16" i="15"/>
  <c r="M16" i="15" s="1"/>
  <c r="E126" i="15"/>
  <c r="G102" i="15"/>
  <c r="C89" i="11"/>
  <c r="C301" i="11"/>
  <c r="C369" i="11"/>
  <c r="C102" i="15"/>
  <c r="C124" i="11"/>
  <c r="G100" i="15"/>
  <c r="K100" i="15" s="1"/>
  <c r="E54" i="15"/>
  <c r="E127" i="15" s="1"/>
  <c r="D128" i="15"/>
  <c r="K128" i="15" s="1"/>
  <c r="M17" i="15" l="1"/>
  <c r="M29" i="15"/>
  <c r="M18" i="15"/>
  <c r="M23" i="15"/>
  <c r="M31" i="15"/>
  <c r="M28" i="15"/>
  <c r="M19" i="15"/>
  <c r="M21" i="15"/>
  <c r="K14" i="15"/>
  <c r="M14" i="15" s="1"/>
  <c r="K127" i="15"/>
  <c r="M30" i="15"/>
  <c r="M25" i="15"/>
  <c r="M24" i="15"/>
  <c r="I26" i="9"/>
  <c r="M33" i="15"/>
  <c r="M27" i="15"/>
  <c r="M32" i="15"/>
  <c r="M22" i="15"/>
  <c r="M26" i="15"/>
  <c r="M20" i="15"/>
  <c r="F127" i="15"/>
  <c r="G127" i="15"/>
  <c r="L27" i="22"/>
  <c r="L16" i="22"/>
  <c r="L12" i="22" l="1"/>
  <c r="L22" i="22"/>
  <c r="L24" i="22"/>
  <c r="L11" i="22"/>
  <c r="L28" i="22"/>
  <c r="L29" i="22" s="1"/>
  <c r="L14" i="22"/>
  <c r="L13" i="22"/>
  <c r="L20" i="22"/>
  <c r="L18" i="22"/>
  <c r="L21" i="22"/>
  <c r="L17" i="22"/>
  <c r="L15" i="22"/>
  <c r="L23" i="22"/>
  <c r="L19" i="22"/>
  <c r="L25" i="22" l="1"/>
  <c r="L30" i="22" s="1"/>
  <c r="L32" i="22" s="1"/>
  <c r="D8" i="40" l="1"/>
  <c r="X88" i="42"/>
  <c r="Y159" i="42"/>
  <c r="Y88" i="42" l="1"/>
  <c r="Y59" i="42"/>
  <c r="Y14" i="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B44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Sasaran Pengurus Kampung KB
</t>
        </r>
      </text>
    </comment>
  </commentList>
</comments>
</file>

<file path=xl/sharedStrings.xml><?xml version="1.0" encoding="utf-8"?>
<sst xmlns="http://schemas.openxmlformats.org/spreadsheetml/2006/main" count="24395" uniqueCount="3659">
  <si>
    <t>RENCANA ANGGARAN BIAYA</t>
  </si>
  <si>
    <t>DESA PENATIH DANGIN PURI</t>
  </si>
  <si>
    <t xml:space="preserve">Bidang              </t>
  </si>
  <si>
    <t>: Penyelenggaraan Pemerintahan Desa</t>
  </si>
  <si>
    <t xml:space="preserve">Sub Bidang       </t>
  </si>
  <si>
    <t>: Penyelenggaraan Belanja Penghasilan Tetap, Tunjangan dan Operasional Pemerintah Desa ( Maksimal 30% )</t>
  </si>
  <si>
    <t>No. RAB</t>
  </si>
  <si>
    <t xml:space="preserve">Kegiatan           </t>
  </si>
  <si>
    <t>: Penyediaan Penghasilan tetap dan Tunjangan Perbekel</t>
  </si>
  <si>
    <t xml:space="preserve">Sumber Dana        </t>
  </si>
  <si>
    <t>Rincian Pendanaan  :</t>
  </si>
  <si>
    <t>URAIAN</t>
  </si>
  <si>
    <t>VOLUME</t>
  </si>
  <si>
    <t>HARGA SATUAN (Rp)</t>
  </si>
  <si>
    <t>JUMLAH (Rp)</t>
  </si>
  <si>
    <t>1.1.01.5.1</t>
  </si>
  <si>
    <t xml:space="preserve">Belanja Pegawai </t>
  </si>
  <si>
    <t>1.1.01.5.1.1</t>
  </si>
  <si>
    <t>Penghasilan tetap dan Tunjangan Perbekel</t>
  </si>
  <si>
    <t>1.1.01.5.1.1.01</t>
  </si>
  <si>
    <t>Penghasilan Tetap Perbekel</t>
  </si>
  <si>
    <t>ob</t>
  </si>
  <si>
    <t>1.1.01.5.1.1.02</t>
  </si>
  <si>
    <t>Penghasilan ke 13</t>
  </si>
  <si>
    <t>Tunjangan Perbekel</t>
  </si>
  <si>
    <t>Tunjangan Hari Raya</t>
  </si>
  <si>
    <t>Jumlah</t>
  </si>
  <si>
    <t xml:space="preserve">                           </t>
  </si>
  <si>
    <t>Perbekel  Desa Penatih Dangin Puri</t>
  </si>
  <si>
    <t>I Wayan Kamar</t>
  </si>
  <si>
    <t>No.</t>
  </si>
  <si>
    <t>U R A I A N</t>
  </si>
  <si>
    <t>HARGA SATUAN (Rp.)</t>
  </si>
  <si>
    <t>JUMLAH (Rp.)</t>
  </si>
  <si>
    <t>Ket.</t>
  </si>
  <si>
    <t xml:space="preserve">Waktu Pelaksanaan : </t>
  </si>
  <si>
    <t>: Penyediaan Penghasilan tetap dan Tunjangan Perangkat Desa</t>
  </si>
  <si>
    <t xml:space="preserve">Waktu Pelaksanaan </t>
  </si>
  <si>
    <t xml:space="preserve">Rincian Pendanaan  : </t>
  </si>
  <si>
    <t>1.1.02.5.1</t>
  </si>
  <si>
    <t>1.1.02.5.1.2</t>
  </si>
  <si>
    <t>Penghasilan tetap dan Tunjangan Perangkat Desa</t>
  </si>
  <si>
    <t>1.1.02.5.1.2.01</t>
  </si>
  <si>
    <t>Penghasilan tetap Perangkat Desa</t>
  </si>
  <si>
    <t xml:space="preserve">Sekdes  </t>
  </si>
  <si>
    <t>Kaur , Kasi  (6 orang X 12bln)</t>
  </si>
  <si>
    <t>1.1.02.5.1.2.02</t>
  </si>
  <si>
    <t>Tunjangan Perangkat Desa</t>
  </si>
  <si>
    <t>Tunjangan Sekdes</t>
  </si>
  <si>
    <t>Penghasilan Ke 13 Sekdes</t>
  </si>
  <si>
    <t>Tunjangan Perangkat Desa (Kaur, kasi 6 Orang X 12)</t>
  </si>
  <si>
    <t>Penghasilan  Ke 13 Kasi kaur</t>
  </si>
  <si>
    <t>Tunjangan Hari Raya Kasi Kaur</t>
  </si>
  <si>
    <t>Tunjangan Perangkat Desa (Kepala Dusun 8 Orang X 12)</t>
  </si>
  <si>
    <t>Penghasilan Ke 13 Kepala Dusun</t>
  </si>
  <si>
    <t>Tunjangan Hari Raya Kepala Dusun</t>
  </si>
  <si>
    <t>Penyelenggaraan Pemerintahan Desa</t>
  </si>
  <si>
    <t>:Penyelenggaraan Belanja Penghasilan Tetap, Tunjangan dan Operasional Pemerintah Desa ( Maksimal 30% )</t>
  </si>
  <si>
    <t>Penyediaan Jaminan Kesehatan dan Ketenaga Kerjaan Bagi Perbekel dan Perangkat Desa</t>
  </si>
  <si>
    <t xml:space="preserve">Waktu Pelaksanaan   </t>
  </si>
  <si>
    <t>: 12 Bulan</t>
  </si>
  <si>
    <t xml:space="preserve">Rincian Pendanaan </t>
  </si>
  <si>
    <t>:</t>
  </si>
  <si>
    <t>1.1.03.5.1</t>
  </si>
  <si>
    <t>Belanja Pegawai :</t>
  </si>
  <si>
    <t>1.1.03.5.1.3</t>
  </si>
  <si>
    <t>Jaminan sosial Perbekel dan Perangkat Desa</t>
  </si>
  <si>
    <t>1.1.03.5.1.3.01</t>
  </si>
  <si>
    <t xml:space="preserve">Jaminan Kesehatan perbekel </t>
  </si>
  <si>
    <t>1.1.03.5.1.3.02</t>
  </si>
  <si>
    <t>Jaminan Kesehatan Perangkat Desa</t>
  </si>
  <si>
    <t>Jaminan Kesehatan Sekdes</t>
  </si>
  <si>
    <t>Jaminan Kesehatan Kasi, Kaur (6or x 12Bln)</t>
  </si>
  <si>
    <t>1.1.03.5.1.3.03</t>
  </si>
  <si>
    <t>Jaminan Ketenagakerjaan Perbekel</t>
  </si>
  <si>
    <t>1.1.03.5.1.3.04</t>
  </si>
  <si>
    <t>Jaminan Ketenagakerajaan Perangkat Desa</t>
  </si>
  <si>
    <t>Jaminan Ketenagakerjaan Sekdes</t>
  </si>
  <si>
    <t>Jaminan Ketenagakerjaan Kaur &amp; Kasi (6 or x 6 bln)</t>
  </si>
  <si>
    <t>Jaminan Ketenagakerjaan Kepala Dusun ( 8 or x 6Bln )</t>
  </si>
  <si>
    <t>: Penyediaan Operasional Pemerintah Desa</t>
  </si>
  <si>
    <t>1.1.04.5.2</t>
  </si>
  <si>
    <t>Belanja Barang Jasa :</t>
  </si>
  <si>
    <t>1.1.04.5.2.1</t>
  </si>
  <si>
    <t>Belanja Barang Perlengkapan</t>
  </si>
  <si>
    <t>1.1.04.5.2.1.01</t>
  </si>
  <si>
    <t>Belanja perlengkapan alat tulis kantor dan Benda Pos</t>
  </si>
  <si>
    <t>rim</t>
  </si>
  <si>
    <t>Isi Staples No.10 max</t>
  </si>
  <si>
    <t>Box</t>
  </si>
  <si>
    <t>Buah</t>
  </si>
  <si>
    <t>Clip Segul No.5</t>
  </si>
  <si>
    <t>Map Endek Bali Tebal</t>
  </si>
  <si>
    <t>buah</t>
  </si>
  <si>
    <t>Stop Map Bening</t>
  </si>
  <si>
    <t>Bolpoin Baliner</t>
  </si>
  <si>
    <t>Pensil Lumograf 2B</t>
  </si>
  <si>
    <t>Materai 10000</t>
  </si>
  <si>
    <t>Spidol Whiteboard snowman</t>
  </si>
  <si>
    <t>btl</t>
  </si>
  <si>
    <t>Box Arsip</t>
  </si>
  <si>
    <t>Sekat Atau Guide Arsip</t>
  </si>
  <si>
    <t>paket</t>
  </si>
  <si>
    <t>Foto Copy</t>
  </si>
  <si>
    <t>Lbr</t>
  </si>
  <si>
    <t>Note Book</t>
  </si>
  <si>
    <t>bh</t>
  </si>
  <si>
    <t>Kalkulator</t>
  </si>
  <si>
    <t>1.1.04.5.2.1.02</t>
  </si>
  <si>
    <t>Belanja Perlengkapan alat alat listrik</t>
  </si>
  <si>
    <t>unit</t>
  </si>
  <si>
    <t>1.1.04.5.2.1.03</t>
  </si>
  <si>
    <t xml:space="preserve">Belanja perlengkapan alat alat rumah tangga/peralatan dan Bahan kebersihan </t>
  </si>
  <si>
    <t>Sapu ijuk</t>
  </si>
  <si>
    <t>Sapu Lidi</t>
  </si>
  <si>
    <t>Korok WC Plastik</t>
  </si>
  <si>
    <t>bks</t>
  </si>
  <si>
    <t>Botol</t>
  </si>
  <si>
    <t>botol</t>
  </si>
  <si>
    <t>1.1.04.5.2.1.04</t>
  </si>
  <si>
    <t>Belanja bahan bakar minyak/ gas/ isi ulang tabung pemadam kebakaran</t>
  </si>
  <si>
    <t>BBM Motor Dinas 3 unit x 12 bln</t>
  </si>
  <si>
    <t>bln</t>
  </si>
  <si>
    <t>BBM Mobil Dinas 1 unit x 12 Bln</t>
  </si>
  <si>
    <t>liter</t>
  </si>
  <si>
    <t>Isi ulang Gas LPG 12Kg   1/2 tabug x 12 bln</t>
  </si>
  <si>
    <t>kali</t>
  </si>
  <si>
    <t>1.1.04.5.2.1.05</t>
  </si>
  <si>
    <t xml:space="preserve">Belanja Perlengkapan Cetak/ pengadaan - Belanja barang cetak dan pengadaan </t>
  </si>
  <si>
    <t>Cetak Buku Administrasi Kepal Dusun</t>
  </si>
  <si>
    <t>Cetak lembar disposisi</t>
  </si>
  <si>
    <t>lembar</t>
  </si>
  <si>
    <t>Kartu Indek</t>
  </si>
  <si>
    <t>Set</t>
  </si>
  <si>
    <t>Cetak Buku Exspedisi</t>
  </si>
  <si>
    <t>Cetak Buk Surat Keputusan</t>
  </si>
  <si>
    <t>Cetak Buku Agenda Kependudukan</t>
  </si>
  <si>
    <t>Cetak Buku Administrasi Keuangan</t>
  </si>
  <si>
    <t>Cetak Buku Agenda Umum</t>
  </si>
  <si>
    <t>Cetak Buku Notulen Rapat</t>
  </si>
  <si>
    <t>Cetak buku aset pembangunan</t>
  </si>
  <si>
    <t>Cetak Buku Kader</t>
  </si>
  <si>
    <t>Cetak Map Kertas Kop Desa</t>
  </si>
  <si>
    <t>Pengadaan Papan Struktur Organisasi</t>
  </si>
  <si>
    <t>Pengadaan Papan Pelayanan dan Informasi</t>
  </si>
  <si>
    <t>1.1.04.5.2.1.06</t>
  </si>
  <si>
    <t>Belanja perlengkapan barang konsumsi (makan/ minum) Belanja Barang konsumsi</t>
  </si>
  <si>
    <t xml:space="preserve">Air kemasan </t>
  </si>
  <si>
    <t>dus</t>
  </si>
  <si>
    <t>Air Isi Ulang (air Galon )</t>
  </si>
  <si>
    <t>gln</t>
  </si>
  <si>
    <t>Kopi</t>
  </si>
  <si>
    <t>bungkus</t>
  </si>
  <si>
    <t>Gula</t>
  </si>
  <si>
    <t>Kg</t>
  </si>
  <si>
    <t>Konsumsi Tamu</t>
  </si>
  <si>
    <t>ktk</t>
  </si>
  <si>
    <t>-Canang Sehari hari (500 X12 BULAN)</t>
  </si>
  <si>
    <t>Tanding</t>
  </si>
  <si>
    <t>1.1.04.5.2.1.08</t>
  </si>
  <si>
    <t>Belanja bendera/ umbul umbul/ spanduk</t>
  </si>
  <si>
    <t>Spanduk Untuk Memperingati Hari Hari Bersejarah</t>
  </si>
  <si>
    <t>Bendera Merah Putih 1 x 1,5</t>
  </si>
  <si>
    <t>Umbul umbul Merah Putih</t>
  </si>
  <si>
    <t>lonjor</t>
  </si>
  <si>
    <t>Dekorasi hiasan perayaan hari besar</t>
  </si>
  <si>
    <t>1.1.04.5.2.1.09</t>
  </si>
  <si>
    <t>Belanja Pakaian Dinas/ seragam/ atribut</t>
  </si>
  <si>
    <t>Setel</t>
  </si>
  <si>
    <t>1.1.04.5.2.1.10</t>
  </si>
  <si>
    <t>Belanja obat obatan</t>
  </si>
  <si>
    <t>set</t>
  </si>
  <si>
    <t>1.1.04.5.2.2</t>
  </si>
  <si>
    <t>Belanja jasa honorarium</t>
  </si>
  <si>
    <t>Honorarium PKPKD</t>
  </si>
  <si>
    <t>bulan</t>
  </si>
  <si>
    <t xml:space="preserve">Honorarium Kordinator PPKD </t>
  </si>
  <si>
    <t>Honorarium PPKD ( 6 or x 12 bln )</t>
  </si>
  <si>
    <t>Honor TPK Bidang I</t>
  </si>
  <si>
    <t>Ketua</t>
  </si>
  <si>
    <t>Sekretaris</t>
  </si>
  <si>
    <t>Anggota (3 orang )</t>
  </si>
  <si>
    <t>1.1.04.5.2.3</t>
  </si>
  <si>
    <t>Belanja Perjalanan Dinas</t>
  </si>
  <si>
    <t>1.1.04.5.2.3.02</t>
  </si>
  <si>
    <t>Perjalanan Dinas Luar Kabupaten/ Kota</t>
  </si>
  <si>
    <t>tahun</t>
  </si>
  <si>
    <t>1.1.04.5.2.5</t>
  </si>
  <si>
    <t>Belanja Operasional Perkantoran</t>
  </si>
  <si>
    <t>1.1.04.5.2.5.01</t>
  </si>
  <si>
    <t>Belanja jasa layanan listrik</t>
  </si>
  <si>
    <t>1.1.04.5.2.5.03</t>
  </si>
  <si>
    <t>Belanja jasa langganan majalah/ surat kabar</t>
  </si>
  <si>
    <t>1.1.04.5.2.5.04</t>
  </si>
  <si>
    <t>Belanja jasa langganan telepon</t>
  </si>
  <si>
    <t>1.1.04.5.2.5.05</t>
  </si>
  <si>
    <t>Belanja jasa langganan internet</t>
  </si>
  <si>
    <t>1.1.04.5.2.5.07</t>
  </si>
  <si>
    <t>Belanja Jasa Perpanjangan ijin/ pajak</t>
  </si>
  <si>
    <t>Samsat Motor Dinas 1</t>
  </si>
  <si>
    <t>samsat Motor Dinas 2</t>
  </si>
  <si>
    <t>Samsat Motor Dinas 3</t>
  </si>
  <si>
    <t>Samsat Mobil Dinas</t>
  </si>
  <si>
    <t>Samsat Motor Linmas (2Motor)</t>
  </si>
  <si>
    <t>Samsat Mobil Linmas</t>
  </si>
  <si>
    <t>1.1.04.5.2.6</t>
  </si>
  <si>
    <t>Belanja Pemeliharaan</t>
  </si>
  <si>
    <t>1.1.04.5.2.6.02</t>
  </si>
  <si>
    <t>Belanja Pemeliharaan Kendaraan Bermotor</t>
  </si>
  <si>
    <t>Pemeliharaan Kendaraan Dinas</t>
  </si>
  <si>
    <t>th</t>
  </si>
  <si>
    <t>Spare Part Motor Dinas 3 x 1thn</t>
  </si>
  <si>
    <t>thn</t>
  </si>
  <si>
    <t>kl</t>
  </si>
  <si>
    <t>Spare Part Mobil Dinas</t>
  </si>
  <si>
    <t>Service HP Android</t>
  </si>
  <si>
    <t>1.1.04.5.2.6.03</t>
  </si>
  <si>
    <t xml:space="preserve">Belanja pemeliharaan peralatan </t>
  </si>
  <si>
    <t>Pemeliharaan TV</t>
  </si>
  <si>
    <t>Pemeliharaan 1 unit Camera LSR</t>
  </si>
  <si>
    <t>Unit</t>
  </si>
  <si>
    <t>Pemeliharaan Projektor</t>
  </si>
  <si>
    <t>Pemeliharaan set Sound Sistem</t>
  </si>
  <si>
    <t>Pemeliharaan Mesin Absensi</t>
  </si>
  <si>
    <t>Pemeliharaan  Repeater Radio Amatir</t>
  </si>
  <si>
    <t>Pemeliharaan CCTV</t>
  </si>
  <si>
    <t>Pemeliharaan Pintu</t>
  </si>
  <si>
    <t>1.1.04.5.2.6.08</t>
  </si>
  <si>
    <t>Belanja pemeliharaan jaringan dan instalasi ( Lisrik, Telepon, Internet, Kominikasi, Dll)</t>
  </si>
  <si>
    <t xml:space="preserve">Pemeliharaan jaringan listrik </t>
  </si>
  <si>
    <t>Pemeliharaan Kabel jaringan internet</t>
  </si>
  <si>
    <t>Pemelihaan Kran Air</t>
  </si>
  <si>
    <t>Pemeliharaan Pipa Air dan Pembuangan</t>
  </si>
  <si>
    <t>Pemeliharaan Kabel telepon</t>
  </si>
  <si>
    <t>Pemerihaan Pesawat tlpn</t>
  </si>
  <si>
    <t>Waktu Pelaksanaan : 12 Bulan</t>
  </si>
  <si>
    <t xml:space="preserve">Bidang           </t>
  </si>
  <si>
    <t xml:space="preserve">Sub Bidang    </t>
  </si>
  <si>
    <t>: Penyediaan tunjangan BPD</t>
  </si>
  <si>
    <t>1.1.05.5.1</t>
  </si>
  <si>
    <t>Belanja Pegawai</t>
  </si>
  <si>
    <t>1.1.05.5.1.4</t>
  </si>
  <si>
    <t>Tunjangan BPD</t>
  </si>
  <si>
    <t>1.1.05.5.1.4.01</t>
  </si>
  <si>
    <t>Tunjangan Kedudukan BPD</t>
  </si>
  <si>
    <t>Tunjangan Hari Raya Ketua</t>
  </si>
  <si>
    <t>Wakil  Ketua</t>
  </si>
  <si>
    <t>Tunjangan Hari Raya Wakil Ketua</t>
  </si>
  <si>
    <t>Tunjangan Hari Raya Sekretaris</t>
  </si>
  <si>
    <t>Tunjangan Hari Raya Anggota</t>
  </si>
  <si>
    <t>12 Bulan</t>
  </si>
  <si>
    <t xml:space="preserve">Bidang               </t>
  </si>
  <si>
    <t xml:space="preserve">Sub Bidang        </t>
  </si>
  <si>
    <t xml:space="preserve">Kegiatan </t>
  </si>
  <si>
    <t>: Penyediaan Operasional BPD</t>
  </si>
  <si>
    <t>NO</t>
  </si>
  <si>
    <t>KET</t>
  </si>
  <si>
    <t>1.1.06.5.2</t>
  </si>
  <si>
    <t>1.1.06.5.2.1</t>
  </si>
  <si>
    <t>1.1.06.5.2.1.01</t>
  </si>
  <si>
    <t>Belanja alat tulis kantor dan benda pos</t>
  </si>
  <si>
    <t>Bolpoint</t>
  </si>
  <si>
    <t>bj</t>
  </si>
  <si>
    <t>Cetak Buku Administrasi</t>
  </si>
  <si>
    <t>Buku agenda rapat</t>
  </si>
  <si>
    <t>Poto copy</t>
  </si>
  <si>
    <t>lbr</t>
  </si>
  <si>
    <t>1.1.06.5.2.1.06</t>
  </si>
  <si>
    <t>Konsumsi Rapat-rapat (20orang x 1 kali x 12 Bln)</t>
  </si>
  <si>
    <t>or</t>
  </si>
  <si>
    <t>Konsumsi Monitoring ( 2x1tahun )</t>
  </si>
  <si>
    <t>1.1.06.5.2.1.09</t>
  </si>
  <si>
    <t>1.1.06.5.2.1.90</t>
  </si>
  <si>
    <t>Belanja Upakara, Upacara Dan Aci</t>
  </si>
  <si>
    <t>Pejati Rapat</t>
  </si>
  <si>
    <t>Canang</t>
  </si>
  <si>
    <t>: Penyediaan Operasional BPD (Musyawarah BPD)</t>
  </si>
  <si>
    <t>Belanja Barang Jasa</t>
  </si>
  <si>
    <t>Belanja Perlengkapan Alat Tulis Kantor dan Benda Pos</t>
  </si>
  <si>
    <t>1.1.06.5.2.1.05</t>
  </si>
  <si>
    <t>Belanja perlengkapan cetak/pengadaan - belanja barang cetak dan pengadaan</t>
  </si>
  <si>
    <t>potocopy</t>
  </si>
  <si>
    <t>Spanduk kegiatan</t>
  </si>
  <si>
    <t>Belanja perlengkapan barang konsumsi (makan/minum)- Belanja Barang Konsumsi</t>
  </si>
  <si>
    <t xml:space="preserve">Konsumsi 50 or x  8 kali </t>
  </si>
  <si>
    <t>Belanja Upakara, Upacara Dan Aci- Aci</t>
  </si>
  <si>
    <t>Belanja Aci (pejati)</t>
  </si>
  <si>
    <t>soroh</t>
  </si>
  <si>
    <t>Canang Sari</t>
  </si>
  <si>
    <t>Dupa</t>
  </si>
  <si>
    <t>Bungkus</t>
  </si>
  <si>
    <t xml:space="preserve">: Penyediaan Penghasilan Staf Desa </t>
  </si>
  <si>
    <t>1.1.91.5.2</t>
  </si>
  <si>
    <t>1.1.91.5.2.2</t>
  </si>
  <si>
    <t>Belanja Jasa Honorarium</t>
  </si>
  <si>
    <t>1.1.91.5.2.2.90</t>
  </si>
  <si>
    <t>Belanja Pengasilan Staf</t>
  </si>
  <si>
    <t>Penghasilan  Staff  Admin. Siskeudes</t>
  </si>
  <si>
    <t>Penghasilan Staff Admin. BPD</t>
  </si>
  <si>
    <t>Penghasilan Staff IT</t>
  </si>
  <si>
    <t>: Penyelenggaraan Pemerintah Desa</t>
  </si>
  <si>
    <t>: Administasi Kependudukan, Pencatatan Sipil, Statistik, dan Kearsipan</t>
  </si>
  <si>
    <t>: Pendataan Administrasi Penduduk Non Permanen (Penertiban Penduduk Pendatang dan Sidak Dialogis)</t>
  </si>
  <si>
    <t>1.3.90.5.2</t>
  </si>
  <si>
    <t>Belanja Barang dan Jasa</t>
  </si>
  <si>
    <t>1.3.90.5.2.1</t>
  </si>
  <si>
    <t>1.3.90.5.2.1.06</t>
  </si>
  <si>
    <t>Belanja Perlengkapan Barang Konsumsi</t>
  </si>
  <si>
    <t>Konsumsi Rapat Penertiban Penduduk Pendatang (64or x 2Kali)</t>
  </si>
  <si>
    <t>Konsumsi Sidak Dialogis 45or x 2 kali</t>
  </si>
  <si>
    <t>Belanaja Bahan Meterial</t>
  </si>
  <si>
    <t>Masker</t>
  </si>
  <si>
    <t>box</t>
  </si>
  <si>
    <t>1.3.90.5.2.2</t>
  </si>
  <si>
    <t>1.3.90.5.2.2.05</t>
  </si>
  <si>
    <t>Belanja Jasa Honorium Petugas</t>
  </si>
  <si>
    <t>Honor Tim Penertiban  (17Or x8 Dusunx 2 putaran)</t>
  </si>
  <si>
    <t xml:space="preserve"> oh </t>
  </si>
  <si>
    <t>: Administrasi Kependudukan, Pencatatan Sipil, Statistik Dan Kearsipan</t>
  </si>
  <si>
    <t>Sumber Dana</t>
  </si>
  <si>
    <t>: Penyusunan/ Pendataan/Pemuktahiran Profil Desa (Profil Kependudukan dan potensi Desa )</t>
  </si>
  <si>
    <t>Pelatihan</t>
  </si>
  <si>
    <t>1.3.02.5.2</t>
  </si>
  <si>
    <t>1.3.02.5.2.1</t>
  </si>
  <si>
    <t>1.3.02.5.2.1.06</t>
  </si>
  <si>
    <t>Belanja Bendera/ Umbul-umbul/ Spanduk</t>
  </si>
  <si>
    <t xml:space="preserve">Spanduk Kegiatan </t>
  </si>
  <si>
    <t>Pejati</t>
  </si>
  <si>
    <t>Belanja Perlengkapan Cetak</t>
  </si>
  <si>
    <t>1.3.02.5.2.2</t>
  </si>
  <si>
    <t xml:space="preserve">Belanja Jasa Honorarium </t>
  </si>
  <si>
    <t>Anggota</t>
  </si>
  <si>
    <t>1.3.02.5.2.2.05</t>
  </si>
  <si>
    <t>Belanja Jasa Honorarium Petugas</t>
  </si>
  <si>
    <t>kk</t>
  </si>
  <si>
    <t>1.3.90.5.2.1.05</t>
  </si>
  <si>
    <t>Bidang           :</t>
  </si>
  <si>
    <t>Sub Bidang    :</t>
  </si>
  <si>
    <t>Tata Praja Pemerintahan, Perencanaan, Keuangan, dan Pelaporan</t>
  </si>
  <si>
    <t>Kegiatan           :</t>
  </si>
  <si>
    <t>Penyelenggaraan Musyawarah Desa/ Pembahasan APBDes (Musrenbangdes)</t>
  </si>
  <si>
    <t>Ket</t>
  </si>
  <si>
    <t>1.4.01.5.2</t>
  </si>
  <si>
    <t>1.4.01.5.2.1</t>
  </si>
  <si>
    <t>1.4.01.5.2.1.06</t>
  </si>
  <si>
    <t>1.4.01.5.2.1.90</t>
  </si>
  <si>
    <t>Belanja Aci (pejati )</t>
  </si>
  <si>
    <t>Canang Gede</t>
  </si>
  <si>
    <t>1.4.01.5.2.2</t>
  </si>
  <si>
    <t>Belanja  Jasa Honorarium</t>
  </si>
  <si>
    <t>1.4.01.5.2.2.05</t>
  </si>
  <si>
    <t>Honorarium MC</t>
  </si>
  <si>
    <t>1.4.01.5.2.7</t>
  </si>
  <si>
    <t>Belanja Barang Jasa yang diserahkan kepada masyarakat</t>
  </si>
  <si>
    <t>1.4.01.5.2.7.91</t>
  </si>
  <si>
    <t>Belanja uang Saku</t>
  </si>
  <si>
    <t>Penyelenggaraan Musyawarah Desa/ Pembahasan APBDes (Musdes, Musrenbangdes/pra musrenbangdes, dll yang bersifat reguler )</t>
  </si>
  <si>
    <t>tandaing</t>
  </si>
  <si>
    <t xml:space="preserve">Dupa </t>
  </si>
  <si>
    <t>Belanja Uang Saku</t>
  </si>
  <si>
    <t>: Tata Praja Pemerintahan, Perencanaan, Keuangan, dan Pelaporan</t>
  </si>
  <si>
    <t>: Penyelenggaraan Musyawarah Desa lainya (yang bersifat non reguler )</t>
  </si>
  <si>
    <t>1.4.02.5.2</t>
  </si>
  <si>
    <t>1.4.02.5.2.1</t>
  </si>
  <si>
    <t>1.4.02.5.2.1.06</t>
  </si>
  <si>
    <t>1.4.02.5.2.1.90</t>
  </si>
  <si>
    <t>1.4.02.5.2.2</t>
  </si>
  <si>
    <t>1.4.02.5.2.2.05</t>
  </si>
  <si>
    <t>1.4.02.5.2.7</t>
  </si>
  <si>
    <t>1.4.02.5.2.7.91</t>
  </si>
  <si>
    <t>: Penyusunan laporan Kepala Desa/ Penyelenggaraan Pemerintah Desa (Laporan akhir tahun anggaran )</t>
  </si>
  <si>
    <t>1.4.07.5.2</t>
  </si>
  <si>
    <t>1.4.07.5.2.1</t>
  </si>
  <si>
    <t>1.4.07.5.2.1.05</t>
  </si>
  <si>
    <t>cetak Dokumen Laporan Tahun Anggran</t>
  </si>
  <si>
    <t>1.4.04.5.2</t>
  </si>
  <si>
    <t>1.4.04.5.2.1</t>
  </si>
  <si>
    <t>1.4.04.5.2.1.05</t>
  </si>
  <si>
    <t>1.4.04.5.2.1.06</t>
  </si>
  <si>
    <t>Belanja Perlengkapan barang konsumsi (makan/minum) - Belanja barang konsumsi</t>
  </si>
  <si>
    <t>Konsumsi Kegiatan (18or x 10Kl)</t>
  </si>
  <si>
    <t>Or</t>
  </si>
  <si>
    <t>Potocopy</t>
  </si>
  <si>
    <t>Konsumsi Kegiatan (18or x 4Kali)</t>
  </si>
  <si>
    <t xml:space="preserve">Waktu Pelaksanaan      </t>
  </si>
  <si>
    <t>: Penyusunan dokumen keuangan Desa (APBDesa 2024 )</t>
  </si>
  <si>
    <t>cetak Dokumen APBDes</t>
  </si>
  <si>
    <t>: Penyusunan dokumen keuangan Desa (APBDesa Perubahan 2023)</t>
  </si>
  <si>
    <t>: Penyusunan dokumen keuangan Desa ( LPJ APBDesa 2022)</t>
  </si>
  <si>
    <t>Belanja Bahan /Material</t>
  </si>
  <si>
    <t>Spanduk Kegiatan</t>
  </si>
  <si>
    <t>Bh</t>
  </si>
  <si>
    <t>oh</t>
  </si>
  <si>
    <t>: Sarana dan Prasarana Pemerintah Desa</t>
  </si>
  <si>
    <t>: Penyediaan Aset Tetap (Prasarana Kantor Desa)</t>
  </si>
  <si>
    <t>Waktu Pelaksanaan</t>
  </si>
  <si>
    <t>1.2.01.5.3</t>
  </si>
  <si>
    <t>Belanja Modal</t>
  </si>
  <si>
    <t>1.2.01.5.3.2</t>
  </si>
  <si>
    <t>Belanja Modal Peralatan, Mesin, dan Alat Berat</t>
  </si>
  <si>
    <t>1.2.01.5.3.2.01</t>
  </si>
  <si>
    <t>Belanja modal honor tim yang melaksanakan kegiatan</t>
  </si>
  <si>
    <t>Ketua TPK</t>
  </si>
  <si>
    <t>1.2.01.5.3.2.02</t>
  </si>
  <si>
    <t>Belanja Modal Peralatan elektronik dan Alat Studio</t>
  </si>
  <si>
    <t>1.2.01.5.3.2.04</t>
  </si>
  <si>
    <t>Belanja Modal Peralatan mebeulair dan Aksesori ruangan</t>
  </si>
  <si>
    <t>.</t>
  </si>
  <si>
    <t xml:space="preserve">: 12 Bulan </t>
  </si>
  <si>
    <t>Air Kemasan Botol untuk musdes</t>
  </si>
  <si>
    <t>Konsumsi 30or x 1</t>
  </si>
  <si>
    <t>Belanja Jasa Honorarium Ahli/Profesi/Konsultan/Narasumber</t>
  </si>
  <si>
    <t>: Pemberdayaan Masyarakat Desa</t>
  </si>
  <si>
    <t>: Peningkatan Kapasitas Aparatur Desa</t>
  </si>
  <si>
    <t>: Pelatihan PKPKD, PPKD dan TPK</t>
  </si>
  <si>
    <t>4.3.02.5.2</t>
  </si>
  <si>
    <t>4.3.02.5.2.1</t>
  </si>
  <si>
    <t>4.3.02.5.2.1.06</t>
  </si>
  <si>
    <t>Konsumsi Pelatihan 36or x 1kl</t>
  </si>
  <si>
    <t>4.3.02.5.2.1.08</t>
  </si>
  <si>
    <t>4.3.02.5.2.1.90</t>
  </si>
  <si>
    <t>Belanja Upakara, Upacara dan Aci</t>
  </si>
  <si>
    <t>Aci ( Pejati )</t>
  </si>
  <si>
    <t>4.3.02.5.2.2</t>
  </si>
  <si>
    <t>4.3.02.5.2.2.04</t>
  </si>
  <si>
    <t>Honor Narasumber / Instruktur 2or</t>
  </si>
  <si>
    <t>KODE</t>
  </si>
  <si>
    <t>: Pelatihan Tim Verifikasi dan penyusunan RKP ( Pelatihan Penysunan RKPDes)</t>
  </si>
  <si>
    <t xml:space="preserve">Waktu Pelaksanaan       </t>
  </si>
  <si>
    <t>Konsumsi Pelatihan (32or x 1kali)</t>
  </si>
  <si>
    <t>4.3.02.5.2.1.07</t>
  </si>
  <si>
    <t>: Peningkatan Kapasitas BPD</t>
  </si>
  <si>
    <t xml:space="preserve">: </t>
  </si>
  <si>
    <t>4.3.03.5.2</t>
  </si>
  <si>
    <t>4.3.03.5.2.1</t>
  </si>
  <si>
    <t>4.3.03.5.2.1.06</t>
  </si>
  <si>
    <t>Konsumsi Pelatihan 10or x 2Kali</t>
  </si>
  <si>
    <t>4.3.03.5.2.1.08</t>
  </si>
  <si>
    <t>4.3.03.5.2.2</t>
  </si>
  <si>
    <t>4.3.03.5.2.2.04</t>
  </si>
  <si>
    <t>Honor Narasumber ( 2or X1 kl )</t>
  </si>
  <si>
    <t>4.3.03.5.2.4</t>
  </si>
  <si>
    <t>Belanja Jasa Sewa</t>
  </si>
  <si>
    <t>4.3.03.5.2.4.01</t>
  </si>
  <si>
    <t>ok</t>
  </si>
  <si>
    <t xml:space="preserve"> </t>
  </si>
  <si>
    <t>: Penyediaan Oprasional Pemerinthanan Desa ( Kegiatan Rapat - Rapat)</t>
  </si>
  <si>
    <t>1.1.04.5.2.1.90</t>
  </si>
  <si>
    <t xml:space="preserve">Pemeliharaan Aplikasi SIPENARI </t>
  </si>
  <si>
    <t>Kotak</t>
  </si>
  <si>
    <t>pak</t>
  </si>
  <si>
    <t>lusin</t>
  </si>
  <si>
    <t>: Penyediaan Kegiatan Sosial Desa</t>
  </si>
  <si>
    <t>Belanja Barang dan Jasa yang Diserahkan Kepada Masyarakat</t>
  </si>
  <si>
    <t>Belanja Bahan Perlengkapan yang Diserahkan ke masyarakat</t>
  </si>
  <si>
    <t>m</t>
  </si>
  <si>
    <t>btr</t>
  </si>
  <si>
    <t>: Administrasi Bank</t>
  </si>
  <si>
    <t xml:space="preserve">Bidang    </t>
  </si>
  <si>
    <t xml:space="preserve">Sub Bidang   </t>
  </si>
  <si>
    <t xml:space="preserve">Kegiatan     </t>
  </si>
  <si>
    <t>: Pelatihan Perangkat Desa</t>
  </si>
  <si>
    <t>Belanja Barang Dan Jasa</t>
  </si>
  <si>
    <t>Konsumsi Pelatihan (28or )</t>
  </si>
  <si>
    <t>NaraSumber / Instruktur (2or x 1kali )</t>
  </si>
  <si>
    <t>4.3.02.5.2.4</t>
  </si>
  <si>
    <t>4.3.02.5.2.4.01</t>
  </si>
  <si>
    <t>: Dukungan Penanaman Modal</t>
  </si>
  <si>
    <t>: Pengembangan sarana dan prasarana usaha mikro, kecil dan menengah serta koprasi  (Pelatihan Management BUMDes)</t>
  </si>
  <si>
    <t xml:space="preserve">Waktu Pelaksanaan        </t>
  </si>
  <si>
    <t>Rincian Pendanaan :</t>
  </si>
  <si>
    <t>4.6.02.5.2</t>
  </si>
  <si>
    <t>4.6.02.5.2.1</t>
  </si>
  <si>
    <t>4.6.02.5.2.1.06</t>
  </si>
  <si>
    <t>kotak</t>
  </si>
  <si>
    <t>4.6.02.5.2.1.08</t>
  </si>
  <si>
    <t>4.6.02.5.2.1.90</t>
  </si>
  <si>
    <t>4.6.02.5.2.2</t>
  </si>
  <si>
    <t>Belanja Honorarium</t>
  </si>
  <si>
    <t>4.6.02.5.2.2.04</t>
  </si>
  <si>
    <t>konsumsi ( 15 x 2 kali )</t>
  </si>
  <si>
    <t>Honor Narasumber/ Instruktur  (1or x 2kali)</t>
  </si>
  <si>
    <t>Sumber Dana        :</t>
  </si>
  <si>
    <t>Belanja Bahan/Material</t>
  </si>
  <si>
    <t>Belanja Jasa Honorarium Tim Yang Melaksanakan Kegiatan</t>
  </si>
  <si>
    <t>Anggota TPK</t>
  </si>
  <si>
    <t>Belanja Barang Dan jasa Yang Diserahkan Kepada Masyarakat</t>
  </si>
  <si>
    <t>Belanja Bahan Perlengkapan Yang Diserahkan Ke Masyarakat</t>
  </si>
  <si>
    <t xml:space="preserve">Waktu Pelaksanaan  </t>
  </si>
  <si>
    <t xml:space="preserve">: Pelatihan/ Penyuluhan Pemberdayaan Perempuan (Pelatihan Pembuatan Jamu Tradisional PKK Desa ) </t>
  </si>
  <si>
    <t>Perbekel Desa Penatih Dangin Puri</t>
  </si>
  <si>
    <t xml:space="preserve">Bidang                                </t>
  </si>
  <si>
    <t xml:space="preserve">Sub Bidang                        </t>
  </si>
  <si>
    <t xml:space="preserve">Kegiatan                             </t>
  </si>
  <si>
    <t>: Peningkatan Produksi Tanaman Pangan ( Produk Unggulan Desa) Pelatihan Budidaya Jamur</t>
  </si>
  <si>
    <t>4.2.01.5.2</t>
  </si>
  <si>
    <t>4.2.01.5.2.1</t>
  </si>
  <si>
    <t>4.2.01.5.2.1.06</t>
  </si>
  <si>
    <t>4.2.01.5.2.1.08</t>
  </si>
  <si>
    <t>4.2.01.5.2.1.90</t>
  </si>
  <si>
    <t>4.2.01.5.2.2</t>
  </si>
  <si>
    <t>4.2.01.5.2.2.01</t>
  </si>
  <si>
    <t>Sekretaris TPK</t>
  </si>
  <si>
    <t>4.2.01.5.2.2.04</t>
  </si>
  <si>
    <t>4.2.015.2.7</t>
  </si>
  <si>
    <t>4.2.01.5.2.7.01</t>
  </si>
  <si>
    <t>: Tambahan  Penghasilan Perbekel dari BKK</t>
  </si>
  <si>
    <t>1.1.96.5.1</t>
  </si>
  <si>
    <t>1.1.96.5.1.1</t>
  </si>
  <si>
    <t>1.1.96.5.1.1.01</t>
  </si>
  <si>
    <t>Bln</t>
  </si>
  <si>
    <t>Pemeliharaan Gedung/Prasarana Kantor Desa (Perbekel)</t>
  </si>
  <si>
    <t>Volume</t>
  </si>
  <si>
    <t xml:space="preserve"> : 12 Bulan</t>
  </si>
  <si>
    <t>NO.</t>
  </si>
  <si>
    <t>Total</t>
  </si>
  <si>
    <t>Mengetahui</t>
  </si>
  <si>
    <t>I Wayan Sutapa</t>
  </si>
  <si>
    <t>Pemeliharaan Gedung/Prasarana Kantor Desa (Ruang Sekeretaris Desa)</t>
  </si>
  <si>
    <t>Pemeliharaan Gedung/Prasarana Kantor Desa (BPD)</t>
  </si>
  <si>
    <t>Pemeliharaan Gedung/Prasarana Kantor Desa (Kepala Dusun)</t>
  </si>
  <si>
    <t>Pemeliharaan Gedung/Prasarana Kantor Desa (Kaur Kasi)</t>
  </si>
  <si>
    <t>1.4.03.5.2</t>
  </si>
  <si>
    <t>1.4.03.5.2.1</t>
  </si>
  <si>
    <t>1.4.03.5.2.1.05</t>
  </si>
  <si>
    <t>1.4.03.5.2.1.06</t>
  </si>
  <si>
    <t>Konsumsi kotak 12 or x 11 hari</t>
  </si>
  <si>
    <t>1.4.03.5.2.2</t>
  </si>
  <si>
    <t>1.4.03.5.2.2.01</t>
  </si>
  <si>
    <t>Belanja Jasa Honorarium Tim yang melaksanakan kegiatan</t>
  </si>
  <si>
    <t>Honorarium tim verifikasi</t>
  </si>
  <si>
    <t>Anggota (30r x 1kl)</t>
  </si>
  <si>
    <t>Honorarium tim Penyusun</t>
  </si>
  <si>
    <t>Anggota 9 or x 3 bln</t>
  </si>
  <si>
    <t>Kader Teknik</t>
  </si>
  <si>
    <t>Penyusunan Dokumen Perencanaan Desa (RKP Desa 2024 )</t>
  </si>
  <si>
    <t>Bidang              :</t>
  </si>
  <si>
    <t>Pelaksanaan Pembangunan Desa</t>
  </si>
  <si>
    <t>Sub Bidang       :</t>
  </si>
  <si>
    <t>Pendidikan</t>
  </si>
  <si>
    <t>Penyelenggaraan PAUD/TK/TKA/ Madrasah Non Formal Milik Desa (Pengelolaan Taman Kanak - kanak  TK Kumara Sari VI )</t>
  </si>
  <si>
    <t>Kode</t>
  </si>
  <si>
    <t>2.1.01.5.2</t>
  </si>
  <si>
    <t>2.1.01.5.2.1</t>
  </si>
  <si>
    <t>2.1.01.5.2.1.01</t>
  </si>
  <si>
    <t>Oprasinal</t>
  </si>
  <si>
    <t>Spidol warna</t>
  </si>
  <si>
    <t xml:space="preserve">Buku Tulis </t>
  </si>
  <si>
    <t>Buku Agenda</t>
  </si>
  <si>
    <t>Tinta Spidol</t>
  </si>
  <si>
    <t>Stiker Label</t>
  </si>
  <si>
    <t>Tinta Hitam Printer</t>
  </si>
  <si>
    <t>Tinta Warna Printer</t>
  </si>
  <si>
    <t>Map plastik bening</t>
  </si>
  <si>
    <t>Map Kertas</t>
  </si>
  <si>
    <t>Isi Staples</t>
  </si>
  <si>
    <t>Penggaris</t>
  </si>
  <si>
    <t>Cetak Buku Ekspedisi</t>
  </si>
  <si>
    <t>Cetak Kartu SPP Anak</t>
  </si>
  <si>
    <t>Cetak MAP SKTB</t>
  </si>
  <si>
    <t>Pemeliharaan Printer</t>
  </si>
  <si>
    <t>Untuk Anak - Anak</t>
  </si>
  <si>
    <t>Map Plastik Kancing</t>
  </si>
  <si>
    <t>Buku Kotak</t>
  </si>
  <si>
    <t>Pensil</t>
  </si>
  <si>
    <t>Buku Tematik</t>
  </si>
  <si>
    <t>Paket</t>
  </si>
  <si>
    <t>palet cat</t>
  </si>
  <si>
    <t>Cotton Bud</t>
  </si>
  <si>
    <t>Manik - manik</t>
  </si>
  <si>
    <t>Benang Nilon</t>
  </si>
  <si>
    <t>Plastik Jilid</t>
  </si>
  <si>
    <t>2.1.01.5.2.1.02</t>
  </si>
  <si>
    <t xml:space="preserve">Belanja Perlengkapan Alat Listrik </t>
  </si>
  <si>
    <t>2.1.01.5.2.1.03</t>
  </si>
  <si>
    <t>Sabun pencuci Piring</t>
  </si>
  <si>
    <t>Sabun Cuci Tangan</t>
  </si>
  <si>
    <t>Cairan Pembersih Lantai</t>
  </si>
  <si>
    <t>Obat- Obatan P3K</t>
  </si>
  <si>
    <t>Cairan pembersih Kaca</t>
  </si>
  <si>
    <t>Lap Cuci Tangan</t>
  </si>
  <si>
    <t>Sapu Ijuk</t>
  </si>
  <si>
    <t>Kemoceng</t>
  </si>
  <si>
    <t xml:space="preserve">Alat pel </t>
  </si>
  <si>
    <t>Deterjen/Sabun cuci so klin</t>
  </si>
  <si>
    <t>Lap kaca/sekewis kaca</t>
  </si>
  <si>
    <t>Cairan pembersih porselin</t>
  </si>
  <si>
    <t>Sikat kamar mandi</t>
  </si>
  <si>
    <t>Tempat sampah</t>
  </si>
  <si>
    <t>Keranjang Plastik</t>
  </si>
  <si>
    <t>Taplak Meja</t>
  </si>
  <si>
    <t xml:space="preserve">Baterai </t>
  </si>
  <si>
    <t>Tisuu</t>
  </si>
  <si>
    <t>Lakban</t>
  </si>
  <si>
    <t>Cat Pewarna Makana</t>
  </si>
  <si>
    <t>2.1.01.5.2.1.06</t>
  </si>
  <si>
    <t>2.1.01.5.2.1.07</t>
  </si>
  <si>
    <t>Belanja Bahan / Material</t>
  </si>
  <si>
    <t>Kostum Pawai 17 Agustus</t>
  </si>
  <si>
    <t>Kostum Pawai Ogoh - ogoh</t>
  </si>
  <si>
    <t>2.1.01.5.2.1.08</t>
  </si>
  <si>
    <t>Bendera Merah putih</t>
  </si>
  <si>
    <t>2.1.01.5.2.1.09</t>
  </si>
  <si>
    <t>Belanja Pakaian Dinas/ Seragam/ Atribut</t>
  </si>
  <si>
    <t>2.1.01.5.2.1.90</t>
  </si>
  <si>
    <t xml:space="preserve">Canang Sehari - Hari </t>
  </si>
  <si>
    <t>tanding</t>
  </si>
  <si>
    <t>Banten Purnama</t>
  </si>
  <si>
    <t>Banten Tilem</t>
  </si>
  <si>
    <t>Banten Kajeng Kliwon</t>
  </si>
  <si>
    <t>Odalan (setiap saraswati)</t>
  </si>
  <si>
    <t>Pejati Kuningan</t>
  </si>
  <si>
    <t>Pejati sugian</t>
  </si>
  <si>
    <t>Pejati Galungan</t>
  </si>
  <si>
    <t>2.1.01.5.2.2</t>
  </si>
  <si>
    <t>2.1.01.5.2.2.04</t>
  </si>
  <si>
    <t>Belanja jasa honorarium Ahli/Profesi/Konsultan/Narasumber</t>
  </si>
  <si>
    <t>Honor Kepala Sekolah</t>
  </si>
  <si>
    <t>Honor Guru 1</t>
  </si>
  <si>
    <t>Honor Guru 2</t>
  </si>
  <si>
    <t>Honor Guru 3</t>
  </si>
  <si>
    <t>Honor Guru 4</t>
  </si>
  <si>
    <t>Honor Guru Extra (2orang)</t>
  </si>
  <si>
    <t>Honor Cleaning Service</t>
  </si>
  <si>
    <t>Tunjangan</t>
  </si>
  <si>
    <t>Kepala Sekolah</t>
  </si>
  <si>
    <t>Operator</t>
  </si>
  <si>
    <t>2.1.01.5.2.5</t>
  </si>
  <si>
    <t>Belanja Operasional perkantoran</t>
  </si>
  <si>
    <t>2.1.01.5.2.5.01</t>
  </si>
  <si>
    <t xml:space="preserve">Belanja jasa Langganan listrik </t>
  </si>
  <si>
    <t>2.1.01.5.2.5.02</t>
  </si>
  <si>
    <t>Belanja jasa langganan Air</t>
  </si>
  <si>
    <t>2.1.01.5.2.5.05</t>
  </si>
  <si>
    <t>2.2.02.5.2.2.04</t>
  </si>
  <si>
    <t>2.2.02.5.2.2</t>
  </si>
  <si>
    <t>Belanja Bendera/Umbul - umbul Spanduk</t>
  </si>
  <si>
    <t>2.2.02.5.2.1.08</t>
  </si>
  <si>
    <t>Konsumsi Kegiatan</t>
  </si>
  <si>
    <t>2.2.02.5.2.1.06</t>
  </si>
  <si>
    <t>Perlangakapan Alat Tulis Kantor dan Benda POS</t>
  </si>
  <si>
    <t>2.2.02.5.2.1.01</t>
  </si>
  <si>
    <t>Belanaja Barang Pelengkapan</t>
  </si>
  <si>
    <t>2.2.02.5.2.1</t>
  </si>
  <si>
    <t>2.2.02.5.2</t>
  </si>
  <si>
    <t>: Posyandu Remaja</t>
  </si>
  <si>
    <t xml:space="preserve">Kegiatan    </t>
  </si>
  <si>
    <t>: Kesehatan</t>
  </si>
  <si>
    <t>: Pelaksanaan Pembangunan Desa</t>
  </si>
  <si>
    <t xml:space="preserve">Bidang         </t>
  </si>
  <si>
    <t>2.2.02.5.2.2.05</t>
  </si>
  <si>
    <t>2.2.02.5.2.1.90</t>
  </si>
  <si>
    <t>Perawatan Timbangan Posyandu(13buah x 12bln)</t>
  </si>
  <si>
    <t>2.2.02.5.2.1.07</t>
  </si>
  <si>
    <t>: Penyelenggaraan Posyandu (Pemberian PMT)</t>
  </si>
  <si>
    <t>Honor Narasumber (2 orx 1kl)</t>
  </si>
  <si>
    <t>Belanja Jasa Honorarium Ahli/ Profesi/Konsultan/Narasumber</t>
  </si>
  <si>
    <t>: Penyelenggaraan POSyandu (Pos Gizi dan Ibu Hamil)</t>
  </si>
  <si>
    <t xml:space="preserve"> : Pelaksanaan Pembangunan Desa</t>
  </si>
  <si>
    <t xml:space="preserve">Sub Bidang          </t>
  </si>
  <si>
    <t xml:space="preserve"> :  Pengasuhan Bersama atau Bina Keluarga Lansia (Pelaksanaan Kegiatan Bina keluarga lansia BKL )</t>
  </si>
  <si>
    <t>Belanja Jasa Honorarium Tim yang Melaksanakan Kegiatan (TPK )</t>
  </si>
  <si>
    <t>: Penyuluhan dan Pelatihan Bidang Kesehatan (Pembinaan Kader POSyandu)</t>
  </si>
  <si>
    <t>2.2.03.5.2</t>
  </si>
  <si>
    <t>2.2.03.5.2.1</t>
  </si>
  <si>
    <t>2.2.03.5.2.1.06</t>
  </si>
  <si>
    <t>2.2.03.5.2.1.07</t>
  </si>
  <si>
    <t>2.2.03.5.2.1.08</t>
  </si>
  <si>
    <t>2.2.03.5.2.1.90</t>
  </si>
  <si>
    <t>Belanja Upakara, Upacara Dan Aci-Aci</t>
  </si>
  <si>
    <t>2.2.03.5.2.2</t>
  </si>
  <si>
    <t>2.2.03.5.2.2.04</t>
  </si>
  <si>
    <t>2.2.03.5.2.2.01</t>
  </si>
  <si>
    <t>: Penyuluhan dan Pelatihan Bidang Kesehatan(Sosialisasi Stunting)</t>
  </si>
  <si>
    <t xml:space="preserve">Sewa dekorasi </t>
  </si>
  <si>
    <t>Belanja Jasa Sewa Alat Perlengkapan</t>
  </si>
  <si>
    <t>2.2.03.5.2.4.02</t>
  </si>
  <si>
    <t>2.2.03.5.2.4</t>
  </si>
  <si>
    <t>Honor Narasumber (2or x 1kali)</t>
  </si>
  <si>
    <t>Belanja Alat Tulis Kantor dan Benda Pos</t>
  </si>
  <si>
    <t>2.2.03.5.2.1.01</t>
  </si>
  <si>
    <t>: Penyuluhan dan Pelatihan Bidang Kesehatan (Penyuluhan Narkoba dan HIV/AIDS)</t>
  </si>
  <si>
    <t>Belanja Barang perlengkapan</t>
  </si>
  <si>
    <t xml:space="preserve">Belanja Barang dan Jasa </t>
  </si>
  <si>
    <t>: Penyuluhan dan Pelatihan Bidang Kesehatan (Pemberian tambahan nutrisi bagi lansia)</t>
  </si>
  <si>
    <t xml:space="preserve">Kegiatan             </t>
  </si>
  <si>
    <t>Belanja Jasa Honorarium Tim yang Melaksanakan Kegiatan</t>
  </si>
  <si>
    <t>Kegiatan</t>
  </si>
  <si>
    <t>Belanja Jasa Honorarium Narasumber</t>
  </si>
  <si>
    <t>Belanja Barang Konsumsi</t>
  </si>
  <si>
    <t>: Penyuluhan dan Pelatihan Bidang Kesehatan (Posbindu)</t>
  </si>
  <si>
    <t>2.2.03.5.2.2.05</t>
  </si>
  <si>
    <t>Belanja Jasa Sewa Sarana/Perlengkapan</t>
  </si>
  <si>
    <t>Honor MC</t>
  </si>
  <si>
    <t>2.2.03.5.2.2..04</t>
  </si>
  <si>
    <t>Konsumsi Rapat (30 or x 1Kl)</t>
  </si>
  <si>
    <t>: Penyuluhan dan Pelatihan Bidang Kesehatan (Penyuluhan KB)</t>
  </si>
  <si>
    <t>Honor Pelatih / Instruktur (2or x 1kali )</t>
  </si>
  <si>
    <t>2.2.04.5.2.2.04</t>
  </si>
  <si>
    <t>2.2.04.5.2.2</t>
  </si>
  <si>
    <t>2.2.04.5.2.1.90</t>
  </si>
  <si>
    <t>2.2.04.5.2.1.08</t>
  </si>
  <si>
    <t>2.2.04.5.2.1.06</t>
  </si>
  <si>
    <t>2.2.04.5.2.1.01</t>
  </si>
  <si>
    <t>2.2.04.5.2.1</t>
  </si>
  <si>
    <t>2.2.04.5.2</t>
  </si>
  <si>
    <t>: Penyuluhan dan Pelatihan Bidang Kesehatan (Desa Siaga Kesehatan)</t>
  </si>
  <si>
    <t>Honor Tim yang Melaksanakan Kegiatan</t>
  </si>
  <si>
    <t xml:space="preserve"> :Pengasuhan Bersama atau Bina Keluarga Balita (Pembinaan  kader BKB)</t>
  </si>
  <si>
    <t>Ob</t>
  </si>
  <si>
    <t xml:space="preserve"> :  Pengasuhan Bersama atau Bina Keluarga Balita (Pembinaan Kegiatan Bina keluarga Remaja BKR )</t>
  </si>
  <si>
    <t xml:space="preserve"> :  Pengasuhan Bersama atau Bina Keluarga Remaja (Penyelenggaraan BKR)</t>
  </si>
  <si>
    <t xml:space="preserve"> :  Pengasuhan Bersama atau Bina Keluarga Balita (Pelaksanaan Kegiatan Bina keluarga Balita BKB )</t>
  </si>
  <si>
    <t>2.2.91.5.2.6.01</t>
  </si>
  <si>
    <t>Belanja pemeliharaan</t>
  </si>
  <si>
    <t>2.2.91.5.2.6</t>
  </si>
  <si>
    <t>2.2.91.5.2.2.05</t>
  </si>
  <si>
    <t>Belanja Jasa Honorarium Tim Yang Melaksanakan kegiatan</t>
  </si>
  <si>
    <t>2.2.91.5.2.2.01</t>
  </si>
  <si>
    <t>2.2.91.5.2.2</t>
  </si>
  <si>
    <t>Sarung Tangang Kain</t>
  </si>
  <si>
    <t>Ltr</t>
  </si>
  <si>
    <t>Obat</t>
  </si>
  <si>
    <t>2.2.91.5.2.1.07</t>
  </si>
  <si>
    <t>Ktk</t>
  </si>
  <si>
    <t>Belanja Perlengkapan Barang konsumsi</t>
  </si>
  <si>
    <t>2.2.91.5.2.1.06</t>
  </si>
  <si>
    <t>2.2.91.5.2.1</t>
  </si>
  <si>
    <t>2.2.91.5.2</t>
  </si>
  <si>
    <t>:  Foging Fokus</t>
  </si>
  <si>
    <t xml:space="preserve">Kegiatan   </t>
  </si>
  <si>
    <t xml:space="preserve">Bidang      </t>
  </si>
  <si>
    <t>Juara 3</t>
  </si>
  <si>
    <t>Juara 2</t>
  </si>
  <si>
    <t>Juara 1</t>
  </si>
  <si>
    <t>Hadiah</t>
  </si>
  <si>
    <t>2.2.92.5.2.7.90</t>
  </si>
  <si>
    <t>Belanja Barang dan Jasa Yang Di Serahkan</t>
  </si>
  <si>
    <t>2.2.92.5.2.7</t>
  </si>
  <si>
    <t>2.2.92.5.2.2.04</t>
  </si>
  <si>
    <t>2.2.92.5.2.2.01</t>
  </si>
  <si>
    <t>Belanaj Jasa Honorarium</t>
  </si>
  <si>
    <t>2.2.92.5.2.2</t>
  </si>
  <si>
    <t>Lampu Senter</t>
  </si>
  <si>
    <t xml:space="preserve">Tas </t>
  </si>
  <si>
    <t>Topi</t>
  </si>
  <si>
    <t>Belanja Pakaian Dinas / Seragam/ Atribut</t>
  </si>
  <si>
    <t>2.2.92.5.2.1.09</t>
  </si>
  <si>
    <t>2.2.92.5.2.1.08</t>
  </si>
  <si>
    <t>2.2.92.5.2.1.06</t>
  </si>
  <si>
    <t>2.2.92.5.2.1</t>
  </si>
  <si>
    <t>2.2.92.5.2</t>
  </si>
  <si>
    <t>Lomba PSN</t>
  </si>
  <si>
    <t>Gerakan Kebersihan Serentak</t>
  </si>
  <si>
    <t>: Gerakan Serentak PSN dan Lomba PSN</t>
  </si>
  <si>
    <t xml:space="preserve">: Pelaksanaan Pembangunan Desa  </t>
  </si>
  <si>
    <t>2.2.93.5.2.1.06</t>
  </si>
  <si>
    <t>2.2.93.5.2.1.01</t>
  </si>
  <si>
    <t>2.2.93.5.2.1</t>
  </si>
  <si>
    <t>2.2.93.5.2</t>
  </si>
  <si>
    <t>: Penyelengggaraan Rumah Desa Sehat</t>
  </si>
  <si>
    <t>Spanduk</t>
  </si>
  <si>
    <t>: Pelaksanaan pemulihan penanganan pandemi Covid 19</t>
  </si>
  <si>
    <t>Pembangunan Desa</t>
  </si>
  <si>
    <t>Pemeliharaan Jalan Usaha Tani (Subak Temaga Pembesian)</t>
  </si>
  <si>
    <t>Pemeliharaan Jalan Usaha Tani (Subak Temaga Bongkar Paving)</t>
  </si>
  <si>
    <t>Pemeliharaan Jalan Usaha Tani (Subak Temaga Urug Lime Stone)</t>
  </si>
  <si>
    <t>m3</t>
  </si>
  <si>
    <t>Pemeliharaan Jalan Usaha Tani (Subak Temaga Rabat Beton)</t>
  </si>
  <si>
    <t>Pemeliharaan Jalan Usaha Tani (Subak Temaga Pembetonan)</t>
  </si>
  <si>
    <t>Pemeliharaan Jalan Usaha Tani (Pasang Bekisting )</t>
  </si>
  <si>
    <t>TOTAL</t>
  </si>
  <si>
    <t>mobil</t>
  </si>
  <si>
    <t>Spare Part Ban Truk</t>
  </si>
  <si>
    <t>2.4.07.5.2.6.02</t>
  </si>
  <si>
    <t>2.4.07.5.2.6.01</t>
  </si>
  <si>
    <t>2.4.07.5.2.6</t>
  </si>
  <si>
    <t>Kir L300</t>
  </si>
  <si>
    <t>Samsat L300</t>
  </si>
  <si>
    <t>Belanja Berpanjang Ijin/Pajak</t>
  </si>
  <si>
    <t>2.4.07.5.2.5.07</t>
  </si>
  <si>
    <t>Belanja Operasional pekantoran</t>
  </si>
  <si>
    <t>2.4.07.5.2.5</t>
  </si>
  <si>
    <t>Belanja Honorarium Petugas</t>
  </si>
  <si>
    <t>2.4.07.5.2.2.05</t>
  </si>
  <si>
    <t>2.4.07.5.2.2</t>
  </si>
  <si>
    <t xml:space="preserve">pasang </t>
  </si>
  <si>
    <t>Sarung Tangan</t>
  </si>
  <si>
    <t>Jas Hujan Model Baju Celana</t>
  </si>
  <si>
    <t>Sekop Datar</t>
  </si>
  <si>
    <t>hari</t>
  </si>
  <si>
    <t>Belanja Bahan Dan Alat</t>
  </si>
  <si>
    <t>2.4.07.5.2.1.07</t>
  </si>
  <si>
    <t>Cetak Buku Register Pelanggan</t>
  </si>
  <si>
    <t>Cetak Karcis Sampah</t>
  </si>
  <si>
    <t>Belanja perlengkapan Cetak</t>
  </si>
  <si>
    <t>2.4.07.5.2.1.05</t>
  </si>
  <si>
    <t>2.4.07.5.2.1.04</t>
  </si>
  <si>
    <t>2.4.07.5.2.1</t>
  </si>
  <si>
    <t>2.4.07.5.2</t>
  </si>
  <si>
    <t>: Kegiatan Pengelolaan Sampah Tingkat Desa</t>
  </si>
  <si>
    <t xml:space="preserve">Kegiatan                            </t>
  </si>
  <si>
    <t>: Kawasan Pemukiman</t>
  </si>
  <si>
    <t xml:space="preserve">Sub Bidang                      </t>
  </si>
  <si>
    <t xml:space="preserve">Bidang                               </t>
  </si>
  <si>
    <t>: Pemeiliharaan Fasilitas Pengelolaan Sampah Desa/ Pemukiman ( Operasional Kegiatan Bank Sampah Desa)</t>
  </si>
  <si>
    <t>Belanja barang perlengkapan</t>
  </si>
  <si>
    <t>Serok</t>
  </si>
  <si>
    <t>Detergen</t>
  </si>
  <si>
    <t>Ember Besar</t>
  </si>
  <si>
    <t xml:space="preserve"> liter </t>
  </si>
  <si>
    <t>Belanja Pemeliharaan Peralatan</t>
  </si>
  <si>
    <t>Belanja Jasa Honor</t>
  </si>
  <si>
    <t>Belanja Tanaman Hias</t>
  </si>
  <si>
    <t>Belanja Bahan Bakar Minyak/Gas/Isi Ulang Tabung Pemadam Kebakaran</t>
  </si>
  <si>
    <t>Belanja Barang dan Jasa :</t>
  </si>
  <si>
    <t>: Operasional Tim Kebersihan Lingkungan</t>
  </si>
  <si>
    <t xml:space="preserve">Bidang                 </t>
  </si>
  <si>
    <t xml:space="preserve"> : Perhubungan, Komunikasi dan Informatika</t>
  </si>
  <si>
    <t xml:space="preserve">Kegiatan         </t>
  </si>
  <si>
    <t>: Penyelenggaraan Informasi Publik Desa ( Pembuatan dan Pemasangan Baliho APBDesa )</t>
  </si>
  <si>
    <t xml:space="preserve">  : 12 Bulan</t>
  </si>
  <si>
    <t>2.6.02.5.2</t>
  </si>
  <si>
    <t>2.6.02.5.2.1</t>
  </si>
  <si>
    <t>Belanaj Barang Perlengkapan</t>
  </si>
  <si>
    <t>2.6.02.5.2.1.05</t>
  </si>
  <si>
    <t>Belanja perlengkapan cetak/ pengadaan (Baliho APBDes)</t>
  </si>
  <si>
    <t>: Pembinaan Kemasyarakatan Desa</t>
  </si>
  <si>
    <t>: Ketentraman, Ketertiban Umum, dan Perlindungan Masyarakat</t>
  </si>
  <si>
    <t>:Koordinasi Pembinaan Ketentraman, Ketertiban, dan Perlindungan Masyarakat (Pengamanan Pengerupukan)</t>
  </si>
  <si>
    <t>3.1.03.5.2</t>
  </si>
  <si>
    <t>3.1.03.5.2.1</t>
  </si>
  <si>
    <t>3.1.03.5.2.1.06</t>
  </si>
  <si>
    <t>3.1.03.5.2.1.07</t>
  </si>
  <si>
    <t>3.1.03.5.2.2</t>
  </si>
  <si>
    <t>3.1.03.5.2.2.05</t>
  </si>
  <si>
    <t>: Koordinasi Pembinaan Ketentraman, Ketertiban, dan Perlindungan Masyarakat (Pengamanan Tahun Baru)</t>
  </si>
  <si>
    <t xml:space="preserve">Sub Bidang     </t>
  </si>
  <si>
    <t>: Ketentraman, Ketertiban umum, dan Perlindungan Masyarakat</t>
  </si>
  <si>
    <t xml:space="preserve">Kegiatan  </t>
  </si>
  <si>
    <t>: Penguatan Dan Peningkatan Kapasitas Tenaga Keamanan dan Ketertiban Oleh Pemerintah Desa( Pembinaan Linmas )</t>
  </si>
  <si>
    <t>3.1.05.5.2.1.90</t>
  </si>
  <si>
    <t>Belanja Jasa Honorarium Ahli/Profesi/Konsultan/ Narasumber</t>
  </si>
  <si>
    <t>: Penguatan dan peningkatan kapasitas tenaga keamanan/ketertiban oleh Pemerintah Desa (Penjagaan Linmas Desa)</t>
  </si>
  <si>
    <t>Belanja Bahan Bakar Minyak/ gas/ isi Ulang Tabung Pemadam Kebakaran</t>
  </si>
  <si>
    <t>Bahan Bakar Mobil Linmas 1Unit</t>
  </si>
  <si>
    <t>Tahun</t>
  </si>
  <si>
    <t>Bahan Bakar Motor Linmas (2 Unit)</t>
  </si>
  <si>
    <t>unit/Tahun</t>
  </si>
  <si>
    <t>Soroh</t>
  </si>
  <si>
    <t>Honor Petugas jaga/patroli (linmas) (7or x 365 hari)</t>
  </si>
  <si>
    <t>Spare part Motor Linmas 2 Unit x 1 tahun</t>
  </si>
  <si>
    <t>Spare Part Mobil Linmas</t>
  </si>
  <si>
    <t>: Bidang Kelembagaan Masyarakat</t>
  </si>
  <si>
    <t>: Pembinaan PKK  ( Pembinaan administrasi )</t>
  </si>
  <si>
    <t xml:space="preserve">Banten  Caru </t>
  </si>
  <si>
    <t xml:space="preserve">Penjor </t>
  </si>
  <si>
    <t xml:space="preserve">Soda alit </t>
  </si>
  <si>
    <t>ekor</t>
  </si>
  <si>
    <t xml:space="preserve">Ulam Upakara </t>
  </si>
  <si>
    <t xml:space="preserve">Banten Ayaban </t>
  </si>
  <si>
    <t xml:space="preserve">Banten Pengulapan </t>
  </si>
  <si>
    <t xml:space="preserve">Banten Prayascita </t>
  </si>
  <si>
    <t xml:space="preserve">Banten Durmangala </t>
  </si>
  <si>
    <t xml:space="preserve">Banten Baye Kawonan </t>
  </si>
  <si>
    <t xml:space="preserve">Pejati </t>
  </si>
  <si>
    <t>Belanja Upakara dan Upacara</t>
  </si>
  <si>
    <t>3.2.90.5.2.1.90</t>
  </si>
  <si>
    <t>3.2.90.5.2.1.06</t>
  </si>
  <si>
    <t>3.2.90.5.2.1</t>
  </si>
  <si>
    <t>3.2.90.5.2</t>
  </si>
  <si>
    <t xml:space="preserve"> : Pembinaan Adat dan Keagamaan (Piodalan Padmasana)</t>
  </si>
  <si>
    <t xml:space="preserve"> :  Kebudayaan dan Kegamaan</t>
  </si>
  <si>
    <t xml:space="preserve"> : Pembinaan Kemasyarakatan Desa     </t>
  </si>
  <si>
    <t>Banten Saraswati</t>
  </si>
  <si>
    <t>Baten Rerahina Kuningan</t>
  </si>
  <si>
    <t xml:space="preserve">Baten Rerahina Galungan </t>
  </si>
  <si>
    <t>Baten Rerahina Sugian</t>
  </si>
  <si>
    <t>Pejati Tumpek</t>
  </si>
  <si>
    <t>Upakara Pejati Purnama Tilem (kecuali tilem ke 10)</t>
  </si>
  <si>
    <t>Hari Raya Suci Keagamaan)</t>
  </si>
  <si>
    <t>: Pembinaan Adat dan Keagamaan (Upakara dan Upacara)</t>
  </si>
  <si>
    <t>:  Kebudayaan dan Kegamaan</t>
  </si>
  <si>
    <t xml:space="preserve">:  Pembinaan Kemasyarakatan Desa     </t>
  </si>
  <si>
    <t xml:space="preserve">Sumber Dana       </t>
  </si>
  <si>
    <t xml:space="preserve"> : Penunjang Oprasional Subak/Subak Abian (BKKProvinsi)</t>
  </si>
  <si>
    <t>Waktu Pelaksanaan       : 12 Bulan</t>
  </si>
  <si>
    <t>3.2.91.5.2</t>
  </si>
  <si>
    <t>3.2.91.5.2.7</t>
  </si>
  <si>
    <t>3.2.91.5.2.7.01</t>
  </si>
  <si>
    <t>Belanaja Barang  Yang Diserahkan</t>
  </si>
  <si>
    <t>Untuk menunjang kegitan Subak</t>
  </si>
  <si>
    <t>Subak</t>
  </si>
  <si>
    <t xml:space="preserve"> : Penunjang Oprasional Desa Pakraman(BKK Kota)</t>
  </si>
  <si>
    <t>3.2.94.5.2.7</t>
  </si>
  <si>
    <t>3.2.94.5.2.7.01</t>
  </si>
  <si>
    <t>Untuk menunjang kegiatan Desa pekraman</t>
  </si>
  <si>
    <t>Desa Pakraman</t>
  </si>
  <si>
    <t>Untuk menunjang kegiatan  Banjar Adat</t>
  </si>
  <si>
    <t xml:space="preserve"> Banjar Adat</t>
  </si>
  <si>
    <t xml:space="preserve">: Pembinaan Kemasyarakatan Desa     </t>
  </si>
  <si>
    <t>: Kepemudaan Dan Olah Raga</t>
  </si>
  <si>
    <t>: Penunjang Kegiatan Ekonomi Produktif untuk Sekeha Teruna (BKK Kota)</t>
  </si>
  <si>
    <t>: Penyelenggaraan festival/ lomba kepemudaan dan olahraga tingat Desa (FORMI DESA )</t>
  </si>
  <si>
    <t>pasang</t>
  </si>
  <si>
    <t>Belanja Jasa Atlit dan Seniman Berprestasi</t>
  </si>
  <si>
    <t>Juara  I</t>
  </si>
  <si>
    <t>Juara  II</t>
  </si>
  <si>
    <t>Juara  III</t>
  </si>
  <si>
    <t>: Pengiriman Kontingen Kepemudaan dan olahraga sebagai wakil desa di tingkat kecamatan dan kabupaten/ kota ( FORMI)</t>
  </si>
  <si>
    <t>: Penyelenggaraan Festival Kesenian, Adat / Kebudayaan, dan Keagamaan (Nganyarin)</t>
  </si>
  <si>
    <t>: Pembinaan Lembaga Kemasyarakatan</t>
  </si>
  <si>
    <t>: Pelatihan Pembinaan Lembaga Kemasyarakatan (Bulan bakti Gotong royong LPM)</t>
  </si>
  <si>
    <t>3.4.02.5.2</t>
  </si>
  <si>
    <t>Belanja Barang  Dan Jasa</t>
  </si>
  <si>
    <t>3.4.02.5.2.1</t>
  </si>
  <si>
    <t>3.4.02.5.2.1.06</t>
  </si>
  <si>
    <t>3.4.02.5.2.1.08</t>
  </si>
  <si>
    <t>3.4.02.5.2.1.09</t>
  </si>
  <si>
    <t>3.4.02.5.2.1.90</t>
  </si>
  <si>
    <t>3.4.02.5.2.7</t>
  </si>
  <si>
    <t>3.4.02.5.2.7.01</t>
  </si>
  <si>
    <t>3.4.03.5.2.2</t>
  </si>
  <si>
    <t>3.4.03.5.2.1.08</t>
  </si>
  <si>
    <t>3.4.03.5.2.1.06</t>
  </si>
  <si>
    <t>3.4.03.5.2</t>
  </si>
  <si>
    <t>: Pembinaan PKK (peningkatan kepatuhan keluarga dalam pengurangan penyebaran covid 19)</t>
  </si>
  <si>
    <t>: Kelembagaan Masyarakat</t>
  </si>
  <si>
    <t>Honor Tim Pelaksana Kegiatan</t>
  </si>
  <si>
    <t>Berias Peserta</t>
  </si>
  <si>
    <t>Belanja Bahan Material</t>
  </si>
  <si>
    <t>Belanja Barang Perlengkapan Barang Konsumsi</t>
  </si>
  <si>
    <t>Pengiriman Peserta Bulan Bahasa Bali Ke Kota</t>
  </si>
  <si>
    <t>Piagam Juri Bulan Bahasa Bali</t>
  </si>
  <si>
    <t>Piagam Pemenang Bulan Bahasa Bali</t>
  </si>
  <si>
    <t>Piagam Peserta Bulan Bahasa Bali</t>
  </si>
  <si>
    <t>Piagam</t>
  </si>
  <si>
    <t xml:space="preserve">Piala Tropy Ukir Kayu </t>
  </si>
  <si>
    <t>Piala</t>
  </si>
  <si>
    <t xml:space="preserve">Juara III </t>
  </si>
  <si>
    <t xml:space="preserve">Juara II </t>
  </si>
  <si>
    <t xml:space="preserve">Juara I </t>
  </si>
  <si>
    <t>Hadiah Lomba Bulan Bahasa Bali</t>
  </si>
  <si>
    <t>Sewa Dekorasi</t>
  </si>
  <si>
    <t>Sewa Tempat</t>
  </si>
  <si>
    <t>Belanja Jasa Sewa Perlengkapan</t>
  </si>
  <si>
    <t>Honor MC + Riasan</t>
  </si>
  <si>
    <t>Honor Juri</t>
  </si>
  <si>
    <t>Belanja Jasa Honorarium Ahli Profesi/Konsultan/Narasumber</t>
  </si>
  <si>
    <t>Belanja Bendera/Umbul - umbul/Spanduk</t>
  </si>
  <si>
    <t>Uraian</t>
  </si>
  <si>
    <t>No</t>
  </si>
  <si>
    <t xml:space="preserve">  : Penyelenggaraan Festival Kesenian, Adat / Kebudayaan, dan Keagamaan (Penyelenggaraan Bulan Bahasa Bali dan Festival Dharma Gita)</t>
  </si>
  <si>
    <t xml:space="preserve">  : Bidang Kebudayaan dan Keagamaan</t>
  </si>
  <si>
    <t xml:space="preserve">  : Pembinaan Kemasyarakatan Desa</t>
  </si>
  <si>
    <t>:Pelatihan Pembinaan Lembaga Kemasyarakatan (Input data  Dasawisma)</t>
  </si>
  <si>
    <t>3.3.02.5.2.7.91</t>
  </si>
  <si>
    <t>3.3.02.5.2.7</t>
  </si>
  <si>
    <t>3.3.02.5.2</t>
  </si>
  <si>
    <t>3.3.02.5.2.2.04</t>
  </si>
  <si>
    <t>3.3.02.5.2.2</t>
  </si>
  <si>
    <t>3.3.02.5.2.1.06</t>
  </si>
  <si>
    <t>3.3.02.5.2.1</t>
  </si>
  <si>
    <t>: Pembinaan Grup Kesenian dan Kebudayaan ( Pembinaan dan Lomba Megenjekan ) dalam rangka HLUN</t>
  </si>
  <si>
    <t>3.3.02.5.2.01.07</t>
  </si>
  <si>
    <t>3.3.02.5.2.01.06</t>
  </si>
  <si>
    <t>3.3.02.5.2.01</t>
  </si>
  <si>
    <t xml:space="preserve">: Pelatihan dan Lomba Menghias Tumpeng ( Ketua dan Sekretaris PKK ) Ke Kota </t>
  </si>
  <si>
    <t>Belanja Jasa Honor Tim yang Melaksanakan Kegiatan</t>
  </si>
  <si>
    <t>: Pembinaan Kesenian, Adat, Kebudayaan, dan Keagamaan ( Pembinaan Sekaa Seni Bondres dan Joged )</t>
  </si>
  <si>
    <t>Belanja Jasa Seniman dan Atlit Berprestasi</t>
  </si>
  <si>
    <t>Belanja Barang Dan Jasa yang Diserahkan Kepada Masyarakat</t>
  </si>
  <si>
    <t>Belanja Spanduk kegiatan</t>
  </si>
  <si>
    <t>Belanja Sepanduk</t>
  </si>
  <si>
    <t>Belanja Honorarium Pelatih/Narasumber</t>
  </si>
  <si>
    <t>:Penyelenggaraan Pembinaan dan Lomba Balita Sehat</t>
  </si>
  <si>
    <t>RENCANA KERJA PEMERINTAH DESA (RKP)</t>
  </si>
  <si>
    <t>DESA</t>
  </si>
  <si>
    <t>: PENATIH DANGIN PURI</t>
  </si>
  <si>
    <t>KECAMATAN</t>
  </si>
  <si>
    <t>: DENPASAR TIMUR</t>
  </si>
  <si>
    <t>KOTA</t>
  </si>
  <si>
    <t>: DENPASAR</t>
  </si>
  <si>
    <t>PROVINSI</t>
  </si>
  <si>
    <t>: BALI</t>
  </si>
  <si>
    <t>Bidang/Jenis Kegiatan</t>
  </si>
  <si>
    <t>Mendukung SDGs Ke-</t>
  </si>
  <si>
    <t>Data Eksisting Tahun Berjalan</t>
  </si>
  <si>
    <t>Lokasi</t>
  </si>
  <si>
    <t>Volume &amp; Satuan</t>
  </si>
  <si>
    <t>Penerima Manfaat</t>
  </si>
  <si>
    <t>Biaya dan Sumber Pembiayaan</t>
  </si>
  <si>
    <t>Pola Pelaksanaan (Swakelola/Kerjasama Antar Desa/Kerjasama Pihak Ketiga)</t>
  </si>
  <si>
    <t>Keterangan</t>
  </si>
  <si>
    <t>Bidang</t>
  </si>
  <si>
    <t>Jenis Kegiatan</t>
  </si>
  <si>
    <t>Jlh (Rp)</t>
  </si>
  <si>
    <t>Sumber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</si>
  <si>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</si>
  <si>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</si>
  <si>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</si>
  <si>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</si>
  <si>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</si>
  <si>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</si>
  <si>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</si>
  <si>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</si>
  <si>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</si>
  <si>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</si>
  <si>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</si>
  <si>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</si>
  <si>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n</t>
  </si>
  <si>
    <t>o</t>
  </si>
  <si>
    <t>Desa Penatih Dangin Puri</t>
  </si>
  <si>
    <t>12 kali</t>
  </si>
  <si>
    <t>APBDesa</t>
  </si>
  <si>
    <t>Swakelola</t>
  </si>
  <si>
    <t>1kali</t>
  </si>
  <si>
    <t>Jumlah Per Bidang 1</t>
  </si>
  <si>
    <t>Jumlah Per Bidang II</t>
  </si>
  <si>
    <t>Pembinaan Kemasyarakatan</t>
  </si>
  <si>
    <t>Jumlah Per Bidang III</t>
  </si>
  <si>
    <t>Pemberdayaan Masyarakat</t>
  </si>
  <si>
    <t>Jumlah Per Bidang IV</t>
  </si>
  <si>
    <t>Disusun Oleh:</t>
  </si>
  <si>
    <t>( I Wayan Kamar )</t>
  </si>
  <si>
    <t>( I Wayan Sutapa )</t>
  </si>
  <si>
    <t>3.2.02.5.2.2.01</t>
  </si>
  <si>
    <t xml:space="preserve">Pembentukan Lembaga Perlindungan Perempuan dan anak </t>
  </si>
  <si>
    <t xml:space="preserve"> : Pembinaan Adat dan Keagamaan  ( Pemlaspasan TPS 3R )</t>
  </si>
  <si>
    <t>: Pelatihan Kelompok Madu Kele-Kele</t>
  </si>
  <si>
    <t>: Kepemudaan dan Olah raga</t>
  </si>
  <si>
    <t>: Penyelenggaraan Pelatihan kepemudaan  ( Pelatihan dan Lomba Pidato tentang menumbuhkan generasi muda penerus bung karno (STT/Siswa Remaja) dan Pelatihan dan Lomba Menyanyikan Lagu Wajib (Anak SD, SMP dan SMA) Dalan Rangka Bulan Bung Karno )</t>
  </si>
  <si>
    <t>3.3.02.5.2.08</t>
  </si>
  <si>
    <t>3.3.02.5.2.90</t>
  </si>
  <si>
    <t>Piagam Peserta</t>
  </si>
  <si>
    <t>Piagam Pemenang</t>
  </si>
  <si>
    <t>Piagam Juri</t>
  </si>
  <si>
    <t>Belanja Jasa Sewa Peralatan perlengkapan</t>
  </si>
  <si>
    <t>Belanja Honorarium Pelatih</t>
  </si>
  <si>
    <t>12kali</t>
  </si>
  <si>
    <t>8 kali</t>
  </si>
  <si>
    <t>13 kali</t>
  </si>
  <si>
    <t>1 Kali</t>
  </si>
  <si>
    <t>1 kali</t>
  </si>
  <si>
    <t>3kali</t>
  </si>
  <si>
    <t>4kali</t>
  </si>
  <si>
    <t>2kali</t>
  </si>
  <si>
    <t>: Pembinaan LKMD / LPM / LPMD (Pelatihan LPM)</t>
  </si>
  <si>
    <t>3.4.02.5.2.2</t>
  </si>
  <si>
    <t>3.4.02.5.2.2.04</t>
  </si>
  <si>
    <t>Narasumber  (2or x 1kali)</t>
  </si>
  <si>
    <t>Penyelenggaraan Pembangunan Desa</t>
  </si>
  <si>
    <t>Sosialisasi tentang Lingkungan Hidup dan Kehutanan ( Sosialisasi Pemilihan Sampah Rumah Tangga)</t>
  </si>
  <si>
    <t>2.5.03.5.2</t>
  </si>
  <si>
    <t>2.5.03.5.2.1</t>
  </si>
  <si>
    <t>2.5.03.5.2.1.06</t>
  </si>
  <si>
    <t>2.5.03.5.2.1.08</t>
  </si>
  <si>
    <t>Honorararium Pelatih/Narasumber</t>
  </si>
  <si>
    <t>: Penyusunan/ Pendataan/Pemuktahiran Profil Desa (Pendataan SDGs Desa )</t>
  </si>
  <si>
    <t>4.3.03.5.2.1.90</t>
  </si>
  <si>
    <t>canang</t>
  </si>
  <si>
    <t>8kali</t>
  </si>
  <si>
    <t>1Kali</t>
  </si>
  <si>
    <t>TAHUN 2023</t>
  </si>
  <si>
    <t>Pembangunan/Rehabilitasi/Peningkatan Fasilitas Pengelolaan Sampah Desa/Permukiman (Membuat Eco Enzym)</t>
  </si>
  <si>
    <t>Sub Bidang</t>
  </si>
  <si>
    <t>: Pemeliharaan Prasarana Jalan Desa (Penggelontoran Gorong Gorong ,saluran air subak Taman Munduk Uma DiwangPKTD)</t>
  </si>
  <si>
    <t>: Pemeliharaan Prasarana Jalan Desa (Penggelontoran Gorong Gorong ,saluran air sepanjang jalan siulan)</t>
  </si>
  <si>
    <t>:  Penyelenggaraan Pelatihan Kepemudaan (Pembinaan dan Lomba Sate Renteng STT Memperigati Hut Kota Denpasar)</t>
  </si>
  <si>
    <t>Pemeliharaan Taman/Taman Bermain Anak Milik Desa (Penanaman Bunga Jempiring)</t>
  </si>
  <si>
    <t>PembangunanFasilitas Pengelolaan Sampah Desa (Pembuatan Teba Modern)</t>
  </si>
  <si>
    <t>Pemeliharaan Sarana dan Prasarana TK Milik Desa (Water Profing)</t>
  </si>
  <si>
    <t>: Pelatihan untuk Perikanan Darat (Pelatihan Membuat Pakan Ikan Lele)  **</t>
  </si>
  <si>
    <t xml:space="preserve">: Pelatihan/ Penyuluhan Pemberdayaan Perempuan (Pelatihan Serati Banten untuk PKK Desa ) </t>
  </si>
  <si>
    <t>: Pengelolaan Administrasi dan Kearsipan pemerintahan Desa ( Pelatihan )</t>
  </si>
  <si>
    <t>TAHUN 2022</t>
  </si>
  <si>
    <t>Mendukung SDGs Desa Ke-</t>
  </si>
  <si>
    <t xml:space="preserve">Data Eksisting Tahun Berjalan </t>
  </si>
  <si>
    <t xml:space="preserve">Lokasi </t>
  </si>
  <si>
    <t>Prakiraan Volume &amp; Satuan</t>
  </si>
  <si>
    <t>Prakiraan Biaya dan Sumber Pembiayaan</t>
  </si>
  <si>
    <t>Urutan Prioritas</t>
  </si>
  <si>
    <t>Nama Program/Kegiatan</t>
  </si>
  <si>
    <t>L</t>
  </si>
  <si>
    <t>P</t>
  </si>
  <si>
    <t>RTM</t>
  </si>
  <si>
    <t>Jumlah (Rp)</t>
  </si>
  <si>
    <t>Pemeliharaan Sarana dan Prasarana TK Milik Desa (Pembangunan Ruang Komputer)</t>
  </si>
  <si>
    <t>PembangunanFasilitas Pengelolaan Sampah Desa (Pekerjaan Pendukung dan Halaman TPS 3R)</t>
  </si>
  <si>
    <t>: Penguatan Ketahanan Pangan Tingkat Desa ( lumbung Desa dll)</t>
  </si>
  <si>
    <t>Foto copy</t>
  </si>
  <si>
    <t>DAFTAR USULAN RKP DESA</t>
  </si>
  <si>
    <t xml:space="preserve">DESA                </t>
  </si>
  <si>
    <t>Penatih Dangin Puri</t>
  </si>
  <si>
    <t xml:space="preserve">KECAMATAN   </t>
  </si>
  <si>
    <t>Denpasar Timur</t>
  </si>
  <si>
    <t xml:space="preserve">KABUPATEN    </t>
  </si>
  <si>
    <t>Kota Denpasar</t>
  </si>
  <si>
    <t xml:space="preserve">PROVINSI        </t>
  </si>
  <si>
    <t>Bali</t>
  </si>
  <si>
    <t>Sasaran/ Manfaat</t>
  </si>
  <si>
    <t>Prakiraan Waktu Pelaksanaan</t>
  </si>
  <si>
    <t>Perkiraan Jumlah Biaya</t>
  </si>
  <si>
    <t>Sumber Pembiayaan</t>
  </si>
  <si>
    <t>1Set</t>
  </si>
  <si>
    <t>APBD Kota</t>
  </si>
  <si>
    <t>Memperlancar sarana tranportasi masyarakat</t>
  </si>
  <si>
    <t>Jumlah Per Bidang 2</t>
  </si>
  <si>
    <t>Jumlah Per Bidang 3</t>
  </si>
  <si>
    <t>Jumlah Per Bidang 4</t>
  </si>
  <si>
    <t>JUMLAH TOTAL</t>
  </si>
  <si>
    <t>Kepala Desa</t>
  </si>
  <si>
    <t>: Penyertaan Modal BUMDesa</t>
  </si>
  <si>
    <t>: Pelatihan Tukang (Pelatihan Baja Ringan)</t>
  </si>
  <si>
    <t xml:space="preserve"> :Pendampingan calon pengantin</t>
  </si>
  <si>
    <t>Pendampingan Calon Pengantin</t>
  </si>
  <si>
    <t>25kali</t>
  </si>
  <si>
    <t>Jumlah Bidang I</t>
  </si>
  <si>
    <t>30 kali</t>
  </si>
  <si>
    <t>Jumlah Bidang II</t>
  </si>
  <si>
    <t>Jumlah Bidang III</t>
  </si>
  <si>
    <t>Jumlah Bidang IV</t>
  </si>
  <si>
    <t>DAFTAR USULAN MASYARAKAT DIPILIH BERDASARKAN SDGs</t>
  </si>
  <si>
    <t>Mendukung SDGs Ke</t>
  </si>
  <si>
    <t>Usulan Kegiatan</t>
  </si>
  <si>
    <t>Pengusul</t>
  </si>
  <si>
    <t>Lokasi Kegiatan</t>
  </si>
  <si>
    <t>prakiraan Volume &amp;Satuan</t>
  </si>
  <si>
    <t>( 1 ) Desa Tanpa Kemiskinan</t>
  </si>
  <si>
    <t>Pemerintahan Desa</t>
  </si>
  <si>
    <t>BUMDesa</t>
  </si>
  <si>
    <t>Masyarakat</t>
  </si>
  <si>
    <t>( 2 ) Desa Tanpa Kelaparan</t>
  </si>
  <si>
    <t>Pemerintah Desa</t>
  </si>
  <si>
    <t>( 3 ) Desa Sehat Sejahtera</t>
  </si>
  <si>
    <t>TK Kumara Sari VI</t>
  </si>
  <si>
    <t>( 4 ) Pendidikan Desa Berkualitas</t>
  </si>
  <si>
    <t>( 5 ) Keterlibatan Perempuan Desa</t>
  </si>
  <si>
    <t>(6) Desa Layak Air Bersih Dan Sanitasi</t>
  </si>
  <si>
    <t>(7) Desa Berenergi Bersih Dan Terbarukan</t>
  </si>
  <si>
    <t>(8) Pertumbuhan Ekonomi Desa Merata</t>
  </si>
  <si>
    <t xml:space="preserve">(9) Infrastruktur Dan Inovasi Desa Sesuai Kebutuhan  </t>
  </si>
  <si>
    <t xml:space="preserve">(10) Desa Tanpa Kesenjangan  </t>
  </si>
  <si>
    <t>(11) Kawasan Pemukiman Desa Aman Dan Nyaman</t>
  </si>
  <si>
    <t>(12) Konsumsi Dan Produksi Desa Sadar Lingkungan</t>
  </si>
  <si>
    <t>(13) Desa Tanggap Perubahan Iklim</t>
  </si>
  <si>
    <t>(14) Desa Peduli Lingkungan Laut</t>
  </si>
  <si>
    <t>(15) Desa Peduli Lingkungan Darat</t>
  </si>
  <si>
    <t>(16) Desa Damai Bekeadilan</t>
  </si>
  <si>
    <t>(17) Kemitraan Untuk pembangunan Desa</t>
  </si>
  <si>
    <t>(18) Kelembagaan Desa Dinamis Dan Budaya Desa Adaktif</t>
  </si>
  <si>
    <t>Mengetahui,</t>
  </si>
  <si>
    <t>Tim Penyusun RKP Desa</t>
  </si>
  <si>
    <t>BPD</t>
  </si>
  <si>
    <t>Kader Posyandu</t>
  </si>
  <si>
    <t>Posyandu</t>
  </si>
  <si>
    <t>posyandu</t>
  </si>
  <si>
    <t>Bina Keluarga Balita</t>
  </si>
  <si>
    <t>Bina Keluarga lansia</t>
  </si>
  <si>
    <t>kader lansia</t>
  </si>
  <si>
    <t>Kader Posbindu</t>
  </si>
  <si>
    <t>masyarakat</t>
  </si>
  <si>
    <t>Kader BKB</t>
  </si>
  <si>
    <t>Kader BKR</t>
  </si>
  <si>
    <t>kader RDS</t>
  </si>
  <si>
    <t>Linmas</t>
  </si>
  <si>
    <t>PKK</t>
  </si>
  <si>
    <t>LPM</t>
  </si>
  <si>
    <t>Bumdesa</t>
  </si>
  <si>
    <t>linmas</t>
  </si>
  <si>
    <t>Pkk</t>
  </si>
  <si>
    <t xml:space="preserve">: Pelatihan/ Penyuluhan Pemberdayaan Perempuan (Pelatihan Pembuatan Jamu Tradisional Desa ) </t>
  </si>
  <si>
    <t>: Penguatan Dan Peningkatan Kapasitas Tenaga Keamanan dan Ketertiban Oleh Pemerintah Desa( Pembentukan tim tanggap bencana )</t>
  </si>
  <si>
    <t>Penjaringan dan Penyaringan Perangkat Desa/Staf</t>
  </si>
  <si>
    <t>Konsumsi Rapat (35 or x  2 kali )</t>
  </si>
  <si>
    <t>DAFTAR RENCANA KERJASAMA ANTAR DESA</t>
  </si>
  <si>
    <t xml:space="preserve">Prakiraan Biaya dan Sumber pembiayaan yang Ditanggung Desa </t>
  </si>
  <si>
    <t>Prakiraan Biaya Dan Sumber pembiayaan yang Ditanggung Desa Lain</t>
  </si>
  <si>
    <t>Nama Program/ Kegiatan</t>
  </si>
  <si>
    <t>Nama Desa Lain</t>
  </si>
  <si>
    <t>I</t>
  </si>
  <si>
    <t>Jumlah Per Bidang I</t>
  </si>
  <si>
    <t>II</t>
  </si>
  <si>
    <t>III</t>
  </si>
  <si>
    <t>IV</t>
  </si>
  <si>
    <t>Penatih Dangin Puri,….</t>
  </si>
  <si>
    <t>LAPORAN PERKEMBANGAN PELAKSANAAN KEGIATAN PEMBANGUNAN DESA</t>
  </si>
  <si>
    <t>BULAN:……………………………………………..TAHUN:…………………………………………………</t>
  </si>
  <si>
    <t>:……………………………</t>
  </si>
  <si>
    <t>KABUPATEN</t>
  </si>
  <si>
    <t>Biaya (Rp)</t>
  </si>
  <si>
    <t>Realisasi Penerima Manfaat</t>
  </si>
  <si>
    <t>Rencana Waktu</t>
  </si>
  <si>
    <t>Progres Kegiatan</t>
  </si>
  <si>
    <t>Laki-Laki</t>
  </si>
  <si>
    <t>Perempuan</t>
  </si>
  <si>
    <t>Jumlah Hari</t>
  </si>
  <si>
    <t>Tanggal Mulai</t>
  </si>
  <si>
    <t>Fisik %</t>
  </si>
  <si>
    <t>p</t>
  </si>
  <si>
    <t xml:space="preserve">Penyelenggaraan Pemerintahan Desa </t>
  </si>
  <si>
    <t>Desa……….Tanggal…………………</t>
  </si>
  <si>
    <t>Pelaksana Kegiatan……………………</t>
  </si>
  <si>
    <t>(………………………..)</t>
  </si>
  <si>
    <t>(……………………………….)</t>
  </si>
  <si>
    <t>DAFTAR RENCANA KERJASAMA PIHAK KETIGA</t>
  </si>
  <si>
    <t>Nama program /Kegiatan</t>
  </si>
  <si>
    <t>Jumlah Dana Indikatif ( Rp )</t>
  </si>
  <si>
    <t>PADesa</t>
  </si>
  <si>
    <t>Dana Desa (APBN)</t>
  </si>
  <si>
    <t>Alokasi Dana Desa (Bagian Dana Perimbangan Kota)</t>
  </si>
  <si>
    <t>Dana Bagian Dari Hasil pajak Dan Restibusi</t>
  </si>
  <si>
    <t>Bantuan Keuangan</t>
  </si>
  <si>
    <t xml:space="preserve">Sumber Keuangan lainya Yang Sah Dan Tidak Mengikat </t>
  </si>
  <si>
    <t>APBD Provinsi</t>
  </si>
  <si>
    <t>Pendapatan Trasfer</t>
  </si>
  <si>
    <t>Penatih Dangin Puri,21 Oktober 2022</t>
  </si>
  <si>
    <t>Tim Penyusun RKP Desa Tahun 2023</t>
  </si>
  <si>
    <t>Penatih Dangin Puri, 21 Oktober 2022</t>
  </si>
  <si>
    <t>Perbekel  Penatih Dangin Puri</t>
  </si>
  <si>
    <t>ADD</t>
  </si>
  <si>
    <t>Dana Desa</t>
  </si>
  <si>
    <t>BHP</t>
  </si>
  <si>
    <t>PAD</t>
  </si>
  <si>
    <t xml:space="preserve">Desa Penatih Dangin Puri, </t>
  </si>
  <si>
    <t>: Tambahan  Penghasilan Perangkat Desa dari BKK</t>
  </si>
  <si>
    <t>Skedes</t>
  </si>
  <si>
    <t>Kasi 3orx12bln</t>
  </si>
  <si>
    <t>Kaur 3orx12</t>
  </si>
  <si>
    <t>Kadus 8or x 12</t>
  </si>
  <si>
    <t>Konsumsi kotak 80or x 4 kali Musdes</t>
  </si>
  <si>
    <t>Plastisin</t>
  </si>
  <si>
    <t>Belanja Tablet Penambah Darah</t>
  </si>
  <si>
    <t>Pepel</t>
  </si>
  <si>
    <t>Belanja Perlengkapan Alat Tulis Kantor Dan Benda Pos</t>
  </si>
  <si>
    <t>Sewa Bondres</t>
  </si>
  <si>
    <t>2.2.93.5.2.2</t>
  </si>
  <si>
    <t>Honorarium TPPS (4or x 4kl)</t>
  </si>
  <si>
    <t xml:space="preserve">Solar L300  </t>
  </si>
  <si>
    <t>Pemeliharaan Bak Truk</t>
  </si>
  <si>
    <t>:Koordinasi Pembinaan Ketentraman, Ketertiban, dan Perlindungan Masyarakat (Penjagaan Linmas Desa)</t>
  </si>
  <si>
    <t>3.1.03.5.2.1.05</t>
  </si>
  <si>
    <t>3.1.03.5.2.1.04</t>
  </si>
  <si>
    <t>3.1.03.5.2.2.01</t>
  </si>
  <si>
    <t>3.1.03.5.2.2.04</t>
  </si>
  <si>
    <t>3.1.03.5.2.6</t>
  </si>
  <si>
    <t>3.1.03.5.2.6.02</t>
  </si>
  <si>
    <t>Belanja Bendera/Umbul - umbul/ Spanduk</t>
  </si>
  <si>
    <t>Honor Narasumber ( 6 or x 5 kl)</t>
  </si>
  <si>
    <t xml:space="preserve">Tropy Ukir Kayu </t>
  </si>
  <si>
    <t>Konsumsi Pembinaan</t>
  </si>
  <si>
    <t>Kostum Peserta</t>
  </si>
  <si>
    <t>Honorarium Pelatih</t>
  </si>
  <si>
    <t>Belanja Uang Saku Peserta</t>
  </si>
  <si>
    <t>Konsumsi 100 or x 1 kl</t>
  </si>
  <si>
    <t>Konsumsi Rapat</t>
  </si>
  <si>
    <t>Konsumsi Pelatihan ( 30 or x 1 Kali)</t>
  </si>
  <si>
    <t xml:space="preserve">Sumber Dana  :      </t>
  </si>
  <si>
    <t>3.4.03.5.2.1.01</t>
  </si>
  <si>
    <t>3.4.03.5.2.1.09</t>
  </si>
  <si>
    <t>3.4.03.5.2.2.05</t>
  </si>
  <si>
    <t>Jumlah PerBidang Pembangunan</t>
  </si>
  <si>
    <t>Jumlah PerBidang Pemberdayaan Masyarakat</t>
  </si>
  <si>
    <t xml:space="preserve">Bidang                     </t>
  </si>
  <si>
    <t>No. RAB      :</t>
  </si>
  <si>
    <t>Sumber Dana :</t>
  </si>
  <si>
    <t>Volume               :</t>
  </si>
  <si>
    <t>Waktu Pelaksanaan         : 12 Bulan</t>
  </si>
  <si>
    <t>Belanja Upah</t>
  </si>
  <si>
    <t>Tukang</t>
  </si>
  <si>
    <t>Pekerja</t>
  </si>
  <si>
    <t>Bahan Baku</t>
  </si>
  <si>
    <t>Pasir Pasang</t>
  </si>
  <si>
    <t>Semen</t>
  </si>
  <si>
    <t>kg</t>
  </si>
  <si>
    <t>m2</t>
  </si>
  <si>
    <t>Papan Proyek</t>
  </si>
  <si>
    <t>Prasasti</t>
  </si>
  <si>
    <t>: Bidang Kebudayaan dan Keagamaan</t>
  </si>
  <si>
    <t>Honorarium Tim Yang Melaksanakan Kegiatan</t>
  </si>
  <si>
    <t>Pasir Urug</t>
  </si>
  <si>
    <t>Paving 8 "K225 Polos</t>
  </si>
  <si>
    <t>Kanstin S K225</t>
  </si>
  <si>
    <t>: Pekerjaan Umum Penataan Ruang</t>
  </si>
  <si>
    <t xml:space="preserve">Belanja Modal </t>
  </si>
  <si>
    <t xml:space="preserve"> RENCANA ANGGARAN BIAYA</t>
  </si>
  <si>
    <t>: Kegiatan Bakti Penganyaran</t>
  </si>
  <si>
    <t>3.2.95.5.2</t>
  </si>
  <si>
    <t>3.2.95.5.2.4</t>
  </si>
  <si>
    <t xml:space="preserve">Belanja Jasa Sewa </t>
  </si>
  <si>
    <t>3.2.95..5.2.4.03</t>
  </si>
  <si>
    <t>Belanja Jasa Sewa Sarana Mobilitas</t>
  </si>
  <si>
    <t>Nganyarin ke Pura Mandara Giri Lumajang</t>
  </si>
  <si>
    <t>Nganyarin ke Pura Penataran Agung Rinjani</t>
  </si>
  <si>
    <t>3.2.03.5.2</t>
  </si>
  <si>
    <t>3.2.03.5.2.1</t>
  </si>
  <si>
    <t>3.2.03.5.2.1.06</t>
  </si>
  <si>
    <t>3.2.03.5.2.1.08</t>
  </si>
  <si>
    <t>3.2.03.5.2.1.90</t>
  </si>
  <si>
    <t>3.2.03.5.2.2</t>
  </si>
  <si>
    <t>3.2.03.5.2.2.04</t>
  </si>
  <si>
    <t>4.4.01.5.2.1</t>
  </si>
  <si>
    <t>4.4.01.5.2.1.07</t>
  </si>
  <si>
    <t>Belanaja Bahan/Material</t>
  </si>
  <si>
    <t>4.4.01.5.2.1.08</t>
  </si>
  <si>
    <t>4.4.01.5.2.2</t>
  </si>
  <si>
    <t>4.4.01.5.2.2.04</t>
  </si>
  <si>
    <t>Jasa Narasumber ( 2 or x 1kali )</t>
  </si>
  <si>
    <t>Belanja Jasa Sewa Peralatan/Perlengkapan</t>
  </si>
  <si>
    <t>: Pembinaan Karang Taruna</t>
  </si>
  <si>
    <t>3.3.06.5.2</t>
  </si>
  <si>
    <t>3.3.06.5.2.1</t>
  </si>
  <si>
    <t>3.3.06.5.2.1.06</t>
  </si>
  <si>
    <t>3.3.06.5.2.1.08</t>
  </si>
  <si>
    <t>3.3.06.5.2.2</t>
  </si>
  <si>
    <t>3.3.06.5.2.2.04</t>
  </si>
  <si>
    <t>Belanja Jasa Honorarium Ahli/Profesi/Narasumber</t>
  </si>
  <si>
    <t>Honor Pelatih / Instruktur ( 1 or x 1kali )</t>
  </si>
  <si>
    <t>: Kepemudaan dan Olahraga</t>
  </si>
  <si>
    <t>: Pelatihan Kesiapsiagaan/Tanggap Bencana Skala Lokal Desa ( Pelatihan Tanggap Darurat Bencana )</t>
  </si>
  <si>
    <t>3.1.04.5.2</t>
  </si>
  <si>
    <t>3.1.04.5.2.1</t>
  </si>
  <si>
    <t>3.1.04.5.2.1.06</t>
  </si>
  <si>
    <t>Konsumsi (45 or x 1 hr)</t>
  </si>
  <si>
    <t>3.1.04.5.2.1.08</t>
  </si>
  <si>
    <t>3.1.04.5.2.1.90</t>
  </si>
  <si>
    <t>3.1.04.5.2.2</t>
  </si>
  <si>
    <t>3.1.04.5.2.2.04</t>
  </si>
  <si>
    <t>Penyedian Jaminan Keshatan dan ketenagakerjaan BPD</t>
  </si>
  <si>
    <t>Jaminan Kesehatan Anggota BPD (6or x12BLN)</t>
  </si>
  <si>
    <t>Jaminan Kesehatan Sekretaris BPD (1or x 12Bln)</t>
  </si>
  <si>
    <t>Jaminan Kesehatan Wakil Ketua BPD (1or x 12 Bln)</t>
  </si>
  <si>
    <t>Jaminan Kesehatan Ketua BPD (1or x 12bln)</t>
  </si>
  <si>
    <t>Jaminan Ketenagakerjaan Ketua BPD (1or x 12bln)</t>
  </si>
  <si>
    <t>Jaminan Ketenagakerjaan Wakil Ketua BPD (1or x 12 Bln)</t>
  </si>
  <si>
    <t>Jaminan Ketenangakerjaan Sekretaris BPD (1or x 12Bln)</t>
  </si>
  <si>
    <t>Jaminan Ketenagakerjaan Anggota BPD (6or x12BLN)</t>
  </si>
  <si>
    <t>Penyedian Jaminan Keshatan dan ketenagakerjaan Staf Desa</t>
  </si>
  <si>
    <t>Jaminan Kesehatan Staf IT (1or x 12 Bln)</t>
  </si>
  <si>
    <t>Jaminan Kesehatan Satf Siskeudes (1or x 12Bln)</t>
  </si>
  <si>
    <t>Jaminan Kesehatan KPM (1or x12BLN)</t>
  </si>
  <si>
    <t>Jaminan Kesehatan Cleaning Service (2or x12BLN)</t>
  </si>
  <si>
    <t>Penyedian Jaminan Ketenagakerjaan Ekosistem Desa</t>
  </si>
  <si>
    <t>Petugas Kebersihan Lingkungan 2or</t>
  </si>
  <si>
    <t xml:space="preserve">: Penyelenggaraan Belanja Penghasilan Tetap, Tunjangan dan Operasional Pemerintah Desa </t>
  </si>
  <si>
    <t>: Penyediaan Operasional BPD (Rapat FKAKD)</t>
  </si>
  <si>
    <t xml:space="preserve">Konsumsi 50 or x  4 kali </t>
  </si>
  <si>
    <t>1.1.93.5.2</t>
  </si>
  <si>
    <t>1.1.93.5.2.1</t>
  </si>
  <si>
    <t>1.1.93.5.2.1.01</t>
  </si>
  <si>
    <t>1.1.93.5.2.1.06</t>
  </si>
  <si>
    <t>1.1.93.5.2.1.08</t>
  </si>
  <si>
    <t>1.1.93.5.2.2</t>
  </si>
  <si>
    <t>1.1.93.5.2.2.01</t>
  </si>
  <si>
    <t>1.1.93.5.2.2.05</t>
  </si>
  <si>
    <t>3.2.03.5.2.4</t>
  </si>
  <si>
    <t>3.2.03.5.2.4.02</t>
  </si>
  <si>
    <t>3.2.03.5.2.7</t>
  </si>
  <si>
    <t>3.2.03.5.2.7.90</t>
  </si>
  <si>
    <t>3.2.03.5.2.1.07</t>
  </si>
  <si>
    <t>3.2.03.5.2.7.91</t>
  </si>
  <si>
    <t>3.3.90.5.2.7</t>
  </si>
  <si>
    <t>3.3.90.5.2.7.01</t>
  </si>
  <si>
    <t>Untuk menunjang kreativitas Sekaa Teruna</t>
  </si>
  <si>
    <t>Sekaa</t>
  </si>
  <si>
    <t>BKK Kota</t>
  </si>
  <si>
    <t>3.4.04.5.2</t>
  </si>
  <si>
    <t>3.4.04.5.2.1</t>
  </si>
  <si>
    <t>3.4.04.5.2.1.01</t>
  </si>
  <si>
    <t>3.4.04.5.2.1.06</t>
  </si>
  <si>
    <t>3.4.04.5.2.1.90</t>
  </si>
  <si>
    <t>3.4.04.5.2.2</t>
  </si>
  <si>
    <t>3.4.04.5.2.2.04</t>
  </si>
  <si>
    <t>Honor Narasumber</t>
  </si>
  <si>
    <t>3.4.04.5.2.2.05</t>
  </si>
  <si>
    <t>2.1.03.5.2.2</t>
  </si>
  <si>
    <t>2.2.93.5.2.1.08</t>
  </si>
  <si>
    <t>1 Orang Terpenuhinya Pagu Maksimal</t>
  </si>
  <si>
    <t>12 Kl</t>
  </si>
  <si>
    <t>1 Orang</t>
  </si>
  <si>
    <t>15 Orang</t>
  </si>
  <si>
    <t>16 Orang</t>
  </si>
  <si>
    <t>9 Orang</t>
  </si>
  <si>
    <t>10 Orang</t>
  </si>
  <si>
    <t>3. 4</t>
  </si>
  <si>
    <t>40 orang</t>
  </si>
  <si>
    <t xml:space="preserve">Bidang     </t>
  </si>
  <si>
    <t>: Pendidikan</t>
  </si>
  <si>
    <t xml:space="preserve">Kegiatan          </t>
  </si>
  <si>
    <t>Pembinaan</t>
  </si>
  <si>
    <t>2.1.03.5.2</t>
  </si>
  <si>
    <t>2.1.03.5.2.1</t>
  </si>
  <si>
    <t>2.1.03.5.2.1.01</t>
  </si>
  <si>
    <t>Lontar</t>
  </si>
  <si>
    <t>2.1.03.5.2.1.06</t>
  </si>
  <si>
    <t>Belanja Barang Perlengkapan Konsumsi</t>
  </si>
  <si>
    <t>2.1.03.5.2.1.08</t>
  </si>
  <si>
    <t>2.1.03.5.2.2.01</t>
  </si>
  <si>
    <t>:Kesehatan</t>
  </si>
  <si>
    <t>kaleng</t>
  </si>
  <si>
    <t>:Peningkatan Sarana Prasarana Perpustakaan/Taman Bacaan Desa/ Sanggar Belajar Milik Desa (Perpustakaan Digital dan keliling)</t>
  </si>
  <si>
    <t>2.1.07.5.2</t>
  </si>
  <si>
    <t>2.1.07.5.2.1</t>
  </si>
  <si>
    <t>2.1.07.5.2.1.04</t>
  </si>
  <si>
    <t>Belanja Bahan Bakar Kendaraan Bermotor</t>
  </si>
  <si>
    <t>Belanja BBM untuk Perpustakaan Keliling</t>
  </si>
  <si>
    <t>2.1.07.5.2.6</t>
  </si>
  <si>
    <t>2.1.07.5.2.6.02</t>
  </si>
  <si>
    <t>Pemeliharaan Moci Perpustakaan Keliling</t>
  </si>
  <si>
    <t>Belanja Tak Terduga</t>
  </si>
  <si>
    <t>DD</t>
  </si>
  <si>
    <t>250 Hari</t>
  </si>
  <si>
    <t>PENANGANAN INFLASI DESA MELALUI KETAHANAN PANGAN</t>
  </si>
  <si>
    <t>4.2.03.5.2</t>
  </si>
  <si>
    <t>4.2.03.5.2.1</t>
  </si>
  <si>
    <t>4.2.03.5.2.1.06</t>
  </si>
  <si>
    <t>4.2.03.5.2.1.08</t>
  </si>
  <si>
    <t>4.2.03.5.2.1.90</t>
  </si>
  <si>
    <t>4.2.03.5.2.2.04</t>
  </si>
  <si>
    <t>4.2.03.5.2.7</t>
  </si>
  <si>
    <t>Belanja Barang Perlengkapan diserahkan Kepada Masyarakat</t>
  </si>
  <si>
    <t>4.2.03.5.2.7.01</t>
  </si>
  <si>
    <t>zak</t>
  </si>
  <si>
    <t>ltr</t>
  </si>
  <si>
    <t>pcs</t>
  </si>
  <si>
    <t>: Kegiatan Pengelolaan Sampah Tingkat Desa (Oprasional TPS3R)</t>
  </si>
  <si>
    <t>Oprasional TPS 3R</t>
  </si>
  <si>
    <t>2.4.07.5.2.1.01</t>
  </si>
  <si>
    <t>Belanja Perlengkapan Alat Tulis Kantor</t>
  </si>
  <si>
    <t>2.4.07.5.2.1.03</t>
  </si>
  <si>
    <t>Belanja Perlengkapan Alat-alat Rumah Tangga/Peralatan dan Bahan Kebersihan</t>
  </si>
  <si>
    <t>Sabun Cuci Piring</t>
  </si>
  <si>
    <t>Sabun Cuci Porselin</t>
  </si>
  <si>
    <t>Lap Keset</t>
  </si>
  <si>
    <t>Ember Timba</t>
  </si>
  <si>
    <t>Gayung</t>
  </si>
  <si>
    <t>Belanja Upakara, Upacara dan Aci aci</t>
  </si>
  <si>
    <t>Banten Lengkap Setiap Hari</t>
  </si>
  <si>
    <t>Garu</t>
  </si>
  <si>
    <t>Cetok</t>
  </si>
  <si>
    <t>Sabit</t>
  </si>
  <si>
    <t>Sekop</t>
  </si>
  <si>
    <t>Terpal</t>
  </si>
  <si>
    <t>2.4.07.5.2.1.12</t>
  </si>
  <si>
    <t>Belanja Obat -obat Pertanian</t>
  </si>
  <si>
    <t>Honor Petugas</t>
  </si>
  <si>
    <t>2.4.07.5.2.5.01</t>
  </si>
  <si>
    <t>Belanja Langganan Listrik</t>
  </si>
  <si>
    <t>Listrik</t>
  </si>
  <si>
    <t>2.4.07.5.2.5.02</t>
  </si>
  <si>
    <t>Belanja Langganan Air Bersih</t>
  </si>
  <si>
    <t>Belanja Air Minum Galon</t>
  </si>
  <si>
    <t>Belanja Pemeliharaan Mesin dan alat berat</t>
  </si>
  <si>
    <t>Pagu DD</t>
  </si>
  <si>
    <t>TAHUN ANGGARAN 2025</t>
  </si>
  <si>
    <t>Ballpoint ex faster C600</t>
  </si>
  <si>
    <t>Buku Tulis Folio 100</t>
  </si>
  <si>
    <t>Penggaris besi</t>
  </si>
  <si>
    <t>Konsumsi Pelatihan (30or x 1kali)</t>
  </si>
  <si>
    <t>Narasumber (2or x 1kali )</t>
  </si>
  <si>
    <t>Block Note</t>
  </si>
  <si>
    <t>Ketua Tim Penyusun RKP Desa 2025</t>
  </si>
  <si>
    <t>Buku Tulis 58</t>
  </si>
  <si>
    <t>Belanja Lele Bumbu</t>
  </si>
  <si>
    <t>2.2.93.5.2.7</t>
  </si>
  <si>
    <t>Belanja barang Jasa yang diserahkan kepada masyarakat</t>
  </si>
  <si>
    <t>2.2.93.5.2.7,91</t>
  </si>
  <si>
    <t>Uang Saku Peserta</t>
  </si>
  <si>
    <t>orang</t>
  </si>
  <si>
    <t>Alcohol Swab</t>
  </si>
  <si>
    <t>II.20</t>
  </si>
  <si>
    <t>Tipe Ex Correction T380</t>
  </si>
  <si>
    <t>2.2.93.5.2,2,05</t>
  </si>
  <si>
    <t>Honorarium Petugas</t>
  </si>
  <si>
    <t>Stik HB</t>
  </si>
  <si>
    <t xml:space="preserve">Blood Lancet </t>
  </si>
  <si>
    <t>2.2.03,5.2.1.07</t>
  </si>
  <si>
    <t>:Penyuluhan dan Pelatihan Bidang Kesehatan Untuk Masyarakat (Penyelenggaraan Pembinaan dan Lomba PMT)</t>
  </si>
  <si>
    <t>Pembinaan Lomba</t>
  </si>
  <si>
    <t>Honor Pelatih (2 or )</t>
  </si>
  <si>
    <t>Kegiatan Lomba</t>
  </si>
  <si>
    <t>Honor Juri 3 or x 1 hari</t>
  </si>
  <si>
    <t>2.2.03.5.2.7</t>
  </si>
  <si>
    <t>2.2.03.5.2.7.90</t>
  </si>
  <si>
    <t>: Penyuluhan dan Pelatihan Bidang Kesehatan untuk Masyarakat (Penyuluhan kesehatan Organ Reproduksi dan Penyelenggaraan Papsmear)</t>
  </si>
  <si>
    <t>Konsumsi ( 40or x 1kali )</t>
  </si>
  <si>
    <t>Belanja Bahan Alat Meterial</t>
  </si>
  <si>
    <t xml:space="preserve">Belanja alat pemeriksaan </t>
  </si>
  <si>
    <t>: Penyuluhan dan Pelatihan Bidang Kesehatan untuk Masyarakat (Pembinaan Kampung Keluarga Berkualitas)</t>
  </si>
  <si>
    <t>: Penyuluhan dan Pelatihan Bidang Kesehatan untuk Masyarakat  (Pembinaan Rumah Dataku)</t>
  </si>
  <si>
    <t>Konsumsi Pelatihan (10or x 1kali)</t>
  </si>
  <si>
    <t>Tunjangan Purnabakti</t>
  </si>
  <si>
    <t>Batre Besar ex alkalin</t>
  </si>
  <si>
    <t>Sapu Bulu Ayam</t>
  </si>
  <si>
    <t xml:space="preserve">Plastik Sampah </t>
  </si>
  <si>
    <t>Sabun Pembersih Kaca spary</t>
  </si>
  <si>
    <t>Dupa Besar (1bh x 12bln)</t>
  </si>
  <si>
    <t>Alat Pel komplit</t>
  </si>
  <si>
    <t>Isi Kotak P3K</t>
  </si>
  <si>
    <t>Set Bendera Dalam Ruangan</t>
  </si>
  <si>
    <t>Jaminan Kesehatan Staf BPD (1or x12BLN)</t>
  </si>
  <si>
    <t>Jaminan KetenagaKerjaan Staf IT (1or x 12 Bln)</t>
  </si>
  <si>
    <t>Jaminan Ketenagakerjaan Satf Siskeudes (1or x 12Bln)</t>
  </si>
  <si>
    <t>Jaminan Ketenagakerjaan Staf BPD (1or x12BLN)</t>
  </si>
  <si>
    <t>Jaminan Ketenagakerjaan KPM (1or x12BLN)</t>
  </si>
  <si>
    <t>Jaminan Ketenagakerjaan Cleaning Service (2or x12BLN)</t>
  </si>
  <si>
    <t>BHPD</t>
  </si>
  <si>
    <t>1.1.04.5.2.5.99</t>
  </si>
  <si>
    <t>Biaya Administrasi Bank</t>
  </si>
  <si>
    <t xml:space="preserve"> Januari - Desember 2025</t>
  </si>
  <si>
    <t>Konsumsi (25or x 8 Dusun x 2 kali)</t>
  </si>
  <si>
    <t>: Januari - Desember 2025</t>
  </si>
  <si>
    <t xml:space="preserve">Banten Gebogan </t>
  </si>
  <si>
    <t>Banten Caru kesanga</t>
  </si>
  <si>
    <t>Banten Caru keenem</t>
  </si>
  <si>
    <t>Kertas Double Folio</t>
  </si>
  <si>
    <t>Bks</t>
  </si>
  <si>
    <t>Kancing Jarum</t>
  </si>
  <si>
    <t>Konsumsi ( 36 Peserta + 1 Kades + 1 Kasi + 5 TPK + 6 Narasumbe X 5 kali )</t>
  </si>
  <si>
    <t>Konsumsi Technical Meeting</t>
  </si>
  <si>
    <t>Konsumsi ( Peserta 36 + Kades 1 + Sekdes 1 + Kasi 1 + TPK 5 + Juri 3 )</t>
  </si>
  <si>
    <t>Konsumsi Lomba</t>
  </si>
  <si>
    <t>Konsumsi ( Peserta 36 + Juri 9 + Babinsa 2 + TPK 5  + Perangkat 28 + BPD 9 + 1 Tamu + Linmas 2)</t>
  </si>
  <si>
    <t>Tnd</t>
  </si>
  <si>
    <t>Konsumsi Rapat LPM 17 + BPD 1 + Kadus 8 +Perbekel 1 + Sekdes 1 + Kasi 2</t>
  </si>
  <si>
    <t>Konsumsi Rapat ( 30 or x 1 kl )</t>
  </si>
  <si>
    <t>Konsumsi Kegiatan ( 100 or x 1 kali x 13 banjar )</t>
  </si>
  <si>
    <t>Peliputan Media Cetak</t>
  </si>
  <si>
    <t>Konsumsi Penilaian PSN ( 13 or Jumantik  + 4 Tim Juri + 4 Kadus  X 3 kali )</t>
  </si>
  <si>
    <t>Jasa Juri (4 or x 3 kali )</t>
  </si>
  <si>
    <t>Pengerot</t>
  </si>
  <si>
    <t>Nh</t>
  </si>
  <si>
    <t>Lmb</t>
  </si>
  <si>
    <t>Oh</t>
  </si>
  <si>
    <t>: Pembinaan PKK  ( Pembinaan Administrasi dan Pokja PKK Desa  )</t>
  </si>
  <si>
    <t>Konsumsi Pelatihan ( 40 or x 1 kl )</t>
  </si>
  <si>
    <t>Belanja Jasa Honorarium Ahli/ Profesi/Konsultan/ Narasumber</t>
  </si>
  <si>
    <t>Narasumber ( 2or x 1 kl )</t>
  </si>
  <si>
    <t>3.3.06.5.2.1.09</t>
  </si>
  <si>
    <t>Belanja Seragam</t>
  </si>
  <si>
    <t>Baju Seragam</t>
  </si>
  <si>
    <t>Honor Pelatih ( 3 Or X 5 Kl )</t>
  </si>
  <si>
    <t>Honor Juri ( 9 Or X 1 Kl )</t>
  </si>
  <si>
    <t xml:space="preserve">Honor MC </t>
  </si>
  <si>
    <t>Honor Pelatih ( 3 Or X 5Kl )</t>
  </si>
  <si>
    <t>: Penyuluhan dan Pelatihan Bidang Kesehatan ( Penyuluhan KB )</t>
  </si>
  <si>
    <t>MENJADI</t>
  </si>
  <si>
    <t>Konsumsi Kegiatan ( 100 or X 1 Kl )</t>
  </si>
  <si>
    <t>Honor Narasumber ( 2 Or x 1 Kl )</t>
  </si>
  <si>
    <t>Sewa Sound sistem</t>
  </si>
  <si>
    <t>Kl</t>
  </si>
  <si>
    <t xml:space="preserve">Sewa Dekorasi </t>
  </si>
  <si>
    <t>Sewa Tempat dan Kebersihan</t>
  </si>
  <si>
    <t>Sewa Bondres dan Gambelan</t>
  </si>
  <si>
    <t>Paket Nganyarin</t>
  </si>
  <si>
    <t>: Pembinaan Adat dan Keagamaan (Tumpek Landep)</t>
  </si>
  <si>
    <t>Belanja Konsumsi 80or x 2 kali</t>
  </si>
  <si>
    <t>Banten Rainan Tumpek Landep</t>
  </si>
  <si>
    <t>3.2.90.5.2.4</t>
  </si>
  <si>
    <t>3.2.90.5.2.4.02</t>
  </si>
  <si>
    <t>Meja</t>
  </si>
  <si>
    <t>Konsumsi ( 8 Or x 15 kl)</t>
  </si>
  <si>
    <t>Pertamax</t>
  </si>
  <si>
    <t>Dexlite</t>
  </si>
  <si>
    <t>BH</t>
  </si>
  <si>
    <t xml:space="preserve">Jerigen </t>
  </si>
  <si>
    <t>Petugas Foging ( 2 or x 15 Kl)</t>
  </si>
  <si>
    <t xml:space="preserve">: Pembinaan Kelompok P2WKSS  </t>
  </si>
  <si>
    <t>4.4.01.5.2</t>
  </si>
  <si>
    <t>4,4,01.5.2.1.06</t>
  </si>
  <si>
    <t>Konsumsi Pembinaan ( 40 or x 1 Kl )</t>
  </si>
  <si>
    <t>Buku Tulis 32</t>
  </si>
  <si>
    <t>Belanja Pakaian Seragam</t>
  </si>
  <si>
    <t>: Pemeiliharaan Fasilitas Pengelolaan Sampah Desa/ Pemukiman (Operasional Kegiatan Bank Sampah Desa)</t>
  </si>
  <si>
    <t>Kartu ID Untuk Pelanggan</t>
  </si>
  <si>
    <t>Cetak Buku Keuangan</t>
  </si>
  <si>
    <t>Serok Sampah Luar Luangan</t>
  </si>
  <si>
    <t>Sabun Cuci Tangan Cair</t>
  </si>
  <si>
    <t>Cairan Hand Sanitizer</t>
  </si>
  <si>
    <t>2.4.07.5.2.1.09</t>
  </si>
  <si>
    <t>Belanja Paikaian Seragam</t>
  </si>
  <si>
    <t>Baju Kaos Polo</t>
  </si>
  <si>
    <t>Celana Training</t>
  </si>
  <si>
    <t>Sepatu Boot</t>
  </si>
  <si>
    <t>Upah Petugas Pemilah Sampah 10 orang x 2 kali x 12 bln</t>
  </si>
  <si>
    <t>Belanja Premium  Mesin Potong Rumput</t>
  </si>
  <si>
    <t>Serok Sampah/ Cikrak</t>
  </si>
  <si>
    <t>Belanja Atribut Pakaian</t>
  </si>
  <si>
    <t>Baju Kaos Lapangan Lengan Panjang</t>
  </si>
  <si>
    <t>Upah Petugas Kebersihan Lingkungan (2 or x 3 bln)</t>
  </si>
  <si>
    <t>Upah Petugas Kebersihan Lingkungan (2 or x 9 bln)</t>
  </si>
  <si>
    <t>Honor Tenaga Pembantu Jumali   (16 or x 17 kali)</t>
  </si>
  <si>
    <t xml:space="preserve">Pelumas Untuk Mesin Potong Rumput </t>
  </si>
  <si>
    <t>Spare Part Mesin Potong Rumput</t>
  </si>
  <si>
    <t>Perawatan (Service) Mesin Potong Rumput</t>
  </si>
  <si>
    <t>Belanja Bahan Bakar Minyak/ Gas/ Isi Ulang Tabung Pemadam Kebakaran</t>
  </si>
  <si>
    <t>Uang Retribusi Truk Sampah Di Suwung (2 unit)</t>
  </si>
  <si>
    <t>Baju kaos Lapangan Lengan Panjang</t>
  </si>
  <si>
    <t>Jaring/ Terpal Sampah</t>
  </si>
  <si>
    <t>Purname, Tilem (Pejati + Sodan)</t>
  </si>
  <si>
    <t>Banten Pagerwesi</t>
  </si>
  <si>
    <t>Banten Sugian</t>
  </si>
  <si>
    <t xml:space="preserve">Banten Galungan </t>
  </si>
  <si>
    <t>Banten Kuningan</t>
  </si>
  <si>
    <t>Belanja Operasional Pekantoran</t>
  </si>
  <si>
    <t>Spare Part L300</t>
  </si>
  <si>
    <t>Isi Tabung Gas 3 kg</t>
  </si>
  <si>
    <t>Kampil Pupuk 25 kg</t>
  </si>
  <si>
    <t>galon</t>
  </si>
  <si>
    <t>Pemeliharaan Mesin Pencacah Sampah</t>
  </si>
  <si>
    <t>Pemeliharaan Mesin Gibrik</t>
  </si>
  <si>
    <t>3.1.04.5.2.1.09</t>
  </si>
  <si>
    <t>Honor Narasumber ( 2 Or x 1kali)</t>
  </si>
  <si>
    <t>Steples alat HD No 10</t>
  </si>
  <si>
    <t>Clip Seagul no 5</t>
  </si>
  <si>
    <t>Kertas Coklat / Kraft Minyak</t>
  </si>
  <si>
    <t>Amplop coklat Besar</t>
  </si>
  <si>
    <t>Dus</t>
  </si>
  <si>
    <t>Krayon ex titi/ joyko 12 warna</t>
  </si>
  <si>
    <t>Pensil 2b</t>
  </si>
  <si>
    <t>Gunting Best LL</t>
  </si>
  <si>
    <t>Kertas Lipat UK 20 x20 Origami</t>
  </si>
  <si>
    <t>Kertas Manila Bandung Warna</t>
  </si>
  <si>
    <t>BantenTilem Kesanga</t>
  </si>
  <si>
    <t>Tumpek Landep</t>
  </si>
  <si>
    <t>2.1.01.5.2.6</t>
  </si>
  <si>
    <t>2.1.01.5.2.6.03</t>
  </si>
  <si>
    <t>Pemeliharaan Peralatan</t>
  </si>
  <si>
    <t>2.1.01.5.2.6.04</t>
  </si>
  <si>
    <t>Pemeliharaan Bangunan</t>
  </si>
  <si>
    <t>perawatan kamarmandi</t>
  </si>
  <si>
    <t xml:space="preserve">2.1.01.5.3 </t>
  </si>
  <si>
    <t>2.1.01.5.3.2</t>
  </si>
  <si>
    <t>Belanja Modal Peralatan</t>
  </si>
  <si>
    <t>2.1.01.5.3.2,04</t>
  </si>
  <si>
    <t>Belanja Modal Peralatan Mebeulair dan Aksesori Ruangan</t>
  </si>
  <si>
    <t>Kursi</t>
  </si>
  <si>
    <t>4.4.01.5.2.1.90</t>
  </si>
  <si>
    <t>Ikat</t>
  </si>
  <si>
    <t>Beras</t>
  </si>
  <si>
    <t>Gabung</t>
  </si>
  <si>
    <t>Telur Bebek</t>
  </si>
  <si>
    <t>Buah Campur</t>
  </si>
  <si>
    <t>10, 16</t>
  </si>
  <si>
    <t>Terlaksananya Pembinaan Rumah Dataku</t>
  </si>
  <si>
    <t>TAHUN 2025</t>
  </si>
  <si>
    <t>: Pertanian dan Peternakan</t>
  </si>
  <si>
    <t>Baskom</t>
  </si>
  <si>
    <t>Konsumsi Pelatihan  (2 or x 13 bjr x 1 kali)</t>
  </si>
  <si>
    <t>Honorarium Narasumber/ Instruktur</t>
  </si>
  <si>
    <t>Tanah Subur/ Media Tanam (10 zak x 13 bjr)</t>
  </si>
  <si>
    <t>NPK 16-16-16, (5 kg x 13 bjr)</t>
  </si>
  <si>
    <t>Polibag 25 x 25</t>
  </si>
  <si>
    <t>Pupuk Organik Cair (5 ltr x 13 bjr)</t>
  </si>
  <si>
    <t>Antracol (3 pcs x 13 bjr)</t>
  </si>
  <si>
    <t>Belanja Jasa Sewa Mobilitas</t>
  </si>
  <si>
    <t>2.3.12.5.3</t>
  </si>
  <si>
    <t>2.3.12.5.3.5</t>
  </si>
  <si>
    <t>Belanja Modal Jalan</t>
  </si>
  <si>
    <t>2.3.12.5.3.5.01</t>
  </si>
  <si>
    <t>TPK</t>
  </si>
  <si>
    <t>2.3.12.5.3.5.02</t>
  </si>
  <si>
    <t>Pekerja lansiran</t>
  </si>
  <si>
    <t>2.3.12.5.3.5.03</t>
  </si>
  <si>
    <t>Batu Belah 15 cm / 20 cm</t>
  </si>
  <si>
    <t xml:space="preserve">Semen </t>
  </si>
  <si>
    <t>Papan proyek</t>
  </si>
  <si>
    <t>Pekerja Lansiran</t>
  </si>
  <si>
    <t>Limestone</t>
  </si>
  <si>
    <t>Peralatan Sewa</t>
  </si>
  <si>
    <t>Sewa Stamper</t>
  </si>
  <si>
    <t>KG</t>
  </si>
  <si>
    <t>Pasir Beton</t>
  </si>
  <si>
    <t>Koral Beton</t>
  </si>
  <si>
    <t>Kayu Kelas III</t>
  </si>
  <si>
    <t>Paku Biasa 5' - 10'</t>
  </si>
  <si>
    <t>Kayu Usuk 4/6</t>
  </si>
  <si>
    <t>Besi Wire mesh M10</t>
  </si>
  <si>
    <t>Kawat Beton</t>
  </si>
  <si>
    <t>2.3.03.5.3</t>
  </si>
  <si>
    <t>2.3.03.5.3.5</t>
  </si>
  <si>
    <t>2.3.03.5.3.5.01</t>
  </si>
  <si>
    <t>2.3.03.5.3.5.02</t>
  </si>
  <si>
    <t>2.3.02.5.3</t>
  </si>
  <si>
    <t>2.3.02.5.3.5</t>
  </si>
  <si>
    <t>2.3.02.5.3.5.01</t>
  </si>
  <si>
    <t>2.3.02.5.3.5.02</t>
  </si>
  <si>
    <t>2.3.02.5.3.5.03</t>
  </si>
  <si>
    <t>orientasi Lapangan</t>
  </si>
  <si>
    <t>Konsumsi Rapat Koordinasi ( 40 or x 12 kl )</t>
  </si>
  <si>
    <t>Konsumsi Rapat Koordinasi (20or x 12 Kali)</t>
  </si>
  <si>
    <t>Konsumsi Rapat Koordinasi 45or x 12 Bulan</t>
  </si>
  <si>
    <t>Sewa Lighting</t>
  </si>
  <si>
    <t>: Penyelenggaraan Pembangunan Desa</t>
  </si>
  <si>
    <t>: Kehutanan Dan Lingkungan Hidup</t>
  </si>
  <si>
    <t>: Sosialisasi tentang Lingkungan Hidup dan Kehutanan (Sosialisasi Pemilihan Sampah Rumah Tangga)</t>
  </si>
  <si>
    <t>Sosialisasi</t>
  </si>
  <si>
    <t>2.5.03.5.2.1.90</t>
  </si>
  <si>
    <t>2.5.03.5.2.2</t>
  </si>
  <si>
    <t>2.5.03.5.2.2.01</t>
  </si>
  <si>
    <t>2.5.03.5.2.2.04</t>
  </si>
  <si>
    <t>2.2.03.5.2.2.02</t>
  </si>
  <si>
    <t>: TIM KEBERSIHAN SUNGAI</t>
  </si>
  <si>
    <t>1.2.02.5.3</t>
  </si>
  <si>
    <t>1.2.02.5.3.4</t>
  </si>
  <si>
    <t>1.2.02.5.3.4.01</t>
  </si>
  <si>
    <t>1.2.02.5.3.4.02</t>
  </si>
  <si>
    <t>1.2.02.5.3.4.03</t>
  </si>
  <si>
    <t>Bidang I</t>
  </si>
  <si>
    <t>Bidang II</t>
  </si>
  <si>
    <t>Anggaran</t>
  </si>
  <si>
    <t>Sarana dan Prasarana Pemerintah Desa</t>
  </si>
  <si>
    <t>Belanja modal Gedung, Bangunan, Tanaman</t>
  </si>
  <si>
    <t>Belanja modal oprasional tim yang melaksanakan kegiatan</t>
  </si>
  <si>
    <t>Oprasional TPK</t>
  </si>
  <si>
    <t>Belanja modal upah tenaga kerja</t>
  </si>
  <si>
    <t>Belanja modal bahan baku</t>
  </si>
  <si>
    <t>Pemeliharaan/ Rehabilitasi/ Peningkatan Gedung/ Prasarana Kantor Desa (Penataan Kebun dan Vertical Garden)</t>
  </si>
  <si>
    <t>: 126m2</t>
  </si>
  <si>
    <t>Tanah Humus</t>
  </si>
  <si>
    <t>Tanaman Hias kantor</t>
  </si>
  <si>
    <t>TAHUN : 2026</t>
  </si>
  <si>
    <t>Kastin Segilima</t>
  </si>
  <si>
    <t>Plang Nama Gang</t>
  </si>
  <si>
    <t xml:space="preserve"> Batako  34 m3</t>
  </si>
  <si>
    <t xml:space="preserve">Batako lubang </t>
  </si>
  <si>
    <t>: Pemeliharaan Jalan Lingkungan Gg. Pudak (galian)</t>
  </si>
  <si>
    <t>GALIAN 15 m3</t>
  </si>
  <si>
    <t>Pemeliharaan Jalan Lingkungan Permukiman Gang Pudak (Pembersihan Site)</t>
  </si>
  <si>
    <t>Pembersihan Site 61.50m2</t>
  </si>
  <si>
    <t>Dongkelan pohon</t>
  </si>
  <si>
    <t>Pemeliharaan Jalan Lingkungan Permukiman Gang Pudak ( Plat beton )</t>
  </si>
  <si>
    <t xml:space="preserve">Pembesian  5.25m2, </t>
  </si>
  <si>
    <t>Plywood 9 mm</t>
  </si>
  <si>
    <t xml:space="preserve">Paving : 307.50m2, kanstin Segilima 123m, </t>
  </si>
  <si>
    <t>Pemeliharaan Jalan Lingkungan Permukiman Gg. Pudak (Pemavingan)</t>
  </si>
  <si>
    <t>12bln</t>
  </si>
  <si>
    <t>TAHUN 2026</t>
  </si>
  <si>
    <t>Tunjangan Hari Raya Sekdes</t>
  </si>
  <si>
    <t>Tunjangan Ke 13 Ketua</t>
  </si>
  <si>
    <t>Tunjangan Ke 13 Wakil Ketua</t>
  </si>
  <si>
    <t>Tunjangan Ke 13 Sekretaris</t>
  </si>
  <si>
    <t>Anggota  ( 6 or x 12 bln )</t>
  </si>
  <si>
    <t>Tunjangan Ke 13 Anggota</t>
  </si>
  <si>
    <t>Konsumsi Rapat Penggalian Aspirasi Masyarakat (9kali x 70or)</t>
  </si>
  <si>
    <t>stel</t>
  </si>
  <si>
    <t>1.1.06.5.2.1.08</t>
  </si>
  <si>
    <t>Spanduk Penggalian Aspirasi</t>
  </si>
  <si>
    <t>Honorarium Staff Pembantu Kaur/kasi (9 or x 12bln)</t>
  </si>
  <si>
    <t>Siltap KPM</t>
  </si>
  <si>
    <t>SiltapTenaga Kebersihan (CS) (1or x 12Bln)</t>
  </si>
  <si>
    <t>Siltap Tenaga Kebersihan dan Tukang kebun 1 or x 12 bln</t>
  </si>
  <si>
    <t xml:space="preserve">Ballpoint </t>
  </si>
  <si>
    <t>Konsumsi Sosialisasi (110 or x  2 kali )</t>
  </si>
  <si>
    <t>Konsumsi Kegiatan (35 or x  2 kali )</t>
  </si>
  <si>
    <t>Spanduk2bh x 2kl</t>
  </si>
  <si>
    <t>Ketua1or x2kl</t>
  </si>
  <si>
    <t>Sekretaris1or x 2Kl</t>
  </si>
  <si>
    <t>Anggota 3or x 2Kl</t>
  </si>
  <si>
    <t>Petugas Seleksi 3orx2jam</t>
  </si>
  <si>
    <t>Oj</t>
  </si>
  <si>
    <t>Jaminan Kesehatan Staf Kaur Kasi 9 or x 12bln</t>
  </si>
  <si>
    <t>Jaminan Ketenaga Kerjaan Staf Kaur Kasi 9 or x 12bln</t>
  </si>
  <si>
    <t>Gula 10kg x 1tahun</t>
  </si>
  <si>
    <t>Kopi 10kg x 1thn</t>
  </si>
  <si>
    <t>Dupa 10kg x 1thn</t>
  </si>
  <si>
    <t>Beras 20kg x 1thn</t>
  </si>
  <si>
    <t>Kain Putih (15m x 1thn)</t>
  </si>
  <si>
    <t>Telor 25 btr x 1thn</t>
  </si>
  <si>
    <t>Kupon Bazar (310Lbr x 1 thn )</t>
  </si>
  <si>
    <t>Linmas 33</t>
  </si>
  <si>
    <t>: Oprasional 3% Dana Desa</t>
  </si>
  <si>
    <t>Benlanja Oprasional Dana Desa</t>
  </si>
  <si>
    <t>BKK TPP</t>
  </si>
  <si>
    <t>Penghasilan tetap dan Tunjangan Perangkat</t>
  </si>
  <si>
    <t>Silpa BHPD</t>
  </si>
  <si>
    <t>AC 1PK TK</t>
  </si>
  <si>
    <t>Silpa ADD</t>
  </si>
  <si>
    <t>Pointer</t>
  </si>
  <si>
    <t>Printer PCS</t>
  </si>
  <si>
    <t>Konsumsi 20 or x 1 kali</t>
  </si>
  <si>
    <t>Petugas Update data 9 Admin x 2bln</t>
  </si>
  <si>
    <t>: Penyusunan/ Pendataan/Pemuktahiran Profil Desa (Indek Desa)</t>
  </si>
  <si>
    <t>Petugas Update data 5or</t>
  </si>
  <si>
    <t>: Pengelolaan Administrasi dan Kearsipan pemerintahan Desa ( Pelatihan Kearsipan )</t>
  </si>
  <si>
    <t>Honor Narasumber (1or x 2jam)</t>
  </si>
  <si>
    <t>oj</t>
  </si>
  <si>
    <t>Konsumsi 50or x 4 kali Musdes</t>
  </si>
  <si>
    <t>uang saku peserta (40 x 4)</t>
  </si>
  <si>
    <t>Cetak RKP Desa 2026</t>
  </si>
  <si>
    <t>cetak Dokumen LPJ 2024</t>
  </si>
  <si>
    <t>Penyusunan Dokumen Perencanaan Desa (RKP Desa 2027)</t>
  </si>
  <si>
    <t>: Penyusunan dokumen keuangan Desa (APBDesa 2027 )</t>
  </si>
  <si>
    <t>: Penyusunan dokumen keuangan Desa (APBDesa Perubahan 2026)</t>
  </si>
  <si>
    <t>: Penyusunan dokumen keuangan Desa ( LPJ APBDesa 2025).</t>
  </si>
  <si>
    <t>Papan Himbauan Parkir</t>
  </si>
  <si>
    <t>RENCANA ANGGARAN BIAYA (RAB)</t>
  </si>
  <si>
    <t>: Penguatan Ketahanan Pangan Tingkat Desa (Pelatihan Pengolahan Tanah)</t>
  </si>
  <si>
    <t>Konsumsi Pelatihan  (2 or x  13munduk, 2or Narasumber  x 2 kali)</t>
  </si>
  <si>
    <t>Alat Pengukur PH Tanah</t>
  </si>
  <si>
    <t>Kapur Pertanian 13 sak x 2</t>
  </si>
  <si>
    <t>sak</t>
  </si>
  <si>
    <t>Pupuk Organik Granul</t>
  </si>
  <si>
    <t>Dekomposer</t>
  </si>
  <si>
    <t>botl</t>
  </si>
  <si>
    <t xml:space="preserve">Traktor </t>
  </si>
  <si>
    <t>Mesin Ptong Rumput Gendong</t>
  </si>
  <si>
    <t>BBM Mesin Potong Rumput</t>
  </si>
  <si>
    <t>Oli Mesin Potong rumput</t>
  </si>
  <si>
    <t>: Kelautan dan Perikanan</t>
  </si>
  <si>
    <t>Honorarium Narasumber/ Instruktur 2 or x 1jam x 2kl</t>
  </si>
  <si>
    <t>Kolam Terpal</t>
  </si>
  <si>
    <t>Probiotik</t>
  </si>
  <si>
    <t>: Pemerdayaan Pemerintahan Desa</t>
  </si>
  <si>
    <t>: IV.17</t>
  </si>
  <si>
    <t xml:space="preserve">Sub Bidang         </t>
  </si>
  <si>
    <t>: Perdagangan dan Perindustrian</t>
  </si>
  <si>
    <t xml:space="preserve">Kegiatan                   </t>
  </si>
  <si>
    <t>: Pembentukan/fasilitasi/ Pelatihan/ Pendampingan kelompok usaha ekonomi produktif (Peningkatan kapasitas Pengrajin Kembang Rampe)</t>
  </si>
  <si>
    <t>4.7.04.5.2</t>
  </si>
  <si>
    <t>4.7.04.5.2.1</t>
  </si>
  <si>
    <t>4.7.04.5.2.1.01</t>
  </si>
  <si>
    <t>4.7.04.5.2.1.06</t>
  </si>
  <si>
    <t>4.7.04.5.2.1.08</t>
  </si>
  <si>
    <t>4.7.04.5.2.2</t>
  </si>
  <si>
    <t>4.7.04.5.2.2.01</t>
  </si>
  <si>
    <t>4.7.04.5.2.2.04</t>
  </si>
  <si>
    <t>Honor Narasumber/ Instruktur (2or x 2kali )</t>
  </si>
  <si>
    <t>4.7.04.5.2.7</t>
  </si>
  <si>
    <t>4.7.04.5.2.7.01</t>
  </si>
  <si>
    <t>Mesin potong Kembang Rampe</t>
  </si>
  <si>
    <t>Slop tangan</t>
  </si>
  <si>
    <t>Sepatu Boat</t>
  </si>
  <si>
    <t>Terpal kecil</t>
  </si>
  <si>
    <t>Plastik besar merah</t>
  </si>
  <si>
    <t>Konsumsi Pelatihan ( 15 or+ 2Narasumber x 2kali )</t>
  </si>
  <si>
    <t>Timbangan</t>
  </si>
  <si>
    <t>Belanja PMT untuk Balita (623 anak x 12)</t>
  </si>
  <si>
    <t>Pin 13klp x5or</t>
  </si>
  <si>
    <t>Belanja Perlengkapan Aci</t>
  </si>
  <si>
    <t>Canang 10Tanding x 13 klp x12bln</t>
  </si>
  <si>
    <t>Dupa 1Bks x 13 klp x12bln</t>
  </si>
  <si>
    <t>PMT Balita</t>
  </si>
  <si>
    <t>PMT Remaja (klp13 x 30or x12kl)</t>
  </si>
  <si>
    <t>Konsumsi 167or kader  x 12bln</t>
  </si>
  <si>
    <t>2.2.02.5.2.1.09</t>
  </si>
  <si>
    <t xml:space="preserve">Belanja Seragam </t>
  </si>
  <si>
    <t>Baju Polo Kader 167 or Kader</t>
  </si>
  <si>
    <t>Oncal Gula Darah</t>
  </si>
  <si>
    <t>Stick Asam Urat</t>
  </si>
  <si>
    <t>Stick Kolestrol</t>
  </si>
  <si>
    <t>Stick Gula Darah</t>
  </si>
  <si>
    <t>Alat Ukur Lila</t>
  </si>
  <si>
    <t>Stabilo</t>
  </si>
  <si>
    <t>: Penyelenggaraan Posyandu (Penyelenggaraan Posyandu ILP)</t>
  </si>
  <si>
    <t>: Penyuluhan dan Pelatihan Bidang Kesehatan (Pembinaan Kader POSyandu terintegrasi/ILP)</t>
  </si>
  <si>
    <t>Honor Narasumber 2or x 13 Kl</t>
  </si>
  <si>
    <t>Belanja Konsumsi Narasumber 2or x 13kl</t>
  </si>
  <si>
    <t>Konsumsi ( 20 orngan Sasaran, 10orang petugas )</t>
  </si>
  <si>
    <t xml:space="preserve">Konsumsi Pendampingan </t>
  </si>
  <si>
    <t>Honor Petugas (3or Dokter Pusksesma, Penyuluh KB, Petugas Puskesmas x 20kali)</t>
  </si>
  <si>
    <t>Konsumsi Pelatihan (30or Pokja Kampung KB  x 1kali)</t>
  </si>
  <si>
    <t>Konsumsi (Kader Posyandu 39 or + Narasumber 2or + PPKD 2or + Perbekel 1 or)</t>
  </si>
  <si>
    <t>Konsumsi Rapat 30or x 1 kl</t>
  </si>
  <si>
    <t>Konsumsi Kegiatan 100or x 1 kl</t>
  </si>
  <si>
    <t>Konsumsi (30x 1kl)</t>
  </si>
  <si>
    <t>Konsumsi  Peserta 26or juri 3or, TPK 3or, PPKD 2or, Perbekel 1or  x 1 kali</t>
  </si>
  <si>
    <t>Belanja Jasa Honorarium Ahli/ Profesi</t>
  </si>
  <si>
    <t>Honor Dokter Pemeriksa</t>
  </si>
  <si>
    <t>Konsumsi ( 34or x 1kali )</t>
  </si>
  <si>
    <t>Honor Narasumber (1 orx 1kl)</t>
  </si>
  <si>
    <t>PENCERMATAN RENCANA PEMBANGUNAN JANGKA MENENGAH DESA PENATIH DANGIN PURI</t>
  </si>
  <si>
    <t>Bidang / Kegiatan</t>
  </si>
  <si>
    <t>Mendukung SDGS Desa Ke-</t>
  </si>
  <si>
    <t>Pola Pelaksanaan (Swakeloka/ Kerjasama Antar Desa/ Kerjasama Pihak Ketiga)</t>
  </si>
  <si>
    <t>Asta Cita</t>
  </si>
  <si>
    <t>12 Aksi</t>
  </si>
  <si>
    <t>Indek Desa</t>
  </si>
  <si>
    <t>Kisis" RPJM Kota</t>
  </si>
  <si>
    <t>Visi Misi RPJM Provinsi</t>
  </si>
  <si>
    <t>Usulan</t>
  </si>
  <si>
    <t>w</t>
  </si>
  <si>
    <t>x</t>
  </si>
  <si>
    <t>Penyelenggaraan Pemerintah Desa</t>
  </si>
  <si>
    <t>Penyediaan Penghasilan Tetap Dan Tunjangan Kepala Desa</t>
  </si>
  <si>
    <t>Penyediaan Penghasilan Tetap Dan Tunjangan Perangkat Desa</t>
  </si>
  <si>
    <t>Penyediaan Jaminan Kesehatan dan tenaga kerja Bagi Perbekel dan Perangkat Desa</t>
  </si>
  <si>
    <t>Penyediaan Operasional Pemerintah Desa (Atk, Honorarium Pkpkd Dan Ppkd, Perlengkapan Perkantoran, Pakaian Dinas/Atribut, Listrik/Telpon, Dll)</t>
  </si>
  <si>
    <t>Penyediaan Tunjangan Bpd</t>
  </si>
  <si>
    <t>Penyediaan Operasional Bpd (Rapat-Rapat, Atk Makan-Minum, Perlengkapan Perkantoran, Pakaian Seragam, Perjalanan Dinas, Listrik/Telpon, Dll)</t>
  </si>
  <si>
    <t>Penyediaan Penghasilan Staff Desa</t>
  </si>
  <si>
    <t>Penyediaan Tambahan Tunjangan Perbekel, Perangkat dan BPD</t>
  </si>
  <si>
    <t>Penyediaan Tambahan Penghasilan Staff Desa</t>
  </si>
  <si>
    <t>Penjaringan Dan Penyaringan Perangkat Desa/Staff Desa</t>
  </si>
  <si>
    <t>Penyediaan Sarana (Aset Tetap) Perkantoran/Pemerintahan</t>
  </si>
  <si>
    <t>perbaikanGedung/Prasarana Kantor Desa</t>
  </si>
  <si>
    <t>Pembangunan/Rehabilitasi/Peningkatan Gedung/Prasarana Kantor Desa**</t>
  </si>
  <si>
    <t>Pelayanan Administrasi Umum Dan Kependudukan (Surat Pengantar/Pelayanan Ktp, Akta Kelahiran, Kartu Keluarga, pengadaan aplikasi pelayanan)</t>
  </si>
  <si>
    <t>Desa mandiri</t>
  </si>
  <si>
    <t>Penyusunan Profil Desa/Kelurahan</t>
  </si>
  <si>
    <t>Perangkat Daerah dan Desa / kelurahan yang terkoneksi Jaringan Informasi kearsipan</t>
  </si>
  <si>
    <t>Penyuluhan Dan Penyadaran Masyarakat Tentang Kependudukan Dan Pencatatan Sipil</t>
  </si>
  <si>
    <t>Pemetaan Dan Analisis Kemiskinan Desa Secara Partisipatif</t>
  </si>
  <si>
    <t>Pendataan Administrasi Penduduk Non Permanen/Pendatang</t>
  </si>
  <si>
    <t>Penyelenggaraan Musyarawah Perencanaan Desa/Pembahasan Apbdes  (Musdes, Musrenbangdes/Pra-Musrenbangdes, Dll., Bersifat Reguler)</t>
  </si>
  <si>
    <t>penyelenggaraan musyawarah BPD</t>
  </si>
  <si>
    <t>Kordinasi antar lembaga pemerintahan</t>
  </si>
  <si>
    <t>Penyelenggaraan Musyarawah Desa Lainnya (Musdus, Rembug Warga, Dll., Yang Bersifat Non-Reguler Sesuai Kebutuhan Desa)</t>
  </si>
  <si>
    <t>Penyusunan Dokumen Keuangan Desa (Apbdes/ Apbdes Perubahan/ Lpj Apbdes, Dan Seluruh Dokumen Terkait)</t>
  </si>
  <si>
    <t>Pengelolaan/Administrasi/Inventarisasi/Penilaian Aset Desa</t>
  </si>
  <si>
    <t>Penyusunan Kebijakan Desa (Perdes/Perkades, Dll - Diluar Dokumen Rencana Pembangunan/Keuangan)</t>
  </si>
  <si>
    <t>Penyusunan Laporan Kepala Desa/Penyelenggaraan Pemerintahan Desa (Laporan Akhir Tahun Anggaran, Laporan Akhir Masa Jabatan, Laporan Keterangan Akhir Tahun Anggaran, Informasi Kepada Masyarakat)</t>
  </si>
  <si>
    <t xml:space="preserve">Pengembangan Sistem Informasi Desa </t>
  </si>
  <si>
    <t>Program Pelayanan Administrasi Perkantoran</t>
  </si>
  <si>
    <t>Peningkatan Sarana Dan Prasarana Aparatur</t>
  </si>
  <si>
    <t>Pengendalian Keamanan Lingkungan</t>
  </si>
  <si>
    <t>Meningkatnya Tertib Pemanfaatan Ruang Kota Denpasar</t>
  </si>
  <si>
    <t>Mengintegrasikan Porgram Pelayanan Desa Dengan Kota Denpasar</t>
  </si>
  <si>
    <t>Misi 4 Poin 3</t>
  </si>
  <si>
    <t>Mengembangan Aset Desa Guna Mendukung  Program Desa Wisata</t>
  </si>
  <si>
    <t>Misi 1 Poin 10</t>
  </si>
  <si>
    <t>Meningkatkan Efisiensi Pelayanan Masyarakakn Melalui Penerapan Sistem Pelayanan Digital</t>
  </si>
  <si>
    <t>Pengembangan Sistem Informasi Desa Melalui Berbagai Media Digital Guna Mewujudkan Pemerintah Desa Yang Trasparan</t>
  </si>
  <si>
    <t>Membina Hubungan Baik Dengan Berbagai Organisasi Pemerintahan Guna Mewujudkan Pembangunan Desa Yang Terarah</t>
  </si>
  <si>
    <t xml:space="preserve">Pembentukan Tim Pengaduan Pelanggaran HAM </t>
  </si>
  <si>
    <t>Penyusunan Indesk Desa Penatih Dangin Puri</t>
  </si>
  <si>
    <t>v</t>
  </si>
  <si>
    <t>Penyelenggaraan Paud/Tk Non-Formal Milik Desa** (Bantuan Honor Pengajar, Pakaian Seragam, Operasional, Dst)</t>
  </si>
  <si>
    <t>Penyuluhan Dan Pelatihan Pendidikan Bagi Masyarakat</t>
  </si>
  <si>
    <t>perbaikanSarana Dan Prasarana Perpustakaan/Taman Bacaan Desa/ Sanggar Belajar Milik Desa **</t>
  </si>
  <si>
    <t>Pembangunan/Rehabilitasi/Peningkatan/Pengadaan Sarana/Prasarana/Alat Peraga Edukatif (Ape) Paud/ Tk/Tpa/Tka/Tpq/Madrasah Non-Formal Milik Desa**</t>
  </si>
  <si>
    <t>Pengembangan Dan Pembinaan Sanggar Seni Dan Belajar</t>
  </si>
  <si>
    <t>Dukungan Pendidikan Bagi Siswa Miskin/Berprestasi</t>
  </si>
  <si>
    <t>Perpustakaan Berjalan Untuk Anak Sd Dan Smp Dan Pembelajaran Bahasa Inggris Berbasis Sampah</t>
  </si>
  <si>
    <t>Misi 4 Poin 8</t>
  </si>
  <si>
    <t>Pelatihan Mata Pelajaran Untuk Anak Sekolah</t>
  </si>
  <si>
    <t xml:space="preserve"> Desa/Kelurahan yang UDF/Stop Buang Air Besar Sembarangan</t>
  </si>
  <si>
    <t>Desa/Kelurahan Sanitasi Total berbasis Kesehatan</t>
  </si>
  <si>
    <t>Desa Siaga Aktif</t>
  </si>
  <si>
    <t>Desa /Kelurahan yang menyelenggarakan tatanan Kawasan Sehat</t>
  </si>
  <si>
    <t>Desa yang mencapai universal Child Imunitation ( CI)</t>
  </si>
  <si>
    <t>Desa/Kelurahan mengalami KLB ditangani &lt; 24 jam</t>
  </si>
  <si>
    <t>Penyelenggaraan Pos Kesehatan Desa (Pkd)/Polindes Milik Desa (Obat-Obatan; Tambahan Insentif Bidan Desa/Perawat Desa; Penyediaan Pelayanan Kb Dan Alat Kontrasepsi Bagi Keluarga Miskin, Dst)</t>
  </si>
  <si>
    <t>Penyuluhan KB</t>
  </si>
  <si>
    <t>Desa/Kelurahan yang melaksanakan Pos Pembinaan Terpandu (Posbindu) PTM</t>
  </si>
  <si>
    <t>Penyelenggaraan Posyandu (Makanan Tambahan, Kelas Ibu Hamil, Kelas Lansia, Insentif Kader Posyandu Dan Lomba)</t>
  </si>
  <si>
    <t>Penyuluhan Dan Pelatihan Bidang Kesehatan (Untuk Masyarakat, Tenaga Kesehatan, Kader Kesehatan, Dll)</t>
  </si>
  <si>
    <t>sosialisasi stunting</t>
  </si>
  <si>
    <t>sosialisasi Bahaya Narkoba dan HIV AIDS</t>
  </si>
  <si>
    <t>Operasional TIM Kebersihan Lingkungan</t>
  </si>
  <si>
    <t>Kegiatan Pembentukan Bank Sampah</t>
  </si>
  <si>
    <t>Penyelenggaraan Desa Siaga Kesehatan</t>
  </si>
  <si>
    <t>Pembinaan Dan Lomba Bina Keluarga Balita (Bkb)</t>
  </si>
  <si>
    <t>Pembinaan Dan Pengawasan Upaya Kesehatan Tradisional</t>
  </si>
  <si>
    <t>Pelaksanaan Fogging Fokus</t>
  </si>
  <si>
    <t>Desa/Kelurahan yang mengukuti lomba kebersihan dan PSN tingkat Kota Denpasar</t>
  </si>
  <si>
    <t>Gerakan Serentak Psn Dan Lomba Psn</t>
  </si>
  <si>
    <t>Pembinaan Yoga Untuk Pkk Banjar dan PKK Desa</t>
  </si>
  <si>
    <t>Penanganan Disabilitas ( Tuna Wicara Dan Sakit Berkepanjangan)</t>
  </si>
  <si>
    <t>Penanganan Stunting</t>
  </si>
  <si>
    <t>Penanganan Disabilitas ( Kelainan Mental Dan Cacat Fisik</t>
  </si>
  <si>
    <t>Pos Kesehatan Hewan Untuk Ternak</t>
  </si>
  <si>
    <t>Penyelenggaraan Pos Bindu</t>
  </si>
  <si>
    <t>Pembinaan Kader Pos Bindu</t>
  </si>
  <si>
    <t>Pembinaan Rumah Sehat</t>
  </si>
  <si>
    <t>Penyelenggaraan Rumah Desa Sehat</t>
  </si>
  <si>
    <t>Pembinaan Hatinya Pkk</t>
  </si>
  <si>
    <t>Kegiatan Daur Ulang Sampah</t>
  </si>
  <si>
    <t>Menurunkan Angka Kesakitan Dan Kematian Akibat Penyakit Menular Dan Tidak Menular Dan Penyakit Yang Dapat Di Cegah Dengan Imunisasi Serta Penangulangan Wabah</t>
  </si>
  <si>
    <t>Meningkatnya Kesehatan Lingkungan Tempat-Tempat Umum, Kesehatan Makanan Dan Keamanan Pangan</t>
  </si>
  <si>
    <t xml:space="preserve"> Pemberian Hadiah Dengan Kategori Khusus Kepada Kader Dan Masyarakat</t>
  </si>
  <si>
    <t>Pembiayaan Lomba – Lomba Untuk Mewakili Desa</t>
  </si>
  <si>
    <t>Baby Spa</t>
  </si>
  <si>
    <t>Pembentukan POKTAN Baru</t>
  </si>
  <si>
    <t>Pembinaan Kepada Ppkbd Dan Sub Ppkdb</t>
  </si>
  <si>
    <t>Posyandu Remaja</t>
  </si>
  <si>
    <t>Sosialisasi Dan Pembinaan Gsi</t>
  </si>
  <si>
    <t>Sosialisasi Dan Pembinaan Desa Sehat</t>
  </si>
  <si>
    <t>perbaikanJalan Lingkungan Permukiman/Gang</t>
  </si>
  <si>
    <t>perbaikanPrasarana Jalan Desa (Gorong-Gorong, Selokan, Box/Slab Culvert, Drainase, Prasarana Jalan Lain)</t>
  </si>
  <si>
    <t>Pembangunan/Rehabilitasi/Peningkatan/Pengerasan Jalan Usaha Tani ( subak temaga)</t>
  </si>
  <si>
    <t>Pembangunan/Rehabilitasi/Peningkatan/Pengerasan Jalan Usaha Tani ( subak pohmanis)</t>
  </si>
  <si>
    <t>Penyelenggaraan Jumat Bersih</t>
  </si>
  <si>
    <t>Pembangunan / Rehabilitasi / Peningkatan Monumen / Gapura / Batas Desa**</t>
  </si>
  <si>
    <t>Pembuatan Jalan Usaha Tani Subak Taman sebelah selatan pura dalem pohmanis sampai Selatan Rumah Susun</t>
  </si>
  <si>
    <t>Pembuatan Jalan Alternatif Siulan Tembus Jalan Ida Bagus Japa</t>
  </si>
  <si>
    <t>Penyenderan Saluran Irigasi Munduk Tegeh Tembus Sungai Taman Sari</t>
  </si>
  <si>
    <t>Pemavingan Gang Panji Laplap Kauh</t>
  </si>
  <si>
    <t>Pembuatan Gapura Gang Dan Vertical Garden</t>
  </si>
  <si>
    <t xml:space="preserve">Pembuatan Candi Dan Tembok Penyengker Banjar Laplap Sengguan </t>
  </si>
  <si>
    <t>Penataan Sungai Jalan Menuju Pura Dalem Pohmanis</t>
  </si>
  <si>
    <t>Penggelontoran Got Sepanjang Jalan Dusun Pohmanis ( Pembuatan Saluran Buka Tutup Di Depan Rumah Dewa Aji Basudewa Untuk Melancarkan Limbah Rumah Tangga)</t>
  </si>
  <si>
    <t>Perbaikan Senderan Saluran Irigasi Subak ( Timur Pura Dalem Taman Pohmanis)</t>
  </si>
  <si>
    <t>Pembuatan Got Di Jalan Menuju Pura Dalem Pohmanis</t>
  </si>
  <si>
    <t>Penggelontoran Sungai / Penataan Sungai Lingkungan Pura Dalem Taman Pohmanis  ( Depan Jalan Menuju Pura Beji)</t>
  </si>
  <si>
    <t>Penutupan Got Di Perempatan Pura Dalem Pohmanis</t>
  </si>
  <si>
    <t>Pemavingan Jalan Penataan Tempat Upacara Ngayut Lingkungan Pura Siwa Merta Pura Dalem Pohamanis</t>
  </si>
  <si>
    <t>Pembuatan Saluran Irigasi ( Cacing) Munduk Dangin Jelinjingan Pohmanis</t>
  </si>
  <si>
    <t>Pembuatan Jalan Usaha Tani Barat Pura Desa Pohmanis</t>
  </si>
  <si>
    <t>Rehab Balai Banjar Nuansa Penatih</t>
  </si>
  <si>
    <t>Pembuatan Penyengker Setra Adat Taman Pohmanis</t>
  </si>
  <si>
    <t xml:space="preserve">Pemavingan Telajakan Pura Dalem Taman Pohmanis Utara Pura </t>
  </si>
  <si>
    <t>Pembuatan Jalan Usaha Tani Munduk Dajan Desa ( Perbatasan Badung</t>
  </si>
  <si>
    <t>Pembuatan  Saluran Irigasi Munduk Dauh Jelinjing Pohmanis</t>
  </si>
  <si>
    <t>Pemavingan Gang Lotus II gunung</t>
  </si>
  <si>
    <t xml:space="preserve">Pengadaan Candi  Pura Melating Pasar Gunung </t>
  </si>
  <si>
    <t xml:space="preserve">Perbaikan Tembok Penyengker Pura Melating Pasar Gunung </t>
  </si>
  <si>
    <t>Penataan Pura Kayangan Tiga bekul</t>
  </si>
  <si>
    <t>Renovasi Gedung Pencak Silat</t>
  </si>
  <si>
    <t xml:space="preserve">Perbaikan Padmasana Perempatan Banjar Gunung </t>
  </si>
  <si>
    <t>Penataan Balai Banjar Renovasi Bataran Bale Gede dusun gunung</t>
  </si>
  <si>
    <t>Pemavingan Gang Sekarsari IV</t>
  </si>
  <si>
    <t>Pemavingan Gang Sekarsari V</t>
  </si>
  <si>
    <t>Pemavingan Gang  Matahari IV</t>
  </si>
  <si>
    <t>Pemavingan, Gang Matahari V</t>
  </si>
  <si>
    <t>Pembuatan Jalan Usaha Tani  Munduk Sengguan</t>
  </si>
  <si>
    <t>Pembuatan Jalan Usaha Tani  Munduk Pengiu</t>
  </si>
  <si>
    <t>Pembuatan Saluran Irigasi Munduk Pengiu</t>
  </si>
  <si>
    <t>Pembuatan Saluran Tersier Munduk Balanjar</t>
  </si>
  <si>
    <t>Pemavingan Gang Flamboyan II</t>
  </si>
  <si>
    <t>Pemavingan Gang Sekar Sari I A</t>
  </si>
  <si>
    <t xml:space="preserve">Pemavingan Gang Sekar Buana II </t>
  </si>
  <si>
    <t>Perbaikan Got Gang Sekar Hyatt</t>
  </si>
  <si>
    <t>Pembuatan Gorong Gorong Gang Tunjung</t>
  </si>
  <si>
    <t>Pembuatan Gorong Gorong Gang Flamboyan III</t>
  </si>
  <si>
    <t>Penataan Pura Demung Banjar Laplap Arya</t>
  </si>
  <si>
    <t>Pemavingan Gang Pucuk</t>
  </si>
  <si>
    <t>Pembuatan Sumur Bor Banjar Laplap Arya</t>
  </si>
  <si>
    <t>Penataan Halaman  Wantilan Pura Desa Adat Laplap</t>
  </si>
  <si>
    <t>Pemavingan Gang Gang V Ujung Belakang</t>
  </si>
  <si>
    <t>Pemavingan  Gang Anggrek</t>
  </si>
  <si>
    <t>Pemavingan Gang  Cempaka Putih</t>
  </si>
  <si>
    <t>Pemavingan Gang Pura Taman  II</t>
  </si>
  <si>
    <t>Pemavingan Gang Pura Taman III</t>
  </si>
  <si>
    <t>Pemavingan Gang Nusa Indah IV Carik</t>
  </si>
  <si>
    <t>Rehab Bale Pesanekan Jaba Pura Windu Sari</t>
  </si>
  <si>
    <t xml:space="preserve">Rehab Candi Dan Tembok Penyengker Pura Penyarikan </t>
  </si>
  <si>
    <t>Pembuatan Tataan Patung Pura Kayangan Setra bekul</t>
  </si>
  <si>
    <t>Pelatihan Penanaman Bibit Tanaman Upakara</t>
  </si>
  <si>
    <t>Pemavingan Gang Lotus Menuju Gang Nusa Indah</t>
  </si>
  <si>
    <t>Pengelolaaan Sampah Tingkat Desa</t>
  </si>
  <si>
    <t>Kerjasama Pengelolaan Persampahan</t>
  </si>
  <si>
    <t xml:space="preserve">Program Pengendalian Banjir </t>
  </si>
  <si>
    <t xml:space="preserve">Penataan Lingkungan Batas Desa  </t>
  </si>
  <si>
    <t>Pelatihan/Sosialisasi/Penyuluhan/Penyadaran Tentang Lingkungan Hidup Dan Kehutanan</t>
  </si>
  <si>
    <t>Pembuatan Rambu-Rambu Di Jalan Desa</t>
  </si>
  <si>
    <t>Penyelenggaraan Informasi Publik Desa  (Misal : Pembuatan Poster/Baliho Informasi Penetapan/Lpj Apbdes Untuk Warga, Dll)</t>
  </si>
  <si>
    <t xml:space="preserve">Pembuatan Papan Larangan </t>
  </si>
  <si>
    <t>perbaikanSarana Dan Prasarana Energi Alternatif Tingkat Desa</t>
  </si>
  <si>
    <t>Pembangunan/Rehabilitasi/Peningkatan Sarana Dan Prasarana Pariwisata Milik Desa **</t>
  </si>
  <si>
    <t>Pengembangan Pariwisata Tingkat Desa</t>
  </si>
  <si>
    <t>Pembinaan dan Pelatihan untuk KK miskin</t>
  </si>
  <si>
    <t>Renovasi Bale Kulkul Br Laplap Tengah</t>
  </si>
  <si>
    <t>-</t>
  </si>
  <si>
    <t>Pembinaan Kemasyarakatan Desa</t>
  </si>
  <si>
    <t>Pengadaan/Penyelenggaraan Pos Keamanan Desa (Pembangunan Pos, Pengawasan Pelaksanaan Jadwal Ronda/Patroli Dll) **</t>
  </si>
  <si>
    <t>Pembentukan Tim Respon Cepat</t>
  </si>
  <si>
    <t>Misi 2 Poin3</t>
  </si>
  <si>
    <t>Meningkatkan Fusngsi Tenaga Linmas Dalam Menangani Situasi Darurat dan Kebencanaan Guna Mewujudkan Desa Tangguh Bencan</t>
  </si>
  <si>
    <t>Penguatan Dan Peningkatan Kapasitas Tenaga Keamanan/Ketertiban Oleh Pemerintah Desa (Satlinmas Desa)</t>
  </si>
  <si>
    <t>Penyelenggaraan Pengamanan Pengerupukan</t>
  </si>
  <si>
    <t>Penyelenggaraan Pengamanan Tahun Baru</t>
  </si>
  <si>
    <t>Pelatihan Kesiapsiagaan/Tanggap Bencana Skala Lokal Desa</t>
  </si>
  <si>
    <t>Bantuan Hukum Untuk Aparatur Desa Dan Masyarakat Miskin</t>
  </si>
  <si>
    <t>Pembinaan Group Kesenian Dan Kebudayaan Tingkat Desa</t>
  </si>
  <si>
    <t>Penyelenggaraan Festival Kesenian, Adat/Kebudayaan, Dan Keagamaan (Perayaan Hari Kemerdekaan, Hari Besar Keagamaan, Nganyarin) Tingkat Desa</t>
  </si>
  <si>
    <t>Pembinaan Adat Dan Keagamaan ( Piodalan Padmasana Kantor Desa)</t>
  </si>
  <si>
    <t>Pembinaan Adat Dan Keagamaan (Upakara Dan Upacara)</t>
  </si>
  <si>
    <t>Dukungan Kegiatan Keagamaan ( Upakara Dan Upacara )/ Bkk Provinsi</t>
  </si>
  <si>
    <t>Penunjang Operasional Subak/Subak Abian ( Bkk Provinsi )</t>
  </si>
  <si>
    <t>Penunjang Operasional Dan Kegiatan Desa Pakraman ( Bkk Kota )</t>
  </si>
  <si>
    <t>Pelatihan Sekaa Santhi (Pengadaan Sound Sistem)</t>
  </si>
  <si>
    <t>Pembinaan Gong Geguntangan Mertasari</t>
  </si>
  <si>
    <t>Penyelenggaraan Bulan Bahasa Bali</t>
  </si>
  <si>
    <t>Meningkatakan Peran Perempuan di Pedesaan (Kelompok)</t>
  </si>
  <si>
    <t>Pelatihan Administrasi P2wkss</t>
  </si>
  <si>
    <t>Pembinaan Sekaa Angklung ( Pengadaan Gambelan Angklung)</t>
  </si>
  <si>
    <t>Pembinaan Olah Raga Pencak Silat</t>
  </si>
  <si>
    <t>Pembinaan Sanggar Tari Sutasoma</t>
  </si>
  <si>
    <t>Pembinaan Kelompok Seni Gambang Br Bekul</t>
  </si>
  <si>
    <t>Pembinaan Kelompok Seni Angklung Anak Anak</t>
  </si>
  <si>
    <t>Pembinaan Administrasi Pkk Antar Banjar Dan Dasa Wisma</t>
  </si>
  <si>
    <t>Penyegaran Bagi Pkk Desa</t>
  </si>
  <si>
    <t>Pembinaan Dasa Wisma</t>
  </si>
  <si>
    <t>Anggaran Rapat Koordinasi Pkk Desa, LPM dan Karang Taruna</t>
  </si>
  <si>
    <t>Pembinaan Srati Banten (Membuat Tumpeng Dan Caru</t>
  </si>
  <si>
    <t>Pembinaan untuk Mengikuti Lomba di Tingkat Kota, Provinsi dan Pusat</t>
  </si>
  <si>
    <t>pelatihan peningkatan kapasitas LPM, Karang Taruna, PKK Desa</t>
  </si>
  <si>
    <t>Pembinaan Karang Taruna</t>
  </si>
  <si>
    <t xml:space="preserve"> Penyelenggaraan Senam Lansia</t>
  </si>
  <si>
    <t>Pembinaan Dan Lomba Membuat Sate Renteng</t>
  </si>
  <si>
    <t xml:space="preserve"> Pembinaan Dan Lomba Ping Pong</t>
  </si>
  <si>
    <t>Pengiriman Kontingen Kepemudaan Dan Olah Raga Sebagai Wakil Desa Di Tingkat Kecamatan Dan Kabupaten/Kota</t>
  </si>
  <si>
    <t>Penyelenggaraan Festival/Lomba Kepemudaan Dan Olahraga Tingkat Desa</t>
  </si>
  <si>
    <t>Laplap Tengah</t>
  </si>
  <si>
    <t>Penunjang Kegiatan Ekonomi Kreatif Untuk Sekeha Teruna (Bkk Kota)</t>
  </si>
  <si>
    <t>Konsolidasi Program Kementrian/Lembaga Masuk Desa.</t>
  </si>
  <si>
    <t>Pemerdayaan Masyarakat Desa</t>
  </si>
  <si>
    <t>Peningkatan Nilai produksi Tani dan Ternak</t>
  </si>
  <si>
    <t>perbaikanSaluran Irigasi Tersier/ Sederhana (Saluran Tersier Subak Temaga Munduk Pengiu)</t>
  </si>
  <si>
    <t xml:space="preserve">Pelatihan TIM Verifikasi dan penyusunan RKP </t>
  </si>
  <si>
    <t>Pelatihan PKPKD, PPKD dan TPK</t>
  </si>
  <si>
    <t>Pelatihan Rancangan APBDES</t>
  </si>
  <si>
    <t>Pelatihan Managemen BUMDes</t>
  </si>
  <si>
    <t>Pengembangan Ekonomi Desa/masyarakat</t>
  </si>
  <si>
    <t>Pelatihan Kelompok Ternak Ikan Lele laplap kauh</t>
  </si>
  <si>
    <t>Pembinaan Kelompok Ternak Lele laplap Tengah</t>
  </si>
  <si>
    <t>Peningkatan Produksi Peternakan (Alat Produksi Dan Pengolahan Peternakan, Kandang, Dll)</t>
  </si>
  <si>
    <t>Pemeliharan Saluran Irigasi Tersier/Sederhana</t>
  </si>
  <si>
    <t>Pelatihan Kelompok Kembang Rampe br buaji</t>
  </si>
  <si>
    <t>Pelatihan Kelompok Ternak Ayam Caru Banjar Laplap kauh</t>
  </si>
  <si>
    <t>Pelatihan Kelompok Tenak Sapi ( Pengenalan Tehnologi Baru )</t>
  </si>
  <si>
    <t>Pelatihan Kelompok Kembang Rampe br bekul</t>
  </si>
  <si>
    <t>Pelatihan Kelompok Kembang Rampe br pohmanis</t>
  </si>
  <si>
    <t xml:space="preserve">Peningkatan Kapasitas Kepala  Desa </t>
  </si>
  <si>
    <t>Peningkatan Kapasitas Perangkat Desa</t>
  </si>
  <si>
    <t>Peningkatan Kapasitas Bpd</t>
  </si>
  <si>
    <t>Pelatihan/Penyuluhan Pemberdayaan Perempuan</t>
  </si>
  <si>
    <t>Pelatihan Manajemen Pengelolaan Koperasi/ Kud/ Umkm</t>
  </si>
  <si>
    <t>Sertifikasi Dan Pelatihan Tenaga Terampil</t>
  </si>
  <si>
    <t>Pelatihan Kelompok Jajan Bali br taman ( Pembuatan Dan Pemasaran)</t>
  </si>
  <si>
    <t>Pelatihan Kelompok Jajan Bali ( Jaja Uli, Begina ) Dan Pemasaran Produk br laplap kauh</t>
  </si>
  <si>
    <t>Peningkatan Kapasitas Pengrajin Pisau</t>
  </si>
  <si>
    <t xml:space="preserve">Pelatihan Jajan Bali br aplap Tengah Dan Pemasaran </t>
  </si>
  <si>
    <t>Pelatihan Tata Rias Kelompok Wanita</t>
  </si>
  <si>
    <t>Pelatihan Pembuatan Jajan Bali br gunung</t>
  </si>
  <si>
    <t>Pembinaan Tukang Style Bali br gunung</t>
  </si>
  <si>
    <t>Pembinaan Kelompok Usaha Krupuk Beras</t>
  </si>
  <si>
    <t>Pembinaan Kelompok Anyaman Lampion  br buaji</t>
  </si>
  <si>
    <t>Pembinaan Kelompok Tukang Jarit br buaji</t>
  </si>
  <si>
    <t>Pembianaan Kelompok Jajan Bali  br pohmanis</t>
  </si>
  <si>
    <t>Pembinaan Tukang Style Bali br bekul</t>
  </si>
  <si>
    <t>Pelatihan Kelompok Jajan Bali ( Pembuatan Dan Pemasaran) br bekul</t>
  </si>
  <si>
    <t>Pengembangan Ekonomi Kreatif</t>
  </si>
  <si>
    <t>Pembangunan Teba Modern Di Lingkungan Desa Penatih Dangin Puri</t>
  </si>
  <si>
    <t>Misi 4 Poin 9</t>
  </si>
  <si>
    <t>Program Daur Ulang Sampah Plastik</t>
  </si>
  <si>
    <t>Bekerjasama Dengan Pemerintah Kota Untuk  Mengembangkan Media Promosi Wisata Desa</t>
  </si>
  <si>
    <t>Misi 1 poin 10</t>
  </si>
  <si>
    <t>Peningkatan Ekonomi Desa Dengan Mebangun Koprasi Desa Merah Putih</t>
  </si>
  <si>
    <t>Koprasi Desa Merah Putih</t>
  </si>
  <si>
    <t>Mengerakkan BUMDesa Pendukung Makan Gizi Geratis</t>
  </si>
  <si>
    <t xml:space="preserve">Binder Clip No. 105 </t>
  </si>
  <si>
    <t>Binder Clip No. 111</t>
  </si>
  <si>
    <t xml:space="preserve">Binder Clip No. 155 </t>
  </si>
  <si>
    <t xml:space="preserve">Bolpoin </t>
  </si>
  <si>
    <t xml:space="preserve">Tinta Stampel  </t>
  </si>
  <si>
    <t xml:space="preserve">Tinta Printer </t>
  </si>
  <si>
    <t xml:space="preserve">Batre Kecil AAA </t>
  </si>
  <si>
    <t xml:space="preserve">Batre 9 Volt </t>
  </si>
  <si>
    <t>Batre Kecil AA</t>
  </si>
  <si>
    <t>Buku Tulis Folio 100 kiky</t>
  </si>
  <si>
    <t>Flashdisk 64 Gb</t>
  </si>
  <si>
    <t>Tisu Wajah</t>
  </si>
  <si>
    <t>Pengurusan IMB</t>
  </si>
  <si>
    <t>Samsat Motor Listrik</t>
  </si>
  <si>
    <t>Pajak Bunga Bank</t>
  </si>
  <si>
    <t>Service motor listrik 3x1tahun</t>
  </si>
  <si>
    <t>Service Motor Dinas 3 x 1tahun</t>
  </si>
  <si>
    <t>Service Mobil Dinas 1unit x1tahun</t>
  </si>
  <si>
    <t>Pemeliharaan (Printer 11 unit )</t>
  </si>
  <si>
    <t>Pemeliharaan (Service 15unit AC)</t>
  </si>
  <si>
    <t>Pemeliharaan 3 Unit PC</t>
  </si>
  <si>
    <t>Pemerliharaan 20 Unit Laptop</t>
  </si>
  <si>
    <t>Pemeliharaan HT (36 Unit)</t>
  </si>
  <si>
    <t>Keteranangan</t>
  </si>
  <si>
    <t>Papan Jadwal Kegiatan</t>
  </si>
  <si>
    <t>Gabungan</t>
  </si>
  <si>
    <t>SDGS</t>
  </si>
  <si>
    <t>Musren dan musdes reguler</t>
  </si>
  <si>
    <t>RKP, APBDesa, Perubahan APBDesa</t>
  </si>
  <si>
    <t>LPJ dan LPPD</t>
  </si>
  <si>
    <t>estimasi</t>
  </si>
  <si>
    <t>OP BPD dan FKAKD</t>
  </si>
  <si>
    <t>TPP BKK Dan Tunjangan Kesehatan BPD</t>
  </si>
  <si>
    <t>Kesehatan dan Ketenagakerjaan Staf dan Ekosistem Desa</t>
  </si>
  <si>
    <t>Op Desa Dan Sosial Desa, DD 30%</t>
  </si>
  <si>
    <t>BHRD</t>
  </si>
  <si>
    <t>PAD Swadaya</t>
  </si>
  <si>
    <t>Silpa DD</t>
  </si>
  <si>
    <t xml:space="preserve">Spidol White Board </t>
  </si>
  <si>
    <t xml:space="preserve">Spidol permanen </t>
  </si>
  <si>
    <t xml:space="preserve">Binder Clip no 111 </t>
  </si>
  <si>
    <t>Pemeliharaan laptop</t>
  </si>
  <si>
    <t>Pengerupak</t>
  </si>
  <si>
    <t>Konsumsi Pelatihan 22 or x 21 kl</t>
  </si>
  <si>
    <t>Pelatih ( 2 or X 21 jam )</t>
  </si>
  <si>
    <t>jam</t>
  </si>
  <si>
    <t>: Penyuluhan dan Pelatihan Bidang Kesehatan Untuk Masyarakat  (Sosialisasi Sanitasi pedagang )</t>
  </si>
  <si>
    <t>Konsumsi (5or Petugas x 4kl)</t>
  </si>
  <si>
    <t>Petugas  (5or x 4Kl)</t>
  </si>
  <si>
    <t>Konsumsi ( 26or Kader, 2or narasumber, 3or pendamping x 1kali )</t>
  </si>
  <si>
    <t xml:space="preserve">Batre Besar </t>
  </si>
  <si>
    <t>Perawatan Mesin (10onit x 1th)</t>
  </si>
  <si>
    <t>Konsumsi Rapat Bulanan (4orTPPS + 21TPK X 4 Kl)</t>
  </si>
  <si>
    <t>Gabung di ILP</t>
  </si>
  <si>
    <t>Pos Gizi Ibu Hamil</t>
  </si>
  <si>
    <t>Pendampngan Catin</t>
  </si>
  <si>
    <t>Kampung KB</t>
  </si>
  <si>
    <t>PHBS</t>
  </si>
  <si>
    <t>PMT ILP dan Lomba PMT</t>
  </si>
  <si>
    <t>Papsmear Geratis</t>
  </si>
  <si>
    <t>Rumah Dataku</t>
  </si>
  <si>
    <t>Sanitasi Pedagang</t>
  </si>
  <si>
    <t>Sosialisasi Anjing Rabies</t>
  </si>
  <si>
    <t>TPPS</t>
  </si>
  <si>
    <t>TPPS, Rembuk Stunting</t>
  </si>
  <si>
    <t>Sama Dengan Desa Siaga Kesehatan</t>
  </si>
  <si>
    <t>Sama Dengan Penyuluhan KB</t>
  </si>
  <si>
    <t>Gabung ILP</t>
  </si>
  <si>
    <t>Gejolak Catin, Posyandu ILP</t>
  </si>
  <si>
    <t>ILP</t>
  </si>
  <si>
    <t>Pos Gisi Ibu hamil</t>
  </si>
  <si>
    <t>Pembinaan Kade Posyandu ILP, Pos Gizi Ibu Hamil, Pendampngan Catin, Kampung KB, PHBS, Rumah Dataku</t>
  </si>
  <si>
    <t>Gabung di Penyluhan Bidang Kesehatan</t>
  </si>
  <si>
    <t>Estimasi</t>
  </si>
  <si>
    <t xml:space="preserve">Estimasi </t>
  </si>
  <si>
    <t>DU RKP</t>
  </si>
  <si>
    <t>Sama</t>
  </si>
  <si>
    <t>gabung</t>
  </si>
  <si>
    <t>Bina Ilmu Belum ada gambar estimasi</t>
  </si>
  <si>
    <t>Belum ada Gambar</t>
  </si>
  <si>
    <t>Sduah Dari Kota</t>
  </si>
  <si>
    <t>Belum Ada Gambar</t>
  </si>
  <si>
    <t>Sudah di Paving Kota</t>
  </si>
  <si>
    <t>Sudah Dipaving</t>
  </si>
  <si>
    <t>Belum ada gambar</t>
  </si>
  <si>
    <t>Tanah Pribadi Laplap Tengah</t>
  </si>
  <si>
    <t>Belum ada gamar</t>
  </si>
  <si>
    <t>Belum ada Gambar Gang Nusaindah C/D</t>
  </si>
  <si>
    <t>Belanaja Barang dan Jasa yang Diserahkan kepada masyarakat</t>
  </si>
  <si>
    <t>Belanaja Barang Perlengkapan yang Diserahkan ke Masyarakat</t>
  </si>
  <si>
    <t>2.1.03.5.2.2.7</t>
  </si>
  <si>
    <t>2.1.03.5.2.2.7.01</t>
  </si>
  <si>
    <t>Service L300 1unit /tahun</t>
  </si>
  <si>
    <t>Spre Part Bak L300</t>
  </si>
  <si>
    <t>uni1</t>
  </si>
  <si>
    <t>Spare Part Truk2unit</t>
  </si>
  <si>
    <t>Belanja Seragam Atribut</t>
  </si>
  <si>
    <t>Pemeliharaan Mesi Konveyor</t>
  </si>
  <si>
    <t>2.4.07.5.2.2.91</t>
  </si>
  <si>
    <t>Celana Trening</t>
  </si>
  <si>
    <t>Pengelolaan Sampah Tinggat Desa, OP TPS3R</t>
  </si>
  <si>
    <t>Sosialisasi Pemilahan Sampah</t>
  </si>
  <si>
    <t>Konsumsi Rapat ( linmas 35 or kelihan banjar 13or bendesa 3or bhabib babinsa 2or BPD 1or, Pendampng 4or x 1 kali)</t>
  </si>
  <si>
    <t>Konsumsi Kegiatan( linmas 35 or kelihan banjar 13or bendesa 3or bhabib babinsa 2or BPD 1or,107or pecalang Pendampng 4or x 1 kali)</t>
  </si>
  <si>
    <t>Konsumsi Rapat ( linmas 35 or kelihan banjar 13or bendesa 3or bhabib babinsa 2or BPD 1or, Pendampng 6or x 1 kali)</t>
  </si>
  <si>
    <t>Buku Anggota Linmas</t>
  </si>
  <si>
    <t>Service Motor Linmas 2 Unit x 1th</t>
  </si>
  <si>
    <t>Service Mobil Linmas 1unit/than</t>
  </si>
  <si>
    <t>Mata Chain Saw</t>
  </si>
  <si>
    <t>PERUBAHAN RENCANA ANGGARAN BIAYA</t>
  </si>
  <si>
    <t xml:space="preserve">Nganyarin ke Pura Batur </t>
  </si>
  <si>
    <t>Silpa BHRD</t>
  </si>
  <si>
    <t>gabung dengan tim bencana</t>
  </si>
  <si>
    <t>Upakara upacara dan Tumpek landep</t>
  </si>
  <si>
    <t>gabung dengan BKK Desa Adat</t>
  </si>
  <si>
    <t>sudah Tahun ini</t>
  </si>
  <si>
    <t>Bulan Bungkarno</t>
  </si>
  <si>
    <t>di bidang II</t>
  </si>
  <si>
    <t>lpm</t>
  </si>
  <si>
    <t>Administrasi PKK, Bulan Bakti LPM, Pembinaan LPM</t>
  </si>
  <si>
    <t>Belanja Jasa Sewa Mobiltas</t>
  </si>
  <si>
    <t>Rehab Gudang BUMDesa</t>
  </si>
  <si>
    <t>oprasional</t>
  </si>
  <si>
    <t>sudah Masuk di aset</t>
  </si>
  <si>
    <t>koreksi anggaran</t>
  </si>
  <si>
    <t>gabung di perpustakaan</t>
  </si>
  <si>
    <t>Balik Dengan KB</t>
  </si>
  <si>
    <t>Rancang RAB</t>
  </si>
  <si>
    <t>Di PHBS</t>
  </si>
  <si>
    <t>Sanitasi Pedangan</t>
  </si>
  <si>
    <t>Pebaikan</t>
  </si>
  <si>
    <t>DURKP</t>
  </si>
  <si>
    <t>PKTD</t>
  </si>
  <si>
    <t>Rancang</t>
  </si>
  <si>
    <t>Balai Pertemuan</t>
  </si>
  <si>
    <t>Kordinasi Subak</t>
  </si>
  <si>
    <t>Esitmasi</t>
  </si>
  <si>
    <t>Rancang Gong Kebyar</t>
  </si>
  <si>
    <t>WHDI</t>
  </si>
  <si>
    <t>aada gabung</t>
  </si>
  <si>
    <t>Gabung di Pembinaan Pokja</t>
  </si>
  <si>
    <t>Tambahkan Di OP</t>
  </si>
  <si>
    <t>rancang bulan bakti LPM</t>
  </si>
  <si>
    <t>Ogoh - Ogoh</t>
  </si>
  <si>
    <t>Rancang sama bu gung</t>
  </si>
  <si>
    <t>Kordinasi dengan Pekaseh</t>
  </si>
  <si>
    <t>pastikan kelompok</t>
  </si>
  <si>
    <t>Gabung Perangkat</t>
  </si>
  <si>
    <t>P2wkss</t>
  </si>
  <si>
    <t>bidang 2</t>
  </si>
  <si>
    <t>Gabung di Poktan</t>
  </si>
  <si>
    <t>Nama Kegiatan</t>
  </si>
  <si>
    <t>Dusun</t>
  </si>
  <si>
    <t>Mertasari</t>
  </si>
  <si>
    <t>Gunung</t>
  </si>
  <si>
    <t>Subak Temaga</t>
  </si>
  <si>
    <t>Buaji</t>
  </si>
  <si>
    <t>Bekul</t>
  </si>
  <si>
    <t>Belanja Upakara, Upakara dan Aci Aci</t>
  </si>
  <si>
    <t>1.1.04.5.2.2.06</t>
  </si>
  <si>
    <t>Honorarium PKPKD dan PPKD</t>
  </si>
  <si>
    <t>1.1.91.5.2.2.07</t>
  </si>
  <si>
    <t>1.1.98.5.2</t>
  </si>
  <si>
    <t>1.1.98.5.2.5</t>
  </si>
  <si>
    <t>Belanja Oprasional Perkantoran</t>
  </si>
  <si>
    <t>1.1.98.5.2.5.91</t>
  </si>
  <si>
    <t>Jaminan Kesehatan BPD dan Staf</t>
  </si>
  <si>
    <t>1.1.98.5.2.5.92</t>
  </si>
  <si>
    <t>Jaminan Ketenagakerjaan BPD dan Staf</t>
  </si>
  <si>
    <t>1.1.98.5.2.7</t>
  </si>
  <si>
    <t>Belanja Barang dan Jasa yang Diserahkan kepada Masyarakat</t>
  </si>
  <si>
    <t>Belanja Premi BPJS Ketenagakerjaan Bagi Ekosistem Desa</t>
  </si>
  <si>
    <t>1.1.98.5.2.7.93</t>
  </si>
  <si>
    <t>1.1.95.5.2</t>
  </si>
  <si>
    <t>1.1.95.5.2.7</t>
  </si>
  <si>
    <t>1.1.95.5.2.7.01</t>
  </si>
  <si>
    <t>1.1.08.5.2</t>
  </si>
  <si>
    <t>1.1.08.5.2.7</t>
  </si>
  <si>
    <t>1.1.08.5.2.7.01</t>
  </si>
  <si>
    <t>1.1.97.5.1</t>
  </si>
  <si>
    <t>1.1.97.5.1.1</t>
  </si>
  <si>
    <t>1.3.92.5.2</t>
  </si>
  <si>
    <t>1.3.92.5.2.1</t>
  </si>
  <si>
    <t>1.3.92.5.2.1.06</t>
  </si>
  <si>
    <t>: Penyusunan/ Pendataan/PemuktahiranSDGS</t>
  </si>
  <si>
    <t>1.3.99.5.2</t>
  </si>
  <si>
    <t>1.3.99.5.2.1</t>
  </si>
  <si>
    <t>1.3.99.5.2.1.05</t>
  </si>
  <si>
    <t>1.3.99.5.2.1.06</t>
  </si>
  <si>
    <t>1.3.99.5.2.1.90</t>
  </si>
  <si>
    <t>1.3.99.5.2.2</t>
  </si>
  <si>
    <t>1.3.99.5.2.2.05</t>
  </si>
  <si>
    <t>1.4.01.5.2.1.08</t>
  </si>
  <si>
    <t>1.4.02.5.2.1.08</t>
  </si>
  <si>
    <t>2.1.01.5.2.1.05</t>
  </si>
  <si>
    <t>Belanja Cetak</t>
  </si>
  <si>
    <t>2.1.01.5.2.1.10</t>
  </si>
  <si>
    <t>Belanja Obat</t>
  </si>
  <si>
    <t>2.2.03.5.2.1.05</t>
  </si>
  <si>
    <t>Belanja Cetak Penggandaan</t>
  </si>
  <si>
    <t>: Penyelenggaraan Posyandu (Penyelenggaraan Posyandu Paripurna)</t>
  </si>
  <si>
    <t>2.2.90.5.2</t>
  </si>
  <si>
    <t>2.2.90.5.2.1</t>
  </si>
  <si>
    <t>2.2.90.5.2.1.01</t>
  </si>
  <si>
    <t>2.2.90.5.2.1.06</t>
  </si>
  <si>
    <t>2.2.90.5.2.1.08</t>
  </si>
  <si>
    <t>2.2.90.5.2.2</t>
  </si>
  <si>
    <t>2.2.90.5.2.2.04</t>
  </si>
  <si>
    <t>Ballpoint (Peserta 20or)</t>
  </si>
  <si>
    <t>Block Note (Peserta 20 Or)</t>
  </si>
  <si>
    <t>Konsumsi (Peserta 20, Nara Sumber 2or, Perangkat Desa 3or)</t>
  </si>
  <si>
    <t>Belanja Spanduk Pembinaan</t>
  </si>
  <si>
    <t>2.2.90.5.2.1.90</t>
  </si>
  <si>
    <t>2.2.90.5.2.2.01</t>
  </si>
  <si>
    <t>2.2.90.5.2.7</t>
  </si>
  <si>
    <t>2.2.90.5.2.7.90</t>
  </si>
  <si>
    <t>: Penyelenggaraan Desa Siaga Kesehatan( Sosialisasi anjing rabies)</t>
  </si>
  <si>
    <t>Penyelengggaraan Rumah Desa Sehat ( TPPS Desa )</t>
  </si>
  <si>
    <t>: Penyelengggaraan Rumah Desa Sehat (Rembuk Stunting)</t>
  </si>
  <si>
    <t>Konsumsi Pelatihan ( Peserta 39 or + Pelatih 3 or + TPK 5 or + Perangkat Desa 4 or  X 5 Kl )</t>
  </si>
  <si>
    <t>Konsumsi Technical meeting ( Peserta 39 + TPK 5 or + Perangkat Desa 4 or + BPD 1 or  + Perwakilan Juri 3 )</t>
  </si>
  <si>
    <t xml:space="preserve">Pengiriman lomba Pidato Bungkarno Tingkat Sekaa Truna 1 orang, Membaca Puisi Karya Bungkarno Tingkat SMP 1 Orang, Menyanyi Lagu Kebangsaan Tingkat SD 1 Orang Ke Tingkat Kecamatan </t>
  </si>
  <si>
    <t>Konsumsi Pelatihan (  peserta 3or Peserta, 3 orang Pelatih, TPK 5 orang, Perangkat Desa 2Orang x 5 Kl )</t>
  </si>
  <si>
    <t>Uang Saku Peserta Lomba ( 3 or x 1 Kl )</t>
  </si>
  <si>
    <t>Uang Saku Pelatihan (3 orang x 5 Kl)</t>
  </si>
  <si>
    <t>Lomba Defile Budaya Kader PKK (15orang Peserta, Cadangan 2orang)</t>
  </si>
  <si>
    <t>Konsumsi Pelatihan (  15Pesrta, Cadangan 2orang, Pelatih 2orang, TPK 5orang, x 20 Kl )</t>
  </si>
  <si>
    <t>Konsumsi Lomba (  15Pesrta, Cadangan 2orang, Pelatih 2orang, TPK 5orang,Perangat Desa 10or x 1 Kl )</t>
  </si>
  <si>
    <t>Kostum Peserta ( 17 Or )</t>
  </si>
  <si>
    <t>Berias Peserta ( 17 Or )</t>
  </si>
  <si>
    <t>Honor Pelatih  ( 2 Or X 20Kl )</t>
  </si>
  <si>
    <t>Uang Saku  Peserta Pelatihan  ( 15or Peserta, 2or cadangan x 20 Kl )</t>
  </si>
  <si>
    <t>Uang Saku Peserta Lomba ( 15or peserta , 2or Cadangan  x 2 Kl )</t>
  </si>
  <si>
    <t>Konsumsi 15or kader  x 10 kl</t>
  </si>
  <si>
    <t>Konsumsi Pembukaan dan Penutupan</t>
  </si>
  <si>
    <t>Undangan 20or x 2kl</t>
  </si>
  <si>
    <t>2.2.02.5.2.4</t>
  </si>
  <si>
    <t>2.2.02.5.2.4.02</t>
  </si>
  <si>
    <t>Belanja Jasa Sewa Perlengkpan</t>
  </si>
  <si>
    <t>Tenda</t>
  </si>
  <si>
    <t>Sound</t>
  </si>
  <si>
    <t>Honorarium Ahli/Narasumber</t>
  </si>
  <si>
    <t>Dokter Umum</t>
  </si>
  <si>
    <t>2.2.02.5.2.4.03</t>
  </si>
  <si>
    <t>Belanja Bahan Perlengkapan Yang Diserahkan Kepada Masayarakat</t>
  </si>
  <si>
    <t>Buku Kekawin</t>
  </si>
  <si>
    <t>Belanja Seragam/Atribut</t>
  </si>
  <si>
    <t>3.2.01.5.2</t>
  </si>
  <si>
    <t>3.2.01.5.2.1</t>
  </si>
  <si>
    <t>3.2.01.5.2.1.01</t>
  </si>
  <si>
    <t>3.2.01.5.2.1.06</t>
  </si>
  <si>
    <t>3.2.01.5.2.1.08</t>
  </si>
  <si>
    <t>3.2.01.5.2.2</t>
  </si>
  <si>
    <t>3.2.01.5.2.2.04</t>
  </si>
  <si>
    <t>3.2.01.5.2.7</t>
  </si>
  <si>
    <t>3.2.01.5.2.7.01</t>
  </si>
  <si>
    <t>TAHUN ANGGARAN 2026</t>
  </si>
  <si>
    <t>Karung Platsik</t>
  </si>
  <si>
    <t>Tali Rapiah</t>
  </si>
  <si>
    <t>Gulung</t>
  </si>
  <si>
    <t>Slop Tangan</t>
  </si>
  <si>
    <t>Kuas</t>
  </si>
  <si>
    <t>Beauty Blender</t>
  </si>
  <si>
    <t>Pembersih</t>
  </si>
  <si>
    <t>Pelembab</t>
  </si>
  <si>
    <t>Alas Bedak</t>
  </si>
  <si>
    <t>Bedak Tabur</t>
  </si>
  <si>
    <t>Bedak Padat</t>
  </si>
  <si>
    <t>Pensil Alis</t>
  </si>
  <si>
    <t>Eyeshadow</t>
  </si>
  <si>
    <t>Penyegar</t>
  </si>
  <si>
    <t>Blushon</t>
  </si>
  <si>
    <t>Lipstik</t>
  </si>
  <si>
    <t>Eyeliner</t>
  </si>
  <si>
    <t>Mascara</t>
  </si>
  <si>
    <t>Antol</t>
  </si>
  <si>
    <t>Sisir Sasak</t>
  </si>
  <si>
    <t>Jepit Bebek</t>
  </si>
  <si>
    <t>Jepit Hitam</t>
  </si>
  <si>
    <t>Hairnet</t>
  </si>
  <si>
    <t>Hairspray</t>
  </si>
  <si>
    <t>Karet Gelang</t>
  </si>
  <si>
    <t>4.4.01.5.7</t>
  </si>
  <si>
    <t>Belanja Barang dan Jasa Yang Diserahkan Kepada Masyarakat</t>
  </si>
  <si>
    <t>4.4.01.5.7.01</t>
  </si>
  <si>
    <t>Belanja Bahan Perlengkapan Untuk Diserahkan Kepada Masyarakat</t>
  </si>
  <si>
    <t>Jasa Narasumber ( 2 or x 2kali )</t>
  </si>
  <si>
    <t>Konsumsi Pembinaan (  15orPeserta, 3 Orang Perangkat Desa, 2or Narasumber x 2 Kl )</t>
  </si>
  <si>
    <t>4.4.01.5.2.1.01</t>
  </si>
  <si>
    <t>Belanja Upakara,Upacara dan Aci-Aci</t>
  </si>
  <si>
    <t xml:space="preserve"> : Penyuluhan dan Pelatihan Bidang Kesehatan (Pendampingan calon pengantin)</t>
  </si>
  <si>
    <t>: Penyuluhan dan Pelatihan Bidang Kesehatan Untuk Masyarakat  (Senam Untuk Kesehatan Perempuan)</t>
  </si>
  <si>
    <t>cultivator</t>
  </si>
  <si>
    <t>Sprayer Elektrik</t>
  </si>
  <si>
    <t>BBM Traktor</t>
  </si>
  <si>
    <t>BBM Kultivator</t>
  </si>
  <si>
    <t>Pelatih Senam (1 or x 48kl)</t>
  </si>
  <si>
    <t>Konsumsi Lomba ( BPD 9 or + Perangkat Desa 30r + TPK 5 or + Peserta 39 or + Juri 9 or + LPM 1 or + PKK 31 + Bhabinsa 2 or + Linmas 2 or )</t>
  </si>
  <si>
    <t>Piagam Pembina</t>
  </si>
  <si>
    <t>Konsumsi Kegiatan lombs ( Peserta 3or, Pemdaping 3or, TPK 5or, Perangat Desa 30or, BPD 9 x 1 Kl )</t>
  </si>
  <si>
    <t>Kostum Peserta (Pakaian dan Kamen)</t>
  </si>
  <si>
    <t>Ketua Tim Penyusun RKP Desa 2026</t>
  </si>
  <si>
    <t>Konsumsi (100 or x 1 kali)</t>
  </si>
  <si>
    <t>Honor Narasumber/ Instruktur (2 or x 1 kali )</t>
  </si>
  <si>
    <t>2.5.03.5.2.4</t>
  </si>
  <si>
    <t>2.5.03.5.2.4.01</t>
  </si>
  <si>
    <t>Belanja Sewa Gedung</t>
  </si>
  <si>
    <t>2.5.03.5.2.4.02</t>
  </si>
  <si>
    <t>Belanaj Jasa Sewa Peralatan</t>
  </si>
  <si>
    <t>Bondres</t>
  </si>
  <si>
    <t>2.5.03.5.2.2.05</t>
  </si>
  <si>
    <t>Sewa Sond Sistem</t>
  </si>
  <si>
    <t>Sewa Sound Sistem</t>
  </si>
  <si>
    <t>2.2.03.5.2.4.01</t>
  </si>
  <si>
    <t>Belanja Jasa Sewa Gedung</t>
  </si>
  <si>
    <t>Konsumsi ( 36 Peserta + 1 Kades + 1 Kasi + 5 TPK + 4 Narasumbe X 5 kali )</t>
  </si>
  <si>
    <t>Konsumsi ( Peserta 36 + Kades 1 + Sekdes 1 + Kasi 1 + TPK 5 + Juri 2)</t>
  </si>
  <si>
    <t>Konsumsi ( Peserta 36 + Juri 6 + Babinsa 2 + TPK 5  + Perangkat 28 + BPD 9 + 1 Tamu + Linmas 2)</t>
  </si>
  <si>
    <t xml:space="preserve">Piagam Pemenang </t>
  </si>
  <si>
    <t xml:space="preserve">Piagam Juri </t>
  </si>
  <si>
    <t xml:space="preserve">Hadiah Lomba </t>
  </si>
  <si>
    <t xml:space="preserve">  : Penyelenggaraan Festival Kesenian, Adat / Kebudayaan, dan Keagamaan (Pembinaan dan Lomba Membaca Puisi dan Karaoke Ibu dan Anak Memperingati Hari Ibu)</t>
  </si>
  <si>
    <t>Speaker Portable</t>
  </si>
  <si>
    <t>: Pelatihan dan Penyuluhan Pemberdayaan Perempuan Pembinaan Kelompok UP2K (Pelatihan Tatarias dan Mesanggul Kelompok Krisnananda)</t>
  </si>
  <si>
    <t>: Pelatihan dan Penyuluhan Pemberdayaan Perempuan Pembinaan WHDI</t>
  </si>
  <si>
    <t>Bolpoint (Peserta 25or x 3banjar)</t>
  </si>
  <si>
    <t>Konsumsi Pembinaan (  25orPeserta, 3 Orang Perangkat Desa,1orang BPD,  2or Narasumber x 3 Kl )</t>
  </si>
  <si>
    <t>Jasa Narasumber ( 2 or x 3kali )</t>
  </si>
  <si>
    <t>Busung Bali</t>
  </si>
  <si>
    <t>Ron</t>
  </si>
  <si>
    <t>Selepan</t>
  </si>
  <si>
    <t>Semat</t>
  </si>
  <si>
    <t>Kekebat Ukuran Sedang</t>
  </si>
  <si>
    <t>Daun Pisang</t>
  </si>
  <si>
    <t>Bunga Campur</t>
  </si>
  <si>
    <t>Kembang rampe</t>
  </si>
  <si>
    <t>Bunga Harum</t>
  </si>
  <si>
    <t>Kelapa Daksina</t>
  </si>
  <si>
    <t>Ising Daksina</t>
  </si>
  <si>
    <t>Nyuh Gading</t>
  </si>
  <si>
    <t>Payuk Pere</t>
  </si>
  <si>
    <t>Lis Basang Basang</t>
  </si>
  <si>
    <t>Tumpeng Besar isi 10</t>
  </si>
  <si>
    <t>Tumpeng Kecil isi 15</t>
  </si>
  <si>
    <t>Penek isi 25</t>
  </si>
  <si>
    <t>Base</t>
  </si>
  <si>
    <t>ikat</t>
  </si>
  <si>
    <t>Pamor</t>
  </si>
  <si>
    <t>Plawa</t>
  </si>
  <si>
    <t>Benang Tebus Putih</t>
  </si>
  <si>
    <t>Benang Tebus Merah</t>
  </si>
  <si>
    <t>Beras Merah</t>
  </si>
  <si>
    <t>Tepung Beras</t>
  </si>
  <si>
    <t>Boreh Miik</t>
  </si>
  <si>
    <t>Minyak Varco</t>
  </si>
  <si>
    <t>Sisig</t>
  </si>
  <si>
    <t xml:space="preserve">Daun Dadap </t>
  </si>
  <si>
    <t>Pandan Medui</t>
  </si>
  <si>
    <t xml:space="preserve">Pis Bolong </t>
  </si>
  <si>
    <t>Bawang jahe</t>
  </si>
  <si>
    <t>Tebu</t>
  </si>
  <si>
    <t>Bantal Besar</t>
  </si>
  <si>
    <t>Tape Besar</t>
  </si>
  <si>
    <t>Pelas</t>
  </si>
  <si>
    <t>Jaja Gina dan Jaja Uli</t>
  </si>
  <si>
    <t xml:space="preserve">Pisang </t>
  </si>
  <si>
    <t>Telur Bebek Dadar</t>
  </si>
  <si>
    <t>Gerang</t>
  </si>
  <si>
    <t>Saur</t>
  </si>
  <si>
    <t>Garam</t>
  </si>
  <si>
    <t>Sambal</t>
  </si>
  <si>
    <t>Sidi</t>
  </si>
  <si>
    <t>Tempeh</t>
  </si>
  <si>
    <t>Bebedog</t>
  </si>
  <si>
    <t>Jeruk</t>
  </si>
  <si>
    <t>Kacang</t>
  </si>
  <si>
    <t>Sambuk</t>
  </si>
  <si>
    <t>: Penguatan Ketahanan Pangan Tingkat Desa (Pelatihan Kelompok Pekarangan Pangan Bergizi)</t>
  </si>
  <si>
    <t>Konsumsi Pelatihan  (15 or x  5klp, 2or Narasumber  x 2 kali)</t>
  </si>
  <si>
    <t>4.2.03.5.2.2</t>
  </si>
  <si>
    <t>4.2.03.5.2.2.01</t>
  </si>
  <si>
    <t>Rumah Bibit (green House)</t>
  </si>
  <si>
    <t>Alat Siram Manual</t>
  </si>
  <si>
    <t>Tray Semai</t>
  </si>
  <si>
    <t>Tanah humus</t>
  </si>
  <si>
    <t>Slop Tangan karet</t>
  </si>
  <si>
    <t>Pupuk NPK</t>
  </si>
  <si>
    <t>Poly bag 30 x 30</t>
  </si>
  <si>
    <t xml:space="preserve">Poly bag 5 x 5 </t>
  </si>
  <si>
    <t>Pupuk Organik Cair</t>
  </si>
  <si>
    <t>Benih Cabai</t>
  </si>
  <si>
    <t>Benih Tomat</t>
  </si>
  <si>
    <t>Benih Terong</t>
  </si>
  <si>
    <t>Benih Cabai Besar</t>
  </si>
  <si>
    <t>Lomba Ngelawar</t>
  </si>
  <si>
    <t>Daging, Bumbu dan Bahan</t>
  </si>
  <si>
    <t>3.4.02.5.2.4</t>
  </si>
  <si>
    <t>3.4.02.5.2.4.01</t>
  </si>
  <si>
    <t>Belanja Jasa Sewa Peralatan</t>
  </si>
  <si>
    <t>3.4.02.5.2.4.02</t>
  </si>
  <si>
    <t xml:space="preserve">Karpet </t>
  </si>
  <si>
    <t xml:space="preserve">Meja </t>
  </si>
  <si>
    <t>Belanja Jasa Atlit dan Seniman Berprestas</t>
  </si>
  <si>
    <t>3.4.02.5.2.7.90</t>
  </si>
  <si>
    <t>Hadiah Juara 1</t>
  </si>
  <si>
    <t>klp</t>
  </si>
  <si>
    <t>Hadiah Juara II</t>
  </si>
  <si>
    <t>Hadiah Juara III</t>
  </si>
  <si>
    <t>Konsumsi Peserta 7or x  13 klp x 1 kl</t>
  </si>
  <si>
    <t>Konsumsi Undangan Perangkat Desa dan staf 29, BPD 9, Camat 3, LPM 17, Petugas Kebersihan 11, Linmas 5 orang, Bhabinsa Bhabinkamtibmas 2orang</t>
  </si>
  <si>
    <t>3.4.02.5.2.2.01</t>
  </si>
  <si>
    <t>Konsumsi Peserta 3or x  13 klp x 1 kl</t>
  </si>
  <si>
    <t>Wasit</t>
  </si>
  <si>
    <t>Hadiah Juara 1 Ganda</t>
  </si>
  <si>
    <t>Hadiah Juara II Ganda</t>
  </si>
  <si>
    <t>Hadiah Juara III Ganda</t>
  </si>
  <si>
    <t>Hadiah Juara 1 Tunggal</t>
  </si>
  <si>
    <t>Hadiah Juara II Tunggal</t>
  </si>
  <si>
    <t>Hadiah Juara III Tunggal</t>
  </si>
  <si>
    <t>3.4.02.5.2.2.05</t>
  </si>
  <si>
    <t>Belanja Jasa Honorarium Petugas Kebersihan</t>
  </si>
  <si>
    <t>3.4.02.5.2.1.07</t>
  </si>
  <si>
    <t>Meja Tenis Meja</t>
  </si>
  <si>
    <t>Bet Tenis Meja</t>
  </si>
  <si>
    <t>Bola Tenis Meja</t>
  </si>
  <si>
    <t>Konsumsi Teknical Meeting perwakilan peserta 26, TPK 5, Pewakilan Wasit dan juri 2, Perangakat Desa 4orang, Perwakilan BPD 3orang, LPM  3or</t>
  </si>
  <si>
    <t>Honor Petugas Medis</t>
  </si>
  <si>
    <t>Jalan Santai</t>
  </si>
  <si>
    <t>Dekorasi</t>
  </si>
  <si>
    <t>Konsumsi Kegiatan Jalan Satai 100or x 1Kl</t>
  </si>
  <si>
    <t>Sepanduk</t>
  </si>
  <si>
    <t>Baliho</t>
  </si>
  <si>
    <t>3.4.02.5.2.4.99</t>
  </si>
  <si>
    <t>Belanja Jasa Sewa Lainnya</t>
  </si>
  <si>
    <t>Sewa Hiburan</t>
  </si>
  <si>
    <t>MC</t>
  </si>
  <si>
    <t>TV 32"</t>
  </si>
  <si>
    <t>Sepeda</t>
  </si>
  <si>
    <t>Kipas Angin</t>
  </si>
  <si>
    <t>Tumler</t>
  </si>
  <si>
    <t>Payung</t>
  </si>
  <si>
    <t xml:space="preserve">Belanja Pakaian Dinas/Seragam/Atribut
</t>
  </si>
  <si>
    <t>Celana Traning + Baju Kaos</t>
  </si>
  <si>
    <t xml:space="preserve">  : Penyelenggaraan Festival Kesenian, Adat / Kebudayaan, dan Keagamaan (Parade Baleganjur Ngarap Desa Penatih Dangin Puri)</t>
  </si>
  <si>
    <t>Konsumsi Rapat (5or TPK, 12orang Perangkat Desa dan Kepala Dusun, 13or Kelihan Banjar dan Kelompok, BPD 9or)</t>
  </si>
  <si>
    <t>Konsumsi Teknical Meeting (5or TPK, 12orang Perangkat Desa dan Kepala Dusun, 13or Perwakilan Peserta, 1or Perwakilan BPD, 2Or Perwakilan Juri)</t>
  </si>
  <si>
    <t>Konsumsi ( 23 peserta x 13klp x 30Kl )</t>
  </si>
  <si>
    <t>Konsumsi ( Peserta 25 x13klp, Perangkat Desa 29, BPD 9, Petugas Kebersihan 11, Juri 13, Bhabinsa Bhabin Kamtibmas 2or, Kelihan Banjar 13or, Bendesa 3or, Camat 2or)</t>
  </si>
  <si>
    <t>Honor Pelatih ( 13 klp x 30 kl)</t>
  </si>
  <si>
    <t>Honor Juri 13orx1kl</t>
  </si>
  <si>
    <t>Sewa Tenda Stand</t>
  </si>
  <si>
    <t>3.2.03.5.2.4.01</t>
  </si>
  <si>
    <t>Belanja Jasa Sewa Bangunan Gedung</t>
  </si>
  <si>
    <t>3.2.03.5.2.2.05</t>
  </si>
  <si>
    <t>Petugas Kebersihan 11or x 2kl</t>
  </si>
  <si>
    <t>Petugas Kesehatan 3orang x 1Kl</t>
  </si>
  <si>
    <t>Klp</t>
  </si>
  <si>
    <t>3.2.03.5.2.2.01</t>
  </si>
  <si>
    <t xml:space="preserve">Ketua </t>
  </si>
  <si>
    <t>Penulisan Ijazah</t>
  </si>
  <si>
    <t>Cetak Ijazah</t>
  </si>
  <si>
    <t>Sampul Ijazah</t>
  </si>
  <si>
    <t>Pemeliharaan Mainan Anak - Anak</t>
  </si>
  <si>
    <t>Karpet Rumput Sintetis</t>
  </si>
  <si>
    <t xml:space="preserve">Kertas F4 70 gram </t>
  </si>
  <si>
    <t xml:space="preserve">Kertas A4 70 gram </t>
  </si>
  <si>
    <t>Isi Staples Besar</t>
  </si>
  <si>
    <t>Steples alat Besar HD No 50</t>
  </si>
  <si>
    <t>Binder Clip No. 260</t>
  </si>
  <si>
    <t>Stam Pad</t>
  </si>
  <si>
    <t>Batre Cash puls charger</t>
  </si>
  <si>
    <t>Stempel Kayu</t>
  </si>
  <si>
    <t>Lem Stick 8Gr</t>
  </si>
  <si>
    <t>Lampu Ruangan LED 5 What</t>
  </si>
  <si>
    <t>Lampu Ruangan LED 30 What</t>
  </si>
  <si>
    <t>Lampu Ruangan LED Downlight 30 What</t>
  </si>
  <si>
    <t>lap Tangan Tebal</t>
  </si>
  <si>
    <t>Keset Woll Benang</t>
  </si>
  <si>
    <t>Sabun Cuci Piring 800ml</t>
  </si>
  <si>
    <t>Steples alat jilid</t>
  </si>
  <si>
    <t>Buku Tulis Folio</t>
  </si>
  <si>
    <t>Post it</t>
  </si>
  <si>
    <t xml:space="preserve">Tinta stampel </t>
  </si>
  <si>
    <t>Penggaris Besi</t>
  </si>
  <si>
    <t>Box File Plastik</t>
  </si>
  <si>
    <t xml:space="preserve">Buku Gamar a3 </t>
  </si>
  <si>
    <t>Penghaspus B 20</t>
  </si>
  <si>
    <t>Lem kertas kecil</t>
  </si>
  <si>
    <t>Pensil Warna  12</t>
  </si>
  <si>
    <t>Kuas Lukis</t>
  </si>
  <si>
    <t>Gerotan Pensil</t>
  </si>
  <si>
    <t>Penghapus Pensil</t>
  </si>
  <si>
    <t>Kertas A4 70 gram</t>
  </si>
  <si>
    <t>Ballpoint</t>
  </si>
  <si>
    <t>Alat Steples Max HD 10</t>
  </si>
  <si>
    <t>Pensil 2B</t>
  </si>
  <si>
    <t>Konsumsi Prasmanan</t>
  </si>
  <si>
    <t>Sapu Lidi Tangkai</t>
  </si>
  <si>
    <t xml:space="preserve">Keranjang </t>
  </si>
  <si>
    <t>pack</t>
  </si>
  <si>
    <t>4.6.02.5.2.4</t>
  </si>
  <si>
    <t>4.6.02.5.2.4.01</t>
  </si>
  <si>
    <t>Outbond Perangkat BUMDesa 5 orang, Pengawas 3orang, Narasumber 2orang</t>
  </si>
  <si>
    <t>: Pembinaan Karang Taruna (Sosialisasi Pemuda Pelopor Desa)</t>
  </si>
  <si>
    <t>Konsumsi Sosialisasi 42 Anggota , 3or Perangakt Desa, 2or Narasumber</t>
  </si>
  <si>
    <t>Pembinaan Grup Kesenian dan Kebudayaan Tingkat Desa (Pembuatan Lagu Mars Desa Penatih Dangin Puri)</t>
  </si>
  <si>
    <t>Konsumsi Rapat ( 29 Perangkat Desa + 3or TPK + 9or BPD)</t>
  </si>
  <si>
    <t>Konsumsi Pelatihan (29 Perangakt Desa + 3 Or TPK + 2Orang Narasumber) 3KL</t>
  </si>
  <si>
    <t>Honor Narasumber ( 2or x 2kl)</t>
  </si>
  <si>
    <t>3.2.01.5.2.2.01</t>
  </si>
  <si>
    <t>3.2.01.5.2.1.07</t>
  </si>
  <si>
    <t>Belanja Pembutan Mars Desa Penatih Dangin Puri</t>
  </si>
  <si>
    <t>Perencanaan Pembangunan Geduk/Prasarana Kantor Desa (Perencanaan/ Penggkajian Pembangunan Desa Wisata)</t>
  </si>
  <si>
    <t>: 1Kl</t>
  </si>
  <si>
    <t>1.2.90.5.2</t>
  </si>
  <si>
    <t>1.2.90.5.2.2</t>
  </si>
  <si>
    <t>1.2.90.5.2.2.01</t>
  </si>
  <si>
    <t>1.2.90.5.2.2.04</t>
  </si>
  <si>
    <t>Belanja Honoraium Tim Yang Melaksanakan Kegiatan</t>
  </si>
  <si>
    <t>Belanja Honoraium Ahli</t>
  </si>
  <si>
    <t>Belanja Perencanaan Pembangunan Desa Wusata</t>
  </si>
  <si>
    <t>RENCANA KERJA PEMERINTAH DESA (RKP DESA)</t>
  </si>
  <si>
    <t>1.2.01.5.3.1</t>
  </si>
  <si>
    <t>Belanja Modal Tanah</t>
  </si>
  <si>
    <t>1.2.01.5.3.1.01</t>
  </si>
  <si>
    <t>Belanja Modal Pembelian Tanah</t>
  </si>
  <si>
    <t>1, 2, 3, 10</t>
  </si>
  <si>
    <t>Target Capaian Tahun 2026</t>
  </si>
  <si>
    <t>15 Orang Terpenuhi Pagu Masksimal</t>
  </si>
  <si>
    <t>16 Orang Terpenuhi Pagu Masksimal</t>
  </si>
  <si>
    <t>Terpenuhinya Penyediaan Oprasional Kantor</t>
  </si>
  <si>
    <t>12 Bln</t>
  </si>
  <si>
    <t>7775 Orang</t>
  </si>
  <si>
    <t>9 Orang Terpenuhinya Pagu Maksimal</t>
  </si>
  <si>
    <t>Terpenuhinya Penyediaaan Oprasional BPD</t>
  </si>
  <si>
    <t>Terlaksananya Musayawarah BPD Setiap Tahun Nya</t>
  </si>
  <si>
    <t>8 Kl</t>
  </si>
  <si>
    <t>Teselengaranya Rapat FKAKD</t>
  </si>
  <si>
    <t>4 Kl</t>
  </si>
  <si>
    <t>Terlakasananya Penjaringan Perangkat Desa</t>
  </si>
  <si>
    <t>1 Kl</t>
  </si>
  <si>
    <t>1 Bln</t>
  </si>
  <si>
    <t>219 Orang Terpenuhinya Pagu Maksima</t>
  </si>
  <si>
    <t>219 Orang</t>
  </si>
  <si>
    <t>Body Repair</t>
  </si>
  <si>
    <t>Tim Kebersihan Sungai 10or</t>
  </si>
  <si>
    <t>Terlaksananya Kegiatan Sosial Desa</t>
  </si>
  <si>
    <t>Terlaksananya Kegiatan Tiap Tahun</t>
  </si>
  <si>
    <t>Terpenuhinya 1or Tambahan Penghasilan</t>
  </si>
  <si>
    <t>Terpenuhinya Penyediaan Aset Tetap Desa</t>
  </si>
  <si>
    <t>Terpeliharanya Vertical Garden Desa</t>
  </si>
  <si>
    <t>3 Bln</t>
  </si>
  <si>
    <t>1, 2, 9, 10</t>
  </si>
  <si>
    <t>Terbwujudnya Perencanaan Desa wisata</t>
  </si>
  <si>
    <t>Terlakasananya Pembaharuan Data SDGS</t>
  </si>
  <si>
    <t>Terlakasananya Pembaharuan Data Indek Desa</t>
  </si>
  <si>
    <t>Terwujudnya Arsip Desa Yang Tertata</t>
  </si>
  <si>
    <t>Penertiban Penduduk Dilakukan Setiap Tahun</t>
  </si>
  <si>
    <t>2 Kl</t>
  </si>
  <si>
    <t>Terlaksananya Musrenbang Desa</t>
  </si>
  <si>
    <t>Terkasananya Musyawarah Reguler Setiap Tahun</t>
  </si>
  <si>
    <t>uang saku peserta (40or x 4)</t>
  </si>
  <si>
    <t>Terkasananya Musyawarah Non Reguler Setiap Tahun</t>
  </si>
  <si>
    <t>Terlaksananya Pemyusunan RKP</t>
  </si>
  <si>
    <t>Tersusunnya APBDesa</t>
  </si>
  <si>
    <t>Tersusunya APBDesa Perubahan</t>
  </si>
  <si>
    <t>Terlaksananya Penysunan LPJ</t>
  </si>
  <si>
    <t>Terlaksananya penyusunan Laporan Realisasi APBDesa</t>
  </si>
  <si>
    <t>:Pengiriman Kontingen Group Kesenian &amp; Kebudayaan Ke tingkat Kota ( Lomba Penjor Hut Kota Denpasar)</t>
  </si>
  <si>
    <t>Penjor Hut Kota Denpasar</t>
  </si>
  <si>
    <t>Terlaksananya Penggelolaan Taman Kanak - kanak setiap Tahun Nya</t>
  </si>
  <si>
    <t>Terlaksananya Pelatihan Bahasa Bali Untuk Anak Setiap Tahun Nya</t>
  </si>
  <si>
    <t>21 Kl</t>
  </si>
  <si>
    <t>2 Bulan</t>
  </si>
  <si>
    <t>Terlaksananya Kegiatan Perpustaan Keliling Setiap Tahun Nya</t>
  </si>
  <si>
    <t>Terlaksananya Kegiatan Posyandu Setiap Tahunnya</t>
  </si>
  <si>
    <t>Terlasananya Kegiatan Pos Gizi Setiap Tahun Nya</t>
  </si>
  <si>
    <t>Terlaksananya Kegiatan Posyandu Paripurna</t>
  </si>
  <si>
    <t>Terlasananya Pembinaan Kader Posyandu Setiap Tahun Nya</t>
  </si>
  <si>
    <t>Terlaksananya Kegiatan Pendampingan Calon Pengatin Setiap tahun Nya</t>
  </si>
  <si>
    <t>3, 4</t>
  </si>
  <si>
    <t>Terlaksananya Kegiatan Pembinaan Kampung Keluara Berkwalitas</t>
  </si>
  <si>
    <t>30 Orang</t>
  </si>
  <si>
    <t>1 Bulan</t>
  </si>
  <si>
    <t>Terlaksananya Penyuluhan PHBS Setiap Tahun Nya</t>
  </si>
  <si>
    <t>39 Orang</t>
  </si>
  <si>
    <t>Terlaksananya Penyuluhan Narkoba dan HIV/AIDS Setiap Tahun Nya</t>
  </si>
  <si>
    <t>Terselenggaranya Penyuluhan KB Setiap Tahun Nya</t>
  </si>
  <si>
    <t>Teselenggaranya Lomba PMT Setiap Tahunnya</t>
  </si>
  <si>
    <t>Terlaksananya Papsmear Geratis untuk 40or</t>
  </si>
  <si>
    <t>40 Orang</t>
  </si>
  <si>
    <t>Terlaksananya Kegiatan Sosialisasi Sanitasi Pedagang</t>
  </si>
  <si>
    <t>Terlaksananya Kegiatan Senam Untuk Perempuan Setiap Tahunnya</t>
  </si>
  <si>
    <t>48 Kl</t>
  </si>
  <si>
    <t>6 Bln</t>
  </si>
  <si>
    <t>Terlaksananya Kegiatan Desa Siaga Kesehatan</t>
  </si>
  <si>
    <t>Terlaksananya Pengawasan Anjing Liar</t>
  </si>
  <si>
    <t>Terlaksananya Lomba Balita Sehat</t>
  </si>
  <si>
    <t>Terlaksananya Kegiatan Foging Fokus</t>
  </si>
  <si>
    <t>Terlakasananya Kegiatan Gerakan Serentak Pemberantasan Sarang Nyamuk</t>
  </si>
  <si>
    <t>Terlaksananya Kegiatan Tim Percepatan Penanggulangan Stunting</t>
  </si>
  <si>
    <t>1.3.92.5.2.2</t>
  </si>
  <si>
    <t>1.3.92.5.2.2.05</t>
  </si>
  <si>
    <t>Pemeliharaan Jalan Lingkungan Permukiman Gang Cempaka Putih (Pemavingan)</t>
  </si>
  <si>
    <t>Kanstin Pintu Masuk</t>
  </si>
  <si>
    <t>kanstin Segi Lima</t>
  </si>
  <si>
    <t>Pemeliharaan Jalan Lingkungan Permukiman Gang Plamboyan I (Pembersihan Site)</t>
  </si>
  <si>
    <t>Pembersihan Site 265 m1</t>
  </si>
  <si>
    <t>Pemeliharaan Jalan Lingkungan Permukiman Gang Plamboyan I (Pemavingan)</t>
  </si>
  <si>
    <t>Paving : 1,110 m2, Kanstin s : 4,5 m1, Kanstin DKI :536m1</t>
  </si>
  <si>
    <t>Pemeliharaan Jalan Lingkungan Permukiman Gang Sekar Sari 1A (Pemavingan)</t>
  </si>
  <si>
    <t>Pemeliharaan Jalan Lingkungan Permukiman Gang Sekar Sari IVB (Pemavingan)</t>
  </si>
  <si>
    <t>Paving : 223 m2, Kanstin s : 9 m1, Kanstin DKI : 107,2 m1</t>
  </si>
  <si>
    <t>kanstin DKI</t>
  </si>
  <si>
    <t>Pemeliharaan Jalan Lingkungan Permukiman Gang Nusa Indah IV Carik (Pemavingan)</t>
  </si>
  <si>
    <t>Pemeliharaan Jalan Lingkungan Permukiman Gang V Ujung Belakang (Pemavingan)</t>
  </si>
  <si>
    <t>Paving : 100 m2, Kanstin DKI :70,3m1</t>
  </si>
  <si>
    <t>Pemeliharaan Jalan Lingkungan Permukiman Gang Anggrek (Pembersihan Site)</t>
  </si>
  <si>
    <t>Pembersihan Site 205,2 m1</t>
  </si>
  <si>
    <t>TAHUN ANGGARAN 2022</t>
  </si>
  <si>
    <t>Pemeliharaan Jalan Lingkungan Permukiman Gang Anggrek(Pemavingan)</t>
  </si>
  <si>
    <t>Paving : 602 m2, Kanstin s : 2.8 m1, Kanstin DKI : 422 m1</t>
  </si>
  <si>
    <t>: Peningkatan Produksi Tanaman Pangan (Pelatihan Pembuatan Media Tanam)</t>
  </si>
  <si>
    <t>Konsumsi Pelatihan (10 or x 1 kali)</t>
  </si>
  <si>
    <t>Tanah Merah</t>
  </si>
  <si>
    <t>truk</t>
  </si>
  <si>
    <t>Sekam Bakar</t>
  </si>
  <si>
    <t>Sekam Mentah</t>
  </si>
  <si>
    <t>Kohe Kambing</t>
  </si>
  <si>
    <t>Kompos</t>
  </si>
  <si>
    <t>Kapur Dolomit</t>
  </si>
  <si>
    <t>Plastik Silase</t>
  </si>
  <si>
    <t>Komposter M21</t>
  </si>
  <si>
    <t>Alat Semprot Elektrik</t>
  </si>
  <si>
    <t>Mesin Mixer</t>
  </si>
  <si>
    <t>: Pemeliharaan Karamba/Kolam Perikanan Darat  (Pelatihan Kelompok Lele)</t>
  </si>
  <si>
    <t>4.1.01.5.2</t>
  </si>
  <si>
    <t>4.1.01.5.2.1</t>
  </si>
  <si>
    <t>4.1.01.5.2.1.06</t>
  </si>
  <si>
    <t>Konsumsi Pelatihan (20 or x 1 kali)</t>
  </si>
  <si>
    <t>4.1.01.5.2.1.08</t>
  </si>
  <si>
    <t>4.1.01.5.2.1.90</t>
  </si>
  <si>
    <t>4.1.01.5.2.2</t>
  </si>
  <si>
    <t>4.1.01.5.2.2.01</t>
  </si>
  <si>
    <t>4.1.01.5.2.2.04</t>
  </si>
  <si>
    <t>4.1.01.5.2.7</t>
  </si>
  <si>
    <t>4.1.01.5.2.7.01</t>
  </si>
  <si>
    <t>Belanja Bahan Perlengkapan Diserahkan Kemasyarakat</t>
  </si>
  <si>
    <t>pemijahan</t>
  </si>
  <si>
    <t>Indukan Lele</t>
  </si>
  <si>
    <t>Pakan lele F500</t>
  </si>
  <si>
    <t>Ulat Sutra</t>
  </si>
  <si>
    <t>Kolam Pemijahan</t>
  </si>
  <si>
    <t xml:space="preserve">unit </t>
  </si>
  <si>
    <t>Pembesaran</t>
  </si>
  <si>
    <t>Bibit Lele</t>
  </si>
  <si>
    <t>Pakan lele</t>
  </si>
  <si>
    <t>Mesin Aerator</t>
  </si>
  <si>
    <t xml:space="preserve">Serok Jaring Ikan </t>
  </si>
  <si>
    <t>: Penguatan Ketahanan Pangan Tingkat Desa (Penanaman Cabe, Terong dan Tomat)</t>
  </si>
  <si>
    <t>Bibit Tanaman</t>
  </si>
  <si>
    <t>Insektisida  (3 pcs x 13 bjr)</t>
  </si>
  <si>
    <t>:Peningkatan Produksi Peternakan (Ternak Ayam Caru)</t>
  </si>
  <si>
    <t>4.2.02.5.2</t>
  </si>
  <si>
    <t>4.2.02.5.2.1</t>
  </si>
  <si>
    <t>4.2.02.5.2.1.06</t>
  </si>
  <si>
    <t>Konsumsi Pelatihan (25 or x 1 kali)</t>
  </si>
  <si>
    <t>4.2.02.5.2.1.08</t>
  </si>
  <si>
    <t>4.2.02.5.2.1.90</t>
  </si>
  <si>
    <t>4.2.02.5.2.2</t>
  </si>
  <si>
    <t>4.2.02.5.2.2.01</t>
  </si>
  <si>
    <t>4.2.02.5.2.2.04</t>
  </si>
  <si>
    <t>Honor Narasumber/ Instruktur (1 or x 1 kali )</t>
  </si>
  <si>
    <t>4.2.02.5.2.7</t>
  </si>
  <si>
    <t>4.2.02.5.2.7.01</t>
  </si>
  <si>
    <t>Bibit Ayam</t>
  </si>
  <si>
    <t>Kandang Ayam</t>
  </si>
  <si>
    <t>Pakan Ayam</t>
  </si>
  <si>
    <t>Mesin Tetas Telur Ayam Otomatis</t>
  </si>
  <si>
    <t>:Pengembangan Sarana Prasarana Usaha Mikro, Kecil, Menengah (Pelatihan Kelompok Tukang Jahit)</t>
  </si>
  <si>
    <t>4.5.02.5.2</t>
  </si>
  <si>
    <t>4.5.02.5.2.1</t>
  </si>
  <si>
    <t>4.5.02.5.2.1.06</t>
  </si>
  <si>
    <t>Konsumsi Pelatihan (23 or x 1 kali)</t>
  </si>
  <si>
    <t>4.5.02.5.2.1.08</t>
  </si>
  <si>
    <t>4.5.02.5.2.1.90</t>
  </si>
  <si>
    <t>4.5.02.5.2.2</t>
  </si>
  <si>
    <t>4.5.02.5.2.2.01</t>
  </si>
  <si>
    <t>4.5.02.5.2.2.04</t>
  </si>
  <si>
    <t>4.5.025.2.7</t>
  </si>
  <si>
    <t>4.5.02.5.2.7.01</t>
  </si>
  <si>
    <t>Kain</t>
  </si>
  <si>
    <t>meter</t>
  </si>
  <si>
    <t>Benang</t>
  </si>
  <si>
    <t>Meteran</t>
  </si>
  <si>
    <t xml:space="preserve">Penggaris Pola </t>
  </si>
  <si>
    <t>Gunting (merk mata)</t>
  </si>
  <si>
    <t>Alat Pelubang Kancing</t>
  </si>
  <si>
    <t>Mesin Jahit</t>
  </si>
  <si>
    <t>Kancing Baju</t>
  </si>
  <si>
    <t>pax</t>
  </si>
  <si>
    <t>:Koperasi, Usaha Micro Kecil dan Menengah (UMKM)</t>
  </si>
  <si>
    <t>: Peningkatan Produksi Peternakan (Pelatihan Kelompok Usaha Telur Asin)</t>
  </si>
  <si>
    <t>Konsumsi Pelatihan (15 or x 1 kali)</t>
  </si>
  <si>
    <t>krat</t>
  </si>
  <si>
    <t>Bubuk Bata</t>
  </si>
  <si>
    <t>Abu Gosok</t>
  </si>
  <si>
    <t>Lengkuas</t>
  </si>
  <si>
    <t>Jahe</t>
  </si>
  <si>
    <t>Gula Merah</t>
  </si>
  <si>
    <t>Baskom stainles</t>
  </si>
  <si>
    <t>Kawat cuci Piring</t>
  </si>
  <si>
    <t>Toples Kaca</t>
  </si>
  <si>
    <t>Selop Tangan</t>
  </si>
  <si>
    <t>Kompor Jos</t>
  </si>
  <si>
    <t>Wajan</t>
  </si>
  <si>
    <t xml:space="preserve">Panci </t>
  </si>
  <si>
    <t xml:space="preserve">: Koperasi, Usaha Micro Kecil dan Menengah </t>
  </si>
  <si>
    <t>: Pengembangan Sarana Prasarana Usaha Mikro, Kecil, Menengah (Pelatihan Kelompok Pengrajin Pisau)</t>
  </si>
  <si>
    <t>4.5.02.5.2.7</t>
  </si>
  <si>
    <t>Gerinda Tangan</t>
  </si>
  <si>
    <t>Bor Tangan Baterai</t>
  </si>
  <si>
    <t>Besi Peer</t>
  </si>
  <si>
    <t>Arang Kayu</t>
  </si>
  <si>
    <t>Pelindung Mata ( Goggles)</t>
  </si>
  <si>
    <t>Palu Besar 12 Kg</t>
  </si>
  <si>
    <t>Kikir Segitiga</t>
  </si>
  <si>
    <t>Kikir Bulat</t>
  </si>
  <si>
    <t>Blower 4 in</t>
  </si>
  <si>
    <t>Mata Gerinda Resibon Tebal</t>
  </si>
  <si>
    <t>Mata Gerinda Pemotong BWS</t>
  </si>
  <si>
    <t>: /Pelatihan/Pendampingan kelompok usaha ekonomi produktif (Pelatihan Kelompok Usaha Kerupuk Beras)</t>
  </si>
  <si>
    <t>4.7.04.5.2.1.90</t>
  </si>
  <si>
    <t>Bawang Putih</t>
  </si>
  <si>
    <t>Ketumbar</t>
  </si>
  <si>
    <t>Minyak Goreng</t>
  </si>
  <si>
    <t>Penyedap Rasa</t>
  </si>
  <si>
    <t>Wajan Besar</t>
  </si>
  <si>
    <t>Dandang</t>
  </si>
  <si>
    <t>Sendok Kayu</t>
  </si>
  <si>
    <t>Mesin Slicer</t>
  </si>
  <si>
    <t>Pisau</t>
  </si>
  <si>
    <t>Jemuran</t>
  </si>
  <si>
    <t>Mesin Vacum Sealer</t>
  </si>
  <si>
    <t>Plastik Kemas</t>
  </si>
  <si>
    <t>Hand Mixer</t>
  </si>
  <si>
    <t>Blender</t>
  </si>
  <si>
    <t>:Pelatihan/Pendampingan kelompok usaha ekonomi produktif (Pelatihan Kelompok Jajan Bali)</t>
  </si>
  <si>
    <t>Konsumsi Pelatihan (35 or x 1 kali)</t>
  </si>
  <si>
    <t>Ketan</t>
  </si>
  <si>
    <t>Gula Bali</t>
  </si>
  <si>
    <t>Kelapa</t>
  </si>
  <si>
    <t>Pipa Paralon</t>
  </si>
  <si>
    <t>Dandang Kukus Besar</t>
  </si>
  <si>
    <t>Kukusan Bambu</t>
  </si>
  <si>
    <t>Mesin Parut Kelapa</t>
  </si>
  <si>
    <t>Pisau Potong</t>
  </si>
  <si>
    <t>Cetakan Jaje Gina</t>
  </si>
  <si>
    <t>Sendok Penggorengan</t>
  </si>
  <si>
    <t>Baskom Tebal Besar</t>
  </si>
  <si>
    <t>Penumbuk Adonan/Lumpang</t>
  </si>
  <si>
    <t>Langganan Aplikasi Canva</t>
  </si>
  <si>
    <t>Terlaksananya Rembuk Stunting Setiap Tahun nya</t>
  </si>
  <si>
    <t>: Penyediaan Jaring Pengaman Sosial (BLT DD)</t>
  </si>
  <si>
    <t>4.6.02.5.4</t>
  </si>
  <si>
    <t>4.6.02.5.4.1</t>
  </si>
  <si>
    <t>4.6.02.5.4.1.01</t>
  </si>
  <si>
    <t>Pemberian BLT (44KK X 12Bln)</t>
  </si>
  <si>
    <t>Rehabilitasi Sekolah Dasar Negeri 4 Penatih</t>
  </si>
  <si>
    <t>Sederan dan Penataan Saluran Subak Temaga Depan Ashitaba sampai Banjar Buaji</t>
  </si>
  <si>
    <t>Pembuatan Jalan Alternatif IB. Japa Tembus Jalan Siulan</t>
  </si>
  <si>
    <t>208 M</t>
  </si>
  <si>
    <t>Memperlancar kegiatan pendidikan di Lingkungan Desa Penatih Dangin Puri</t>
  </si>
  <si>
    <t>979 m</t>
  </si>
  <si>
    <t>Memperlancar Saluean Irigasi</t>
  </si>
  <si>
    <t>50 Hari</t>
  </si>
  <si>
    <t>Pembuatan Ramucalan dan Cermin Cembung di Lingkngan Desa Penatih Dangin Puri</t>
  </si>
  <si>
    <t>15 Titik</t>
  </si>
  <si>
    <t>: Pembangunan Jalan Usaha Tani (Subak Temaga Munduk Sengguan pembersihan site)</t>
  </si>
  <si>
    <t>Pembersihan Site : 180 m1</t>
  </si>
  <si>
    <t>Pondasi Batu Kali  272.36 m3</t>
  </si>
  <si>
    <t>GALIAN 90.1 m3</t>
  </si>
  <si>
    <t>URUGAN LIME STONE 159.11 m3</t>
  </si>
  <si>
    <t>Bekisting 18.2 m2</t>
  </si>
  <si>
    <t>Pembesian  370.3 m</t>
  </si>
  <si>
    <t xml:space="preserve">: Pembangunan Jalan Usaha Tani (Subak Temaga Munduk Sengguan) PEMBETONAN </t>
  </si>
  <si>
    <t>Pembetonan, 37.3 m3</t>
  </si>
  <si>
    <t>Uji lab Beton</t>
  </si>
  <si>
    <t>JEMBATAM :Bekisting 26 m2, Pembesian 24 m2 , Pembetonan 2.4 m3</t>
  </si>
  <si>
    <t>2.3.2.5.3</t>
  </si>
  <si>
    <t>2.3.2.5.3.5</t>
  </si>
  <si>
    <t>2.3.2.5.3.5.01</t>
  </si>
  <si>
    <t>2.3.2.5.3.5.02</t>
  </si>
  <si>
    <t>2.3.2.5.3.5.03</t>
  </si>
  <si>
    <t>: Pembangunan Jalan Usaha Tani (Subak Temaga Munduk Sengguan Pondasi Batu Kali)</t>
  </si>
  <si>
    <t>: Pembangunan Jalan Usaha Tani (Subak Temaga Munduk Sengguan Galian)</t>
  </si>
  <si>
    <t>: Pembangunan Jalan Usaha Tani (Subak Temaga Munduk Sengguan Urug Lime Stone)</t>
  </si>
  <si>
    <t>: Pembangunan Jalan Usaha Tani (Subak Temaga Munduk Sengguan Bekisting)</t>
  </si>
  <si>
    <t>: Pembangunan Jalan Usaha Tani (Subak Temaga Munduk Sengguan Pembesian)</t>
  </si>
  <si>
    <t>: Pembangunan Jalan Usaha Tani (Subak Temaga Munduk Sengguan Jembatan)</t>
  </si>
  <si>
    <t>: Pemeliharaan Jalan Lingkungan Gg. Pudak (Pondasi )</t>
  </si>
  <si>
    <t>: Perbaikan Jalan Usaha Tani (Subak Temaga URUGAN LIMESTONE)</t>
  </si>
  <si>
    <t>2.3.03.5.3.5.03</t>
  </si>
  <si>
    <t>: Penyediaan Sarana Prasarana Pemerintahan Desa</t>
  </si>
  <si>
    <t>Pemeliharaan Gedung/Prasarana Kantor Desa (Ruang Perbekel)</t>
  </si>
  <si>
    <t>Ruang Kepala Desa Pasang keramik Dinding : 27 m2, Pembobokan Dinding lama : 27 m2</t>
  </si>
  <si>
    <t xml:space="preserve">Keramik Dinding </t>
  </si>
  <si>
    <t xml:space="preserve">Semen Portland </t>
  </si>
  <si>
    <t xml:space="preserve">Pasir Pasang </t>
  </si>
  <si>
    <r>
      <t>M</t>
    </r>
    <r>
      <rPr>
        <vertAlign val="superscript"/>
        <sz val="11.5"/>
        <rFont val="Calibri"/>
        <family val="2"/>
        <scheme val="minor"/>
      </rPr>
      <t>3</t>
    </r>
  </si>
  <si>
    <t xml:space="preserve">Semen Warna </t>
  </si>
  <si>
    <t>Plamir Tembok</t>
  </si>
  <si>
    <t xml:space="preserve">Cat Tembok  </t>
  </si>
  <si>
    <t>Amplas</t>
  </si>
  <si>
    <t>Kapi</t>
  </si>
  <si>
    <t>Closet Duduk</t>
  </si>
  <si>
    <t>exhaust Fan</t>
  </si>
  <si>
    <t>Grendel Pintu</t>
  </si>
  <si>
    <t>Pemeliharaan Gedung/Prasarana Kantor Desa (Ruang Pelayanan Umum)</t>
  </si>
  <si>
    <t>Ruang Kepala UMUM Pasang keramik Dinding : 4.75 m2, Pembobokan Dinding lama : 4.75 m2</t>
  </si>
  <si>
    <t>Pemeliharaan Gedung/Prasarana Kantor Desa Ruang (Kepala Dusun)</t>
  </si>
  <si>
    <t>Cat Tembok  Vinilex</t>
  </si>
  <si>
    <t>Papan Gypsum 120 x 240 x 9 mm</t>
  </si>
  <si>
    <t>Paku Sekrup</t>
  </si>
  <si>
    <t>List Gypsum 2/5 cm</t>
  </si>
  <si>
    <t>m1</t>
  </si>
  <si>
    <t>Paku List</t>
  </si>
  <si>
    <t>Bongkar Pasang AC</t>
  </si>
  <si>
    <t>Pemeliharaan Gedung/Prasarana Kantor Desa Ruang Kasi Kaur</t>
  </si>
  <si>
    <t>Talang Alderon</t>
  </si>
  <si>
    <t>Roll</t>
  </si>
  <si>
    <t>Belanja Modal Gedung</t>
  </si>
  <si>
    <t>: Pembangunan Jalan Usaha Tani (SALURAN Tersier Munduk Pengiung )</t>
  </si>
  <si>
    <t>Pembersihan Site 107m1</t>
  </si>
  <si>
    <t>4.2.04.5.3</t>
  </si>
  <si>
    <t>4.2.04.5.3.7</t>
  </si>
  <si>
    <t>Belanja Modal Irigasi</t>
  </si>
  <si>
    <t>4.2.04.5.3.7.01</t>
  </si>
  <si>
    <t>4.2.04.5.3.7.02</t>
  </si>
  <si>
    <t>GALIAN 91.48 m3</t>
  </si>
  <si>
    <t>Urugan Batu Kosong 28.89 m3</t>
  </si>
  <si>
    <t>4.2.04.5.3.7.03</t>
  </si>
  <si>
    <t>Batu Belah</t>
  </si>
  <si>
    <t>PEMBESIAN  203.3m</t>
  </si>
  <si>
    <t>Bekisting 150m2( 2 KALI PAKAI )</t>
  </si>
  <si>
    <t>Pembetonan, 32.1m3</t>
  </si>
  <si>
    <t xml:space="preserve">Prasasti </t>
  </si>
  <si>
    <t>papan Proyek</t>
  </si>
  <si>
    <t>: Perbaikan Saluran Cacing Subak Taman, Munduk Njung</t>
  </si>
  <si>
    <t xml:space="preserve">Volume               </t>
  </si>
  <si>
    <t>: Perbaikan Saluran 179m</t>
  </si>
  <si>
    <t>Honor TPK</t>
  </si>
  <si>
    <t>Besi Wiremesh M10</t>
  </si>
  <si>
    <t>Kawat Bendrat</t>
  </si>
  <si>
    <t>Paku 5 - 10</t>
  </si>
  <si>
    <t xml:space="preserve">Usuk 4/6 </t>
  </si>
  <si>
    <t>Kayu Kls III</t>
  </si>
  <si>
    <t>Playwood 9mm</t>
  </si>
  <si>
    <t>Kasi Kesra</t>
  </si>
  <si>
    <t>Ni Kadek Agis Dwijayanti</t>
  </si>
  <si>
    <t>: Pembangunan</t>
  </si>
  <si>
    <t>: Bidang Pariwisata</t>
  </si>
  <si>
    <t>: Pengembangan Pariwisata Tingkat Desa (Pelatihan POKDARWIS)</t>
  </si>
  <si>
    <t>2.8.03.5.2</t>
  </si>
  <si>
    <t>2.8.03.5.2.1</t>
  </si>
  <si>
    <t>2.8.03.5.2.1.06</t>
  </si>
  <si>
    <t>Konsumsi Pelatihan  (35 or x 2 kali)</t>
  </si>
  <si>
    <t>2.8.03.5.2.1.01</t>
  </si>
  <si>
    <t xml:space="preserve">Papan Struktur </t>
  </si>
  <si>
    <t>2.8.03.5.2.1.08</t>
  </si>
  <si>
    <t>2.8.03.5.2.1.90</t>
  </si>
  <si>
    <t>2.8.03.5.2.2</t>
  </si>
  <si>
    <t>2.8.03.5.2.2.01</t>
  </si>
  <si>
    <t>2.8.03.5.2.2.04</t>
  </si>
  <si>
    <t>2.8.03.5.2.7</t>
  </si>
  <si>
    <t>2.8.03.5.2.7.01</t>
  </si>
  <si>
    <t>Baju Kaos lapangan Lengan Panjang</t>
  </si>
  <si>
    <t>Celana lapangan</t>
  </si>
  <si>
    <t>Terpeliharanya Gedung Kator</t>
  </si>
  <si>
    <t>Terpeliharanya Gedung BumDesa</t>
  </si>
  <si>
    <t>27 m2</t>
  </si>
  <si>
    <t>13.2 m2</t>
  </si>
  <si>
    <t>2.7m2</t>
  </si>
  <si>
    <t>1 set</t>
  </si>
  <si>
    <t>4.75 m2</t>
  </si>
  <si>
    <t>29.4m2</t>
  </si>
  <si>
    <t>10 m2</t>
  </si>
  <si>
    <t>30.24m2</t>
  </si>
  <si>
    <t>22.4 m2</t>
  </si>
  <si>
    <t>48.4m</t>
  </si>
  <si>
    <t>275.84 m2</t>
  </si>
  <si>
    <t>133 m</t>
  </si>
  <si>
    <t>412 m2</t>
  </si>
  <si>
    <t>265 m</t>
  </si>
  <si>
    <t>1110 m2</t>
  </si>
  <si>
    <t>61 m</t>
  </si>
  <si>
    <t>102m2</t>
  </si>
  <si>
    <t>53.60m</t>
  </si>
  <si>
    <t>223 m2</t>
  </si>
  <si>
    <t>137 m</t>
  </si>
  <si>
    <t>499 m2</t>
  </si>
  <si>
    <t>33.5m</t>
  </si>
  <si>
    <t>100 m2</t>
  </si>
  <si>
    <t>205.2 m</t>
  </si>
  <si>
    <t>602m2</t>
  </si>
  <si>
    <t>30.69m3</t>
  </si>
  <si>
    <t>31m3</t>
  </si>
  <si>
    <t>227.40m2</t>
  </si>
  <si>
    <t>249 m2</t>
  </si>
  <si>
    <t>34m3</t>
  </si>
  <si>
    <t>15m3</t>
  </si>
  <si>
    <t>61.50m2</t>
  </si>
  <si>
    <t>5.25 m2</t>
  </si>
  <si>
    <t>307.50 m2</t>
  </si>
  <si>
    <t>180.45 m2</t>
  </si>
  <si>
    <t>108.27 m3</t>
  </si>
  <si>
    <t>12.03 m3</t>
  </si>
  <si>
    <t>108.45m2</t>
  </si>
  <si>
    <t>18 m3</t>
  </si>
  <si>
    <t>4.12 m3</t>
  </si>
  <si>
    <t>180m</t>
  </si>
  <si>
    <t>272.36 m3</t>
  </si>
  <si>
    <t>90.1 m3</t>
  </si>
  <si>
    <t>159.11m3</t>
  </si>
  <si>
    <t>18.2 m2</t>
  </si>
  <si>
    <t>370.3 m2</t>
  </si>
  <si>
    <t>37.3 m3</t>
  </si>
  <si>
    <t>26 m2</t>
  </si>
  <si>
    <t>107m</t>
  </si>
  <si>
    <t>91.48m3</t>
  </si>
  <si>
    <t>28.89 m3</t>
  </si>
  <si>
    <t>203.3 m2</t>
  </si>
  <si>
    <t>150 m2</t>
  </si>
  <si>
    <t>32.1 m3</t>
  </si>
  <si>
    <t>179 m</t>
  </si>
  <si>
    <t xml:space="preserve"> kat</t>
  </si>
  <si>
    <t>prioritas</t>
  </si>
  <si>
    <t>BAJU PELAMPUNG</t>
  </si>
  <si>
    <t>PERAHU KARET KECIL</t>
  </si>
  <si>
    <t>: Pembangunan/Rehabilitasi/Peningkatan Sumur Resapan (Teba Moderen dan Tong Komposter)</t>
  </si>
  <si>
    <t>2.4.10.5.2</t>
  </si>
  <si>
    <t>2.4.10.5.7</t>
  </si>
  <si>
    <t>Belanja Barang dan Jasa Yang Diserhakan Kepada Masyarakat</t>
  </si>
  <si>
    <t>2.4.10.5.7.01</t>
  </si>
  <si>
    <t xml:space="preserve">Belanja Bahan Perlengkapan untuk Diserahkan kepada Masyarakat
</t>
  </si>
  <si>
    <t>Bak Komposter</t>
  </si>
  <si>
    <t>2.4.10.5.7.03</t>
  </si>
  <si>
    <t>Belanja Mantuan Bangunan Yang Di Serahkan Kepada Masyarakat</t>
  </si>
  <si>
    <t>Sumur Sersapan (Teba Moderen)</t>
  </si>
  <si>
    <t>Pembinaan Grup Kesenian dan Kebudayaan Tingkat Desa (Grup Sekaa Pesantian)</t>
  </si>
  <si>
    <t>Konsumsi ( 25Peserta + 2or Narasumbe x  12 Banjar  x 12kl)</t>
  </si>
  <si>
    <t>Seragam (25 peserta x 12 Banjar)</t>
  </si>
  <si>
    <t>Wireless Sound</t>
  </si>
  <si>
    <t>: Pelaksanaan Pembangunan</t>
  </si>
  <si>
    <t>: Pekerjaan Umum dan Penataan Ruang</t>
  </si>
  <si>
    <t>: Pemeliharaan Prasarana Jalan Desa (Pembersihan saluran air untuk kelancaran pertanian dan gorong-gorong (PKTD MURNI Ketahanan Pangan)</t>
  </si>
  <si>
    <t xml:space="preserve">: Panjang (261m) </t>
  </si>
  <si>
    <t>2.3.05.3.</t>
  </si>
  <si>
    <t>2.3.05.5.3.7</t>
  </si>
  <si>
    <t>2.3.05.5.3.7.02</t>
  </si>
  <si>
    <t>Belanja Upah PKTD</t>
  </si>
  <si>
    <t>Pekerja Galian dan pembersihan 21or x 10hr</t>
  </si>
  <si>
    <t>: Pelatihan dan Penyuluhan Pemberdayaan Perempuan Pembinaan PHDI</t>
  </si>
  <si>
    <t>Bolpoint (Peserta 35or )</t>
  </si>
  <si>
    <t>Konsumsi Pembinaan (  35or, 2or Narasumber x1Kl )</t>
  </si>
  <si>
    <t>:Pengiriman Kontingen Group Kesenian &amp; Kebudayaan Ke tingkat Kota ( Lomba Lagu Jendela Dunia)</t>
  </si>
  <si>
    <t>Belanja Pakaian Dinas/Seragam/Atribut</t>
  </si>
  <si>
    <t>Seragam Peserta</t>
  </si>
  <si>
    <t>JUMLAH</t>
  </si>
  <si>
    <t>Pemeliharaan CCTV Banjar</t>
  </si>
  <si>
    <t>Pajak Bumi dan Bangunan</t>
  </si>
  <si>
    <t>Pemeliharaan mesin smprot air</t>
  </si>
  <si>
    <t>Dispenser</t>
  </si>
  <si>
    <t>Baju Pelampung</t>
  </si>
  <si>
    <t>: Pembinaan atau Pelatihan Kelompok Belajar Widya Kumara Bhuwana ( Pelatihan Bahasa dan Aksara Bali Untuk Anak-Anak )</t>
  </si>
  <si>
    <t>Em 21</t>
  </si>
  <si>
    <t>Molase</t>
  </si>
  <si>
    <t>Plastik Silasa</t>
  </si>
  <si>
    <t>Alat Semprot</t>
  </si>
  <si>
    <t>Herbisida</t>
  </si>
  <si>
    <t>Papan Informasi Desa dan Lembaga</t>
  </si>
  <si>
    <t>Pemeliharaan Jalan Lingkungan Permukiman /Lotus (Pemavingan)</t>
  </si>
  <si>
    <t xml:space="preserve">Paving : 227.40m2, Kanstin s : 10.5m1, kanstin Segilima 94.10m, </t>
  </si>
  <si>
    <t>Pemeliharaan Jalan Lingkungan Permukiman /Gang Lotus (Beton Pengunci)</t>
  </si>
  <si>
    <t>Rabat Beton, 2.17m3</t>
  </si>
  <si>
    <t>Pemeliharaan Jalan Lingkungan Permukiman Gang LotusI (Pembersihan Site)</t>
  </si>
  <si>
    <t>Pembersihan Site 20.20m2</t>
  </si>
  <si>
    <t>1.1.01</t>
  </si>
  <si>
    <t>1.1.02</t>
  </si>
  <si>
    <t>1.1.03</t>
  </si>
  <si>
    <t>1.1.04</t>
  </si>
  <si>
    <t>1.1.05</t>
  </si>
  <si>
    <t>1.1.06</t>
  </si>
  <si>
    <t>1.1.91</t>
  </si>
  <si>
    <t>1.1.93</t>
  </si>
  <si>
    <t>1.1.98</t>
  </si>
  <si>
    <t>1.1.95</t>
  </si>
  <si>
    <t>1.1.08</t>
  </si>
  <si>
    <t>1.1.96</t>
  </si>
  <si>
    <t>1.1.97</t>
  </si>
  <si>
    <t>1.2.01</t>
  </si>
  <si>
    <t>1.2.02</t>
  </si>
  <si>
    <t>1.2.90</t>
  </si>
  <si>
    <t>1.3.92</t>
  </si>
  <si>
    <t>1.3.02</t>
  </si>
  <si>
    <t>1.3.99</t>
  </si>
  <si>
    <t>1.3.90</t>
  </si>
  <si>
    <t>1.4.01</t>
  </si>
  <si>
    <t>1.4.02</t>
  </si>
  <si>
    <t>1.4.03</t>
  </si>
  <si>
    <t>1.4.04</t>
  </si>
  <si>
    <t>1.4.07</t>
  </si>
  <si>
    <t>2.1.01</t>
  </si>
  <si>
    <t>2.1.03</t>
  </si>
  <si>
    <t>2.1.07</t>
  </si>
  <si>
    <t>2.2.02</t>
  </si>
  <si>
    <t>2.2.03</t>
  </si>
  <si>
    <t>: Penyelenggaraan  (Desa Siaga Kesehatan)</t>
  </si>
  <si>
    <t>2.2.04</t>
  </si>
  <si>
    <t>2.2.90</t>
  </si>
  <si>
    <t>2.2.91</t>
  </si>
  <si>
    <t>2.2.92</t>
  </si>
  <si>
    <t>2.2.93</t>
  </si>
  <si>
    <t>2.3.03</t>
  </si>
  <si>
    <t>2.3.02</t>
  </si>
  <si>
    <t>2.3.05</t>
  </si>
  <si>
    <t>2.3.12</t>
  </si>
  <si>
    <t>2.4.07</t>
  </si>
  <si>
    <t>2.4.10</t>
  </si>
  <si>
    <t>2.5.03</t>
  </si>
  <si>
    <t>2.6.02</t>
  </si>
  <si>
    <t>2.8.03</t>
  </si>
  <si>
    <t>3.1.03</t>
  </si>
  <si>
    <t>3.1.04</t>
  </si>
  <si>
    <t>3.2.03</t>
  </si>
  <si>
    <t>3.2.01</t>
  </si>
  <si>
    <t>3.2.02.5.2</t>
  </si>
  <si>
    <t>3.2.02.5.2.1</t>
  </si>
  <si>
    <t>3.2.02.5.2.1.07</t>
  </si>
  <si>
    <t>3.2.02.5.2.2</t>
  </si>
  <si>
    <t>3.2.02</t>
  </si>
  <si>
    <t>3.2.02.5.2.1.06</t>
  </si>
  <si>
    <t>3.2.02.5.2.1.09</t>
  </si>
  <si>
    <t>3.2.02.5.2.2.04</t>
  </si>
  <si>
    <t>3.2.90</t>
  </si>
  <si>
    <t>3.2.91</t>
  </si>
  <si>
    <t>3.2.94</t>
  </si>
  <si>
    <t>3.2.95</t>
  </si>
  <si>
    <t>3.3.02</t>
  </si>
  <si>
    <t>: Pengiriman Kontingen Group Kesenian &amp; Kebudayaan (Wakil Desa tkt. Kec/Kab/Kot) (Lomba Defile Budaya Kader PKK)</t>
  </si>
  <si>
    <t>3.2.02.5.2.01</t>
  </si>
  <si>
    <t>3.2.02.5.2.01.06</t>
  </si>
  <si>
    <t>3.2.02.5.2.01.07</t>
  </si>
  <si>
    <t>3.2.02.5.2.7</t>
  </si>
  <si>
    <t>3.2.02.5.2.7.91</t>
  </si>
  <si>
    <t>3.3.06</t>
  </si>
  <si>
    <t>3.3.90</t>
  </si>
  <si>
    <t>3.4.02</t>
  </si>
  <si>
    <t>3.4.03</t>
  </si>
  <si>
    <t>3.4.04</t>
  </si>
  <si>
    <t>4.1.01</t>
  </si>
  <si>
    <t>4.2.01</t>
  </si>
  <si>
    <t>4.2.02</t>
  </si>
  <si>
    <t>4.2.03</t>
  </si>
  <si>
    <t>4.2.04</t>
  </si>
  <si>
    <t>4.5.02</t>
  </si>
  <si>
    <t>4.7.04</t>
  </si>
  <si>
    <t>4.3.02</t>
  </si>
  <si>
    <t>4.3.03</t>
  </si>
  <si>
    <t>4.4.01</t>
  </si>
  <si>
    <t>4.6.02</t>
  </si>
  <si>
    <t>nantik pndah bidang 5</t>
  </si>
  <si>
    <t>1.1.04.5.2.1.07</t>
  </si>
  <si>
    <t>Lagu Mars Desa</t>
  </si>
  <si>
    <t>Terpeliharanya Jalan Lingkungan Desa</t>
  </si>
  <si>
    <t>103.60 m2</t>
  </si>
  <si>
    <t>1.50 m3</t>
  </si>
  <si>
    <t>227.40 m2</t>
  </si>
  <si>
    <t>2.17 m3</t>
  </si>
  <si>
    <t>20.20 m2</t>
  </si>
  <si>
    <t>3, 6, 12</t>
  </si>
  <si>
    <t>Terkelolanya sampah desa</t>
  </si>
  <si>
    <t>Terwujudnya Trasnparansi Informasi Desa</t>
  </si>
  <si>
    <t>8, 10, 17</t>
  </si>
  <si>
    <t>Terbentuknya Kelompok Sadar Wisata</t>
  </si>
  <si>
    <t>Terwujudnya Lingkungan Yang Tertib dan Aman</t>
  </si>
  <si>
    <t>3, 10, 16</t>
  </si>
  <si>
    <t>Terlakasanya Kegiatan Bulan Bahasa Bali</t>
  </si>
  <si>
    <t>Terlakasanya Kegiatan Memperingati Hari Ibu</t>
  </si>
  <si>
    <t>Terlaksanya Pelestarian Seni Dan Budaya</t>
  </si>
  <si>
    <t>Terlaksananya Lombah Hut Kota Denpasar</t>
  </si>
  <si>
    <t>Terlakasanya Pembinaan Kesenian dan Kebudayaan</t>
  </si>
  <si>
    <t>Terlaksana Setiap Tahunnya Piodalan di Kantor Desa</t>
  </si>
  <si>
    <t>Terpenuhinya Upakara dan Upakara Setiap Tahun Nya</t>
  </si>
  <si>
    <t>Terlakasananya Kegiatan Tumpek Landep</t>
  </si>
  <si>
    <t>Tepenuhinya BKK Untuk Subak</t>
  </si>
  <si>
    <t>Terpenuhinya Oprasional Desa Adat Setiap tahun Nya</t>
  </si>
  <si>
    <t>Terlakasnaya Bakhti Penganyaran Tiap tahun nya</t>
  </si>
  <si>
    <t>Terlakasananya Kegiatan Bulan Bhungkarno</t>
  </si>
  <si>
    <t>Terlakasananya Lomba Tingkat Kota</t>
  </si>
  <si>
    <t>Terlaksananya Pembinaan Pemuda</t>
  </si>
  <si>
    <t>Terlakasanya Kegiatan Ekonomi Kreatiaf STT</t>
  </si>
  <si>
    <t>Terlasana Setiap Tahunnya Bulan Bhakti Gotong Royong LPM</t>
  </si>
  <si>
    <t>Terlaksanya Pelatiah LPM</t>
  </si>
  <si>
    <t>Terlaksananya Pelatihan PKK</t>
  </si>
  <si>
    <t>Terinputnya Data Dasawisma</t>
  </si>
  <si>
    <t>4, 8, 10, 17</t>
  </si>
  <si>
    <t>Terlaksana Pelatihan Kelompok Usaha</t>
  </si>
  <si>
    <t>Terlaksananya Pembinaan Kelompok Pertanian</t>
  </si>
  <si>
    <t>Terwujudnya Saluran Irigasi yang terawat</t>
  </si>
  <si>
    <t>4, 8, 10, 11, 16, 17, 18</t>
  </si>
  <si>
    <t>Terlakasnya Pelatihan Tim RKP Setiap Tahunya</t>
  </si>
  <si>
    <t>Terlaksananya Pelatihan Perangkat Desa Setiap Tahun nya</t>
  </si>
  <si>
    <t>Terlaksananya Peningkatan Kapasitas BPD Setiap Tahunnya</t>
  </si>
  <si>
    <t>Terlaksananya Kegiatan Pelatihan TPK Setiap Tahunnnya</t>
  </si>
  <si>
    <t>Terlakasanya Pelatihan P2WKSS Setiap Tahunnya</t>
  </si>
  <si>
    <t>Perlakasanya Pembinaan Kelompok Perempuan</t>
  </si>
  <si>
    <t>Terlaksanya Pelatiahan BUMDesa</t>
  </si>
  <si>
    <t>Terealisasnya Penyerahan BLT Tiap Tahun nya</t>
  </si>
  <si>
    <t>Pembina</t>
  </si>
  <si>
    <t>Honor Pelatih ( 2or X 12 Banjar x 12kl)</t>
  </si>
  <si>
    <t>Honor Narasumber  (2 or )</t>
  </si>
  <si>
    <t>Narasumber ( 1 or x 1kali )</t>
  </si>
  <si>
    <t>1.2.01.5.3.3</t>
  </si>
  <si>
    <t>Belanja Modal Kendaraan Bermotor</t>
  </si>
  <si>
    <t>Belanja Modal Kendaraan Darat Bermotor</t>
  </si>
  <si>
    <t>1.2.01.5.3.3.02</t>
  </si>
  <si>
    <t>Truk Dump</t>
  </si>
  <si>
    <t>Upah Tenaga Pungut Iuran 3 orang x 3 bln</t>
  </si>
  <si>
    <t>Upah Tenaga Pungut Iuran 3 orang x 9 bln</t>
  </si>
  <si>
    <t>Upah  Tenaga Pengangkut Sampah  7 orang x 3 bln</t>
  </si>
  <si>
    <t>Upah  Tenaga Pengangkut Sampah 7 orang x 9 bln</t>
  </si>
  <si>
    <t>Samsat Truk (3 Truk)</t>
  </si>
  <si>
    <t>Kir Truk (3 Truk )</t>
  </si>
  <si>
    <t>Service Truk (3 unit/thn)</t>
  </si>
  <si>
    <t>Solar Truk (3 unit x 9 bulan)</t>
  </si>
  <si>
    <t>Solar Truk (3 unit x 3 bulan)</t>
  </si>
  <si>
    <t>Premium Moci 3 unit</t>
  </si>
  <si>
    <t>Service Moci 3unit/thn</t>
  </si>
  <si>
    <t>Samsat Moci 3 Unit</t>
  </si>
  <si>
    <t>Kali</t>
  </si>
  <si>
    <t>Spare Part Moci 3 unit</t>
  </si>
  <si>
    <t>Ketua KPP dan Pemilah</t>
  </si>
  <si>
    <t>Sekretaris KPP dan Pemilah</t>
  </si>
  <si>
    <t>Bendahara KPP dan Pemilah</t>
  </si>
  <si>
    <t>Upah Petugas Jumali (1 or x 3 bln)</t>
  </si>
  <si>
    <t>Upah Petugas Jumali (1 or x 9 bln)</t>
  </si>
  <si>
    <t>Upah  Sopir Pengangkut Sampah 4 orang x 3 bln</t>
  </si>
  <si>
    <t>Upah Sopir Pengangkut Sampah 4 orang x 9 bln</t>
  </si>
  <si>
    <t>Besi Ram Untuk Menaikan Motor limas</t>
  </si>
  <si>
    <t>Catrol Sepanduk Untuk Candi Di Depan Kantor Desa</t>
  </si>
  <si>
    <t>Papan Struktur</t>
  </si>
  <si>
    <t>BKK Tambahan Pengasilan</t>
  </si>
  <si>
    <t>Bunga Bank</t>
  </si>
  <si>
    <t>Silpa PAD</t>
  </si>
  <si>
    <t>Silpa Bunga Bank</t>
  </si>
  <si>
    <t>Silpa BKK Motor</t>
  </si>
  <si>
    <t>silpa hadiah</t>
  </si>
  <si>
    <t>BKK Provinsi</t>
  </si>
  <si>
    <t>Sopir Pengangkut Sampah 4or</t>
  </si>
  <si>
    <t>Tenaga Pengangkut Sampah 7or</t>
  </si>
  <si>
    <t>Petugas Pemilah TPS 3R 8or</t>
  </si>
  <si>
    <t>Jumali 1or</t>
  </si>
  <si>
    <t>Petugas Bank Sampah 10or</t>
  </si>
  <si>
    <t>3% DD</t>
  </si>
  <si>
    <t>Petugas Pemilah Sampah 5or x 3 bln</t>
  </si>
  <si>
    <t>Petugas Pemilah Sampah 5or x 9 bln</t>
  </si>
  <si>
    <t>Bidang III</t>
  </si>
  <si>
    <t>Bidang IV</t>
  </si>
  <si>
    <t>Bidang V</t>
  </si>
  <si>
    <t>Selisih</t>
  </si>
  <si>
    <t>BKK Prov</t>
  </si>
  <si>
    <t>: Keadaan Mendesak</t>
  </si>
  <si>
    <t xml:space="preserve"> : Penanggulangan Keadaan Mendesak Pemberian BLT</t>
  </si>
  <si>
    <t>5.3.00.5.4</t>
  </si>
  <si>
    <t>5.3.00.5.4.1</t>
  </si>
  <si>
    <t>5.3.00.5.4.1.01</t>
  </si>
  <si>
    <t>: Pengembangan sarana dan prasarana usaha mikro, kecil dan menengah serta koprasi  (Pembentukan dan Sosialisasi Koperasi Desa Merah Putih)</t>
  </si>
  <si>
    <t>Kaur Umum</t>
  </si>
  <si>
    <t>I Made Darasana</t>
  </si>
  <si>
    <t>Bertambahnya Nasabah Koperasi</t>
  </si>
  <si>
    <t>Guru dan CS TK 6or</t>
  </si>
  <si>
    <t>Jaminan Ketenagakerjaan Ekosistem Desa 247 x12 bln</t>
  </si>
  <si>
    <t>Kader Posyandu  ILP 167or</t>
  </si>
  <si>
    <t>Petugas Pungut 1</t>
  </si>
  <si>
    <t>Pemeliharaan Jalan Lingkungan Permukiman /Gang Pura Tegal Lantang (Pemavingan)</t>
  </si>
  <si>
    <t>Kamera Web Camp</t>
  </si>
  <si>
    <t>Honor Pengiring</t>
  </si>
  <si>
    <t>Kamen</t>
  </si>
  <si>
    <t>Honor Tatarias dan Rambut</t>
  </si>
  <si>
    <t>Belanja Barang Yang Diserahkan</t>
  </si>
  <si>
    <t>Belanja Uang Saku 30or x 32kl</t>
  </si>
  <si>
    <t>Konsumsi Pelatihan (pengiring keyboard) 16KL</t>
  </si>
  <si>
    <t>Honor Pelatih ( 1or x 30kl)</t>
  </si>
  <si>
    <t>Konsumsi Pelatihan (30 Perserta + 1Orang Narasumber + 3or TPK) 31KL</t>
  </si>
  <si>
    <t>ot</t>
  </si>
  <si>
    <t>BHPD Dana Cadangan</t>
  </si>
  <si>
    <t>Silpa Hadiah</t>
  </si>
  <si>
    <t>Kegitatan</t>
  </si>
  <si>
    <t>anggaran</t>
  </si>
  <si>
    <t>Jumlah Belanja</t>
  </si>
  <si>
    <t>Arak Berem</t>
  </si>
  <si>
    <t>Silpa BKK Motor Listrik</t>
  </si>
  <si>
    <t>: Bidang Penanggulangan Bencana, Darurat dan Mendesak Desa</t>
  </si>
  <si>
    <t>: Keadaan Darurta</t>
  </si>
  <si>
    <t>: Penanganan Keadaan Darurta</t>
  </si>
  <si>
    <t>5.2.00.5.4</t>
  </si>
  <si>
    <t>5.2.00.5.4.1</t>
  </si>
  <si>
    <t>5.2.00.5.4.1.01</t>
  </si>
  <si>
    <t>Isi Ulang Tabung Pemdam Powder 6Kg</t>
  </si>
  <si>
    <t>Jumlah RAB</t>
  </si>
  <si>
    <t>LAMPIRAN</t>
  </si>
  <si>
    <t>PERATURAN PERBEKEL DESA PENATIH DANGIN PURI</t>
  </si>
  <si>
    <t>PENJABARAN ANGGARAN PENDAPATAN</t>
  </si>
  <si>
    <t>DAN BELANJA DESA</t>
  </si>
  <si>
    <t>FORMAT PENJABARAN ANGGARAN PENDAPATAN DAN BELANJA DESA</t>
  </si>
  <si>
    <t>PEMERINTAH DESA PENATIH DANGIN PURI</t>
  </si>
  <si>
    <t>KODE REKENING</t>
  </si>
  <si>
    <t>KELUARAN/OUTPUT</t>
  </si>
  <si>
    <t>ANGGARAN</t>
  </si>
  <si>
    <t>SUMBER DANA</t>
  </si>
  <si>
    <t>SATUAN</t>
  </si>
  <si>
    <t>NOMOR    TAHUN 2026</t>
  </si>
  <si>
    <t>PENDAPATAN</t>
  </si>
  <si>
    <t>01</t>
  </si>
  <si>
    <t>Hasil Usaha</t>
  </si>
  <si>
    <t>Swadaya Partisipasi, Gotong Royong</t>
  </si>
  <si>
    <t>Swadaya Partisipasi Dan Gotong Royong</t>
  </si>
  <si>
    <t>Trasfer</t>
  </si>
  <si>
    <t>Bagi dari Hasil Pajak dan Retribusi Daerah Kapupaten/Kota</t>
  </si>
  <si>
    <t xml:space="preserve">Bagi dari Hasil Pajak Daerah </t>
  </si>
  <si>
    <t>Bagi dari Hasil Retribusi Daerah Kapupaten/Kota</t>
  </si>
  <si>
    <t>Alokasi Dana Desa</t>
  </si>
  <si>
    <t>Bantuan Keuangan Provinsi</t>
  </si>
  <si>
    <t>Bantuan Keuangan dari APBD Provinsi</t>
  </si>
  <si>
    <t>Bantuan Keuangan APBD Kabupaten/Kota</t>
  </si>
  <si>
    <t>Pendapatan Lain - lain</t>
  </si>
  <si>
    <t>JUMLAH PENDAPATAN</t>
  </si>
  <si>
    <t>BELANJA</t>
  </si>
  <si>
    <t>Kulkas 1 Pintu</t>
  </si>
  <si>
    <t>Kepala Urusan Umum</t>
  </si>
  <si>
    <t>I Made Darsana</t>
  </si>
  <si>
    <t>Konsumsi  50 x 12 bln x 3 Kali</t>
  </si>
  <si>
    <t>Belanja Upakara, Upacara Dan Aci-aci</t>
  </si>
  <si>
    <t>02</t>
  </si>
  <si>
    <t>ADD, BHPD</t>
  </si>
  <si>
    <t>03</t>
  </si>
  <si>
    <t>04</t>
  </si>
  <si>
    <t>05</t>
  </si>
  <si>
    <t>06</t>
  </si>
  <si>
    <t>07</t>
  </si>
  <si>
    <t>08</t>
  </si>
  <si>
    <t>09</t>
  </si>
  <si>
    <t>Pembinaan Grup Kesenian dan Kebudayaan Tingkat Desa (Grup Kesenian Tari Baris Gede)</t>
  </si>
  <si>
    <t>Konsumsi ( 30or x 2klp + 2or Narasumbe x 25kl)</t>
  </si>
  <si>
    <t>Honor Pelatih ( 2or X  25kl)</t>
  </si>
  <si>
    <t>Jumlah Silpa</t>
  </si>
  <si>
    <t>3.2.94.5.2.</t>
  </si>
  <si>
    <t>3.3.90.5.2</t>
  </si>
  <si>
    <t>SILPA ADD</t>
  </si>
  <si>
    <t>Surplus/ (Defisit)</t>
  </si>
  <si>
    <t>Pembiayaan</t>
  </si>
  <si>
    <t>Penerimaan Pembiayaan</t>
  </si>
  <si>
    <t>Silpa Tahun Sebelumnya</t>
  </si>
  <si>
    <t>Pengeluaran Pembiayaan</t>
  </si>
  <si>
    <t>Penyertaan Modal Desa</t>
  </si>
  <si>
    <t>Pencairan Dana Cadangan</t>
  </si>
  <si>
    <t>Selisih Pembiayaam</t>
  </si>
  <si>
    <t>3.4.03.5.2.4</t>
  </si>
  <si>
    <t>3.4.03.5.2.4.3</t>
  </si>
  <si>
    <t>Outbond</t>
  </si>
  <si>
    <t>Samsat Moci</t>
  </si>
  <si>
    <t>Laptop kaur Perencanaan</t>
  </si>
  <si>
    <t>1.1.97.5.1.1.01</t>
  </si>
  <si>
    <t>00</t>
  </si>
  <si>
    <t>90</t>
  </si>
  <si>
    <t>Sub Bidang Pekerjaan Umum Penataan Ruang</t>
  </si>
  <si>
    <t>12</t>
  </si>
  <si>
    <t>91</t>
  </si>
  <si>
    <t>Kehutanan Dan Lingkungan hidup</t>
  </si>
  <si>
    <t>Perhubungan, Komunikasi dan Informatika</t>
  </si>
  <si>
    <t xml:space="preserve">Bidang Kebudayaan dan Keagamaan </t>
  </si>
  <si>
    <t>Kepemudaan dan Olah raga</t>
  </si>
  <si>
    <t>Pembinaan Lembaga Kemasyarakatan</t>
  </si>
  <si>
    <t>Pertanian dan Perteakan</t>
  </si>
  <si>
    <t>Bidang kelembagaan kemasyrakatan</t>
  </si>
  <si>
    <t xml:space="preserve">Dukungan Penanaman Modal </t>
  </si>
  <si>
    <t>2.3.03.5.3.5.04</t>
  </si>
  <si>
    <t>4.2.03.5.2.2'01</t>
  </si>
  <si>
    <t>Bunga bank</t>
  </si>
  <si>
    <t>rinci luas</t>
  </si>
  <si>
    <t>Pemeliharaan Gedung/Prasarana Gudang</t>
  </si>
  <si>
    <t>rinci</t>
  </si>
  <si>
    <t>haARI BESAR</t>
  </si>
  <si>
    <t>TURNAMEN Tenis Meja</t>
  </si>
  <si>
    <t>KORAKSI PAGU</t>
  </si>
  <si>
    <t>Penyuluhan dan Pelatihan Bidang Kesehatan (PHBS : Sostaliasasi AIDS, Tuber Colosis, Malaria)</t>
  </si>
  <si>
    <t>Pack</t>
  </si>
  <si>
    <t>Kesehatan</t>
  </si>
  <si>
    <t>Siltap</t>
  </si>
  <si>
    <t>Persentase</t>
  </si>
  <si>
    <t>Pebekel</t>
  </si>
  <si>
    <t>Sekdesa</t>
  </si>
  <si>
    <t>kaur kasi</t>
  </si>
  <si>
    <t>Kadus</t>
  </si>
  <si>
    <t>ketenaga kerjaan</t>
  </si>
  <si>
    <t>Siltap Plus Tunjangan</t>
  </si>
  <si>
    <t>Jaminan Ketenaga kerjaa</t>
  </si>
  <si>
    <t>Satuan</t>
  </si>
  <si>
    <t>Persentas</t>
  </si>
  <si>
    <t>wakil</t>
  </si>
  <si>
    <t>Skretaris</t>
  </si>
  <si>
    <t>Ketenagakerajaan</t>
  </si>
  <si>
    <t>Silptap</t>
  </si>
  <si>
    <t>Staf Kaur kAsi</t>
  </si>
  <si>
    <t>Siskeudes</t>
  </si>
  <si>
    <t>it</t>
  </si>
  <si>
    <t>KPM</t>
  </si>
  <si>
    <t>CS</t>
  </si>
  <si>
    <t>staf</t>
  </si>
  <si>
    <t>siskeudes</t>
  </si>
  <si>
    <t>Jaminan Kesehtan di Bayar Pribadi</t>
  </si>
  <si>
    <t>Jaminan Kesehtan di Bayar APBDesa</t>
  </si>
  <si>
    <t>Sitap Bersih</t>
  </si>
  <si>
    <t>2.4.07.5.2.1.06</t>
  </si>
  <si>
    <t>Konsumsi kegiatan (10or x 12 bl x 2kl)</t>
  </si>
  <si>
    <t>Jumat Bersih</t>
  </si>
  <si>
    <t>Konsumsi ( 35 orang x 2 kali x 12bln )</t>
  </si>
  <si>
    <t>2.5.03.5.2.1.07</t>
  </si>
  <si>
    <t>Plastik Sampah Besar ( 10bh x 2kali x 12 bln )</t>
  </si>
  <si>
    <t>Garu Besi</t>
  </si>
  <si>
    <t>Siltap bersih</t>
  </si>
  <si>
    <t>Pakaian Dinas Perbekel perangkat staf (PDH Putih)</t>
  </si>
  <si>
    <t>Pakaian Dinas Endek dan Bawahan 9stel untuk BPD</t>
  </si>
  <si>
    <t>Name Tag Akrilik Dan Cetakan</t>
  </si>
  <si>
    <t>Ruang Kepala Dusun Pasang keramik Dinding : 29.4 m2, Pembobokan Dinding lama : 29.4 m2 Service Plafont : 10m2</t>
  </si>
  <si>
    <t>Ruang Kepala Kaur Kasi Pasang keramik Dinding : 30.24 m2, Pembobokan Dinding lama : 30.24 m2 Service Plafont : 22.4m2</t>
  </si>
  <si>
    <t>Pemasangan Alderon : 48.4 m1 Pengerukan Cat Dinding Gudang  : 275.84m2 Cat Dinding 275.84 m2</t>
  </si>
  <si>
    <t>OB</t>
  </si>
  <si>
    <t>2.1.03.5.2.7</t>
  </si>
  <si>
    <t>2.1.03.5.2.7.01</t>
  </si>
  <si>
    <t>Belanja PMT untuk Balita (44 anak x 10)</t>
  </si>
  <si>
    <t>PMT Remaja (30or x10kl)</t>
  </si>
  <si>
    <t>PMT Lansia (30or x10kl)</t>
  </si>
  <si>
    <t>Dupa 1Bks x 10kl</t>
  </si>
  <si>
    <t>Canang 10Tanding x 10kl</t>
  </si>
  <si>
    <t>OK</t>
  </si>
  <si>
    <t>OJ</t>
  </si>
  <si>
    <t>Narasumber 2or</t>
  </si>
  <si>
    <t>: Penyelenggaraan Pembinaan dan Lomba Balita Sehat ( Kategori Baduta dan Balita)</t>
  </si>
  <si>
    <t>Honor Juri 10 or x 1 hari</t>
  </si>
  <si>
    <t>Konsumsi  Peserta 20or juri 10or, TPK 3or, PPKD 2or, Perbekel 1or  x 1 kali</t>
  </si>
  <si>
    <t>Paving : 103.60m2, Kanstin s : 3.5m1, Rabat Beton, 1,50m3</t>
  </si>
  <si>
    <t xml:space="preserve">: Pemeliharaan Jalan Lingkungan Gg. Giri Kusuma </t>
  </si>
  <si>
    <t xml:space="preserve"> Batu Kali 30.69m3, GALIAN 31 m3, Paving : 227.40m2, kanstin Segilima 94.10m, Pembersihan Site 249m2</t>
  </si>
  <si>
    <t>Pembersihan Site 133 m1, Paving : 412 m2, Kanstin s : 7,5 m1, Kanstin DKI : 266.8 m1, Bongkar Beton 10 m1</t>
  </si>
  <si>
    <t>Paving : 102 m2, Kanstin s : 2 m1, Kanstin DKI :123.8 m1, Pembersihan Site 61 m1</t>
  </si>
  <si>
    <t>Paving : 499 m2, Kanstin s : 6,4 m1, Kanstin DKI :261,6m1, Pembersihan Site 137 m1</t>
  </si>
  <si>
    <t>Koral Beton 2/3 ex 4 per 2.75m3</t>
  </si>
  <si>
    <t>Urugan lime Stone 108,27 m3, Bongkaran : 180.45 m2, Bekisting 12.03 m2, Pembesian  108.45m, Pembetonan, 18 m3,Pondasi Batu Kali 4.12 m3</t>
  </si>
  <si>
    <t>Grup</t>
  </si>
  <si>
    <t>Belanja Jasa Honorarium Petugas (Linmas 33 orang)</t>
  </si>
  <si>
    <t>Belanja Jasa Honorarium Petugas Linmas 33or, Bendesa 3or, 13kelihan banjar</t>
  </si>
  <si>
    <t>Stampel</t>
  </si>
  <si>
    <t xml:space="preserve">  : Penyelenggaraan Festival Kesenian, Adat / Kebudayaan, dan Keagamaan (Pembinaan dan Lomba Nyurat Aksara Bali Anak Umur 7 - 12 Tahun, Ngwacen Lontar Anak Remaja Umur 16 - 18 tahun Nyatua Bali Krama Istri Dalam Rangka Penyelenggaraan Bulan Bahasa Bali )</t>
  </si>
  <si>
    <t>Mesin Jarit Kampil</t>
  </si>
  <si>
    <t>Nganyarin ke Pura  Besakih</t>
  </si>
  <si>
    <t xml:space="preserve">: Penyelenggaraan Pelatihan Kepemudaan  ( Pelatihan dan Lomba Pidato Bungkarno Tingkat Sekaa Truna, Membaca Puisi Karya Bungkarno Tingkat Umur 13 - 15 tahun, Menyanyi Lagu Kebangsaan Tingkat umur 7 - 12 ) </t>
  </si>
  <si>
    <t>Panitia</t>
  </si>
  <si>
    <t>Belanja Barang untuk Diserahkan kepada Masyarakat Lainnya</t>
  </si>
  <si>
    <t>3.4.02.5.2.7.99</t>
  </si>
  <si>
    <t>Seragam PKK Desa Endek dan bawahan</t>
  </si>
  <si>
    <t>Belanja Jasa Sewa Mobiltas dan Akomodasi</t>
  </si>
  <si>
    <t>3.4.04.5.2.1.08</t>
  </si>
  <si>
    <t>Belanja Spanduk</t>
  </si>
  <si>
    <t>3.4.04.5.2.1.05</t>
  </si>
  <si>
    <t>Cetak Balngko Pendataan Penduduk 7811</t>
  </si>
  <si>
    <t>Cetak Blangko 2lbr x KK (1970)</t>
  </si>
  <si>
    <t>Klip Board Plastik</t>
  </si>
  <si>
    <t>Konsumsi Pelatihan (17 Pendata, Narasumber 1, PPKD 2, Perbekel 1)</t>
  </si>
  <si>
    <t>Honor Petugas  Pendata</t>
  </si>
  <si>
    <t>Orientasi Lapangan Perangkat Desa 29or , 2 Narsumber</t>
  </si>
  <si>
    <t>orientasi LapanganBPD 9, Staf BPD 1, Narasumber 2</t>
  </si>
  <si>
    <t>Baju Polo ( Lansia 30or + Kader 15or )</t>
  </si>
  <si>
    <t>Celana Trening ( Lansia 30or + Kader 15or )</t>
  </si>
  <si>
    <t>Sepatu ( Lansia 30or + Kader 15or )</t>
  </si>
  <si>
    <t>Topi ( Lansia 30or + Kader 15or )</t>
  </si>
  <si>
    <t>Tirtayatra kader 15or, Lanisa 30or, Pendamping 2or</t>
  </si>
  <si>
    <t>PAD swadaya bawa ke TK</t>
  </si>
  <si>
    <t>Pembelian Tanah (26 Are)</t>
  </si>
  <si>
    <t>Konsumsi 100or x 4</t>
  </si>
  <si>
    <t>uang saku peserta (20 or x 4kali)</t>
  </si>
  <si>
    <t>Silpa BHP</t>
  </si>
  <si>
    <t>Jumlah anak</t>
  </si>
  <si>
    <t>SPP 12 Bulan</t>
  </si>
  <si>
    <t>Uang Gedung</t>
  </si>
  <si>
    <t>PAD SWADAYA</t>
  </si>
  <si>
    <t>Seragam Guru endek dan bawahan ( 6or)</t>
  </si>
  <si>
    <t>Silpa BHR</t>
  </si>
  <si>
    <t>Pemberian BLT (24KK X 12Bln)</t>
  </si>
  <si>
    <t>Sewa Tenda unit X 2</t>
  </si>
  <si>
    <t>Meja 3 buah x 2</t>
  </si>
  <si>
    <t>Konsumsi Kegiatan LPM 17 + BPD 9 + PKK 5 + Karang Taruna 5 + Babinsa 2 + Perangkat Desa 28 X 5 Kl</t>
  </si>
  <si>
    <t>Belanja Pakaian Dinas Seragam Dan Atribut</t>
  </si>
  <si>
    <t>Seragam Endek LPM</t>
  </si>
  <si>
    <t>Belanja Sembako Lansia Jompo</t>
  </si>
  <si>
    <t>Ni Nyoman Adi Trisnawati</t>
  </si>
  <si>
    <t>PMT Lansia (13klp x 30or x6kl)</t>
  </si>
  <si>
    <t>Biaya Sertifat Tanah</t>
  </si>
  <si>
    <t>Kepala Dusun (7 Orang X12bln)</t>
  </si>
  <si>
    <t>Kepal Dusun Mertasari (1or X11bln)</t>
  </si>
  <si>
    <t>Kepal Dusun Mertasari (1or X1bln)</t>
  </si>
  <si>
    <t>Jaminan Kesehatan Kadus (7or x 12bln)</t>
  </si>
  <si>
    <t>Belanja Alat Material</t>
  </si>
  <si>
    <t>Senter</t>
  </si>
  <si>
    <t>Belanja Aci</t>
  </si>
  <si>
    <t>4,4,01.5.2.1.01</t>
  </si>
  <si>
    <t>Belanja Alat Tulis</t>
  </si>
  <si>
    <t>3.4.02.5.2.1.01</t>
  </si>
  <si>
    <t>Belanja Perlengkapam Alat Tulis</t>
  </si>
  <si>
    <t>cetak Dokumen APBDes Perubaha (4kl)</t>
  </si>
  <si>
    <t>103,60</t>
  </si>
  <si>
    <t>Ni Kadek Agis Dwujayanti</t>
  </si>
  <si>
    <t>Kepala Seksi Kesejahteran</t>
  </si>
  <si>
    <t>Kepala Urusan Perencanaan</t>
  </si>
  <si>
    <t>Kepala Seksi Pemerintahan</t>
  </si>
  <si>
    <t>I Kadek Andika</t>
  </si>
  <si>
    <t>I Made Pramiarta</t>
  </si>
  <si>
    <t>Kepala Sekesi Pelayanan</t>
  </si>
  <si>
    <t>Belanja Barang Dan jasa</t>
  </si>
  <si>
    <t>FORMAT ANGGARAN PENDAPATAN DAN BELANJA DESA</t>
  </si>
  <si>
    <t>Pebaikan Gorong Gorong dan Trotoarisasi Sepanjang Jalan Siulan</t>
  </si>
  <si>
    <t>2913 m</t>
  </si>
  <si>
    <t>konsumsi Sosialisasi ( 50or x 12 kali )</t>
  </si>
  <si>
    <t>konsumsi Rapat ( 45or x 2 kali )</t>
  </si>
  <si>
    <t>Lemari Arsip Kaur Keuangan</t>
  </si>
  <si>
    <t>RENCANA ANGGARAN KAS DESA</t>
  </si>
  <si>
    <t>KEGIATAN</t>
  </si>
  <si>
    <t>KASI</t>
  </si>
  <si>
    <t>RENCANA PENARIKAN ANGGARAN (Rp)</t>
  </si>
  <si>
    <t>KAUR</t>
  </si>
  <si>
    <t xml:space="preserve">Januari 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</si>
  <si>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</si>
  <si>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</si>
  <si>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</si>
  <si>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</si>
  <si>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</si>
  <si>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</si>
  <si>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</si>
  <si>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</si>
  <si>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</si>
  <si>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</si>
  <si>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</si>
  <si>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Umum</t>
  </si>
  <si>
    <t>Kesra</t>
  </si>
  <si>
    <t>Perencanaan</t>
  </si>
  <si>
    <t>Pemerintahan</t>
  </si>
  <si>
    <t>Pelayanan</t>
  </si>
  <si>
    <t>Ksera</t>
  </si>
  <si>
    <t>2</t>
  </si>
  <si>
    <t>BHPD, ADD</t>
  </si>
  <si>
    <t>Pelaksanaan Pemabangunan Desa</t>
  </si>
  <si>
    <t>Pemberdayaan Masyarakat Desa</t>
  </si>
  <si>
    <t>Penanggulangan Bencana,Darurat dan Mendesak Desa</t>
  </si>
  <si>
    <t>: Pelaksanaan Pemabangunan Desa</t>
  </si>
  <si>
    <t>Kepala Seksi Kesejahteraan</t>
  </si>
  <si>
    <t>NI Kadek Agis Dwijayanti</t>
  </si>
  <si>
    <t>Kepala Seksi Pelayanan</t>
  </si>
  <si>
    <t>Ni Nyoman Adi trisnawati</t>
  </si>
  <si>
    <t>Bidang,Sub Bidang</t>
  </si>
  <si>
    <t>RENCANA KERJA KEGIATAN DESA</t>
  </si>
  <si>
    <t>DENPASAR TIMUR</t>
  </si>
  <si>
    <t>DENPASAR</t>
  </si>
  <si>
    <t>BALI</t>
  </si>
  <si>
    <t>Sasaran</t>
  </si>
  <si>
    <t>Pelaksana Kegiatan Anggaran</t>
  </si>
  <si>
    <t>A-RTM</t>
  </si>
  <si>
    <t>Durasi</t>
  </si>
  <si>
    <t>Mulai</t>
  </si>
  <si>
    <t>Selesai</t>
  </si>
  <si>
    <t>Pekerjaan Umum Penataan Ruang</t>
  </si>
  <si>
    <t xml:space="preserve">Sekretaris Desa </t>
  </si>
  <si>
    <t>Tim Yang Melaksanakan kegiatan</t>
  </si>
  <si>
    <t>Pembangunan/Rehabilitasi/Peningkatan Sumur Resapan (Teba Moderen dan Tong Komposter)</t>
  </si>
  <si>
    <t>Kelautan dan Perikanan</t>
  </si>
  <si>
    <t>Pertanian dan Pertenakan</t>
  </si>
  <si>
    <t>: Keadaan Darurat</t>
  </si>
  <si>
    <t xml:space="preserve"> Penanggulangan Bencana, Darurat dan Mendesak Desa</t>
  </si>
  <si>
    <t>: Penanganan Keadaan Darurat</t>
  </si>
  <si>
    <t>( I Wayan Kamar,S.A.P)</t>
  </si>
  <si>
    <t>Januari</t>
  </si>
  <si>
    <t>PPKD</t>
  </si>
  <si>
    <t>Kaur Perencanaan</t>
  </si>
  <si>
    <t>Kasi PEM</t>
  </si>
  <si>
    <t>6 Bulan</t>
  </si>
  <si>
    <t>3 Bulan</t>
  </si>
  <si>
    <t>Bulan</t>
  </si>
  <si>
    <t>Kasi Pelayanan</t>
  </si>
  <si>
    <t>Kasi kesra</t>
  </si>
  <si>
    <t xml:space="preserve">Maret </t>
  </si>
  <si>
    <t xml:space="preserve">5 Bulan </t>
  </si>
  <si>
    <t>juni</t>
  </si>
  <si>
    <t>8 Bulan</t>
  </si>
  <si>
    <t>( I Wayan Sutapa,S.A.P.,M.A.P)</t>
  </si>
  <si>
    <t>Denpasar, 31 Desember 2025</t>
  </si>
  <si>
    <r>
      <rPr>
        <i/>
        <sz val="11"/>
        <color theme="1"/>
        <rFont val="Calibri"/>
        <family val="2"/>
        <scheme val="minor"/>
      </rPr>
      <t>Perbekel</t>
    </r>
    <r>
      <rPr>
        <sz val="11"/>
        <color theme="1"/>
        <rFont val="Calibri"/>
        <family val="2"/>
        <scheme val="minor"/>
      </rPr>
      <t xml:space="preserve"> Penatih Dangin Puri</t>
    </r>
  </si>
  <si>
    <t>Diverifikasi Oleh</t>
  </si>
  <si>
    <t>Sekretaris desa</t>
  </si>
  <si>
    <t>Di Setujui Oleh</t>
  </si>
  <si>
    <r>
      <rPr>
        <i/>
        <sz val="11"/>
        <color theme="1"/>
        <rFont val="Calibri"/>
        <family val="2"/>
        <scheme val="minor"/>
      </rPr>
      <t>Perbekel</t>
    </r>
    <r>
      <rPr>
        <sz val="11"/>
        <color theme="1"/>
        <rFont val="Calibri"/>
        <family val="2"/>
        <scheme val="minor"/>
      </rPr>
      <t xml:space="preserve"> Desa Penatih Dangin Puri</t>
    </r>
  </si>
  <si>
    <t>( I Putu Ary Setyawan )</t>
  </si>
  <si>
    <t>RENCANA KEGIATAN DAN ANGGARAN</t>
  </si>
  <si>
    <t>Desa Penatih Dangin Puri, 31 Desember 2025</t>
  </si>
  <si>
    <t>Honor Petugas POSYANDU ILP  (167or x 10bln)</t>
  </si>
  <si>
    <t>Upah Petugas Tim Kebersihan Sungai (10 or x 112 hari)</t>
  </si>
  <si>
    <t>Bag Komposter</t>
  </si>
  <si>
    <t>Silpa ADD,BHPD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</si>
</sst>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&quot;Rp&quot;* #,##0.00_-;\-&quot;Rp&quot;* #,##0.00_-;_-&quot;Rp&quot;* &quot;-&quot;??_-;_-@_-"/>
    <numFmt numFmtId="166" formatCode="_-* #,##0.00_-;\-* #,##0.00_-;_-* &quot;-&quot;??_-;_-@_-"/>
    <numFmt numFmtId="167" formatCode="_(* #,##0_);_(* \(#,##0\);_(* &quot;-&quot;??_);_(@_)"/>
    <numFmt numFmtId="168" formatCode="_(* #,##0.0000_);_(* \(#,##0.0000\);_(* &quot;-&quot;??_);_(@_)"/>
    <numFmt numFmtId="169" formatCode="_(* #,##0.000_);_(* \(#,##0.000\);_(* &quot;-&quot;??_);_(@_)"/>
    <numFmt numFmtId="170" formatCode="_-* #,##0_-;\-* #,##0_-;_-* &quot;-&quot;??_-;_-@_-"/>
    <numFmt numFmtId="171" formatCode="_(* #,##0.00000000000000000_);_(* \(#,##0.00000000000000000\);_(* &quot;-&quot;??_);_(@_)"/>
    <numFmt numFmtId="172" formatCode="_(* #,##0.0000000000000000000_);_(* \(#,##0.0000000000000000000\);_(* &quot;-&quot;??_);_(@_)"/>
    <numFmt numFmtId="173" formatCode="#,##0.000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name val="Times New Roman"/>
      <family val="1"/>
    </font>
    <font>
      <sz val="11"/>
      <color indexed="8"/>
      <name val="Calibri"/>
      <family val="2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</font>
    <font>
      <sz val="14"/>
      <name val="Times New Roman"/>
      <family val="1"/>
    </font>
    <font>
      <sz val="9"/>
      <color indexed="10"/>
      <name val="Times New Roman"/>
      <family val="1"/>
    </font>
    <font>
      <b/>
      <sz val="9"/>
      <name val="Times New Roman"/>
      <family val="1"/>
    </font>
    <font>
      <sz val="9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sz val="11"/>
      <name val="Arial"/>
      <family val="2"/>
    </font>
    <font>
      <sz val="11"/>
      <color theme="1"/>
      <name val="Calibri"/>
      <family val="2"/>
      <charset val="1"/>
      <scheme val="minor"/>
    </font>
    <font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color indexed="8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18"/>
      <color theme="1"/>
      <name val="Bookman Old Style"/>
      <family val="1"/>
    </font>
    <font>
      <sz val="12"/>
      <color theme="1"/>
      <name val="Bookman Old Style"/>
      <family val="1"/>
    </font>
    <font>
      <b/>
      <sz val="12"/>
      <color theme="1"/>
      <name val="Bookman Old Style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name val="Bookman Old Style"/>
      <family val="1"/>
    </font>
    <font>
      <sz val="9"/>
      <color theme="1"/>
      <name val="Bookman Old Style"/>
      <family val="1"/>
    </font>
    <font>
      <sz val="9"/>
      <name val="Bookman Old Style"/>
      <family val="1"/>
    </font>
    <font>
      <sz val="10"/>
      <color theme="1"/>
      <name val="Bookman Old Style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color indexed="8"/>
      <name val="Calibri"/>
      <family val="2"/>
      <scheme val="minor"/>
    </font>
    <font>
      <b/>
      <sz val="11"/>
      <color indexed="8"/>
      <name val="Times New Roman"/>
      <family val="1"/>
    </font>
    <font>
      <b/>
      <sz val="12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 tint="4.9989318521683403E-2"/>
      <name val="Times New Roman"/>
      <family val="1"/>
    </font>
    <font>
      <sz val="11"/>
      <name val="Arial Narrow"/>
      <family val="2"/>
    </font>
    <font>
      <sz val="9"/>
      <name val="Arial Narrow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sz val="11.5"/>
      <name val="Calibri"/>
      <family val="2"/>
      <scheme val="minor"/>
    </font>
    <font>
      <vertAlign val="superscript"/>
      <sz val="11.5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1"/>
      <color theme="0"/>
      <name val="Calibri"/>
      <family val="2"/>
      <scheme val="minor"/>
    </font>
    <font>
      <b/>
      <sz val="22"/>
      <color indexed="8"/>
      <name val="Calibri"/>
      <family val="2"/>
    </font>
    <font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</borders>
  <cellStyleXfs count="21">
    <xf numFmtId="0" fontId="0" fillId="0" borderId="0"/>
    <xf numFmtId="166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  <xf numFmtId="0" fontId="9" fillId="0" borderId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0" fillId="0" borderId="0"/>
    <xf numFmtId="166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9" fillId="0" borderId="0"/>
    <xf numFmtId="41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32">
    <xf numFmtId="0" fontId="0" fillId="0" borderId="0" xfId="0"/>
    <xf numFmtId="0" fontId="0" fillId="0" borderId="2" xfId="0" applyBorder="1"/>
    <xf numFmtId="0" fontId="3" fillId="0" borderId="2" xfId="2" applyNumberFormat="1" applyFont="1" applyFill="1" applyBorder="1" applyAlignment="1">
      <alignment horizontal="center" vertical="center"/>
    </xf>
    <xf numFmtId="166" fontId="0" fillId="0" borderId="0" xfId="1" applyFont="1" applyFill="1"/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31" fillId="0" borderId="0" xfId="0" applyFont="1" applyAlignment="1">
      <alignment horizontal="center" vertical="center"/>
    </xf>
    <xf numFmtId="0" fontId="31" fillId="0" borderId="0" xfId="0" applyFont="1"/>
    <xf numFmtId="0" fontId="31" fillId="0" borderId="0" xfId="0" applyFont="1" applyAlignment="1">
      <alignment wrapText="1"/>
    </xf>
    <xf numFmtId="0" fontId="31" fillId="0" borderId="0" xfId="0" applyFont="1" applyAlignment="1">
      <alignment vertical="center"/>
    </xf>
    <xf numFmtId="0" fontId="31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31" fillId="0" borderId="2" xfId="0" applyFont="1" applyBorder="1"/>
    <xf numFmtId="0" fontId="31" fillId="0" borderId="2" xfId="0" applyFont="1" applyBorder="1" applyAlignment="1">
      <alignment horizontal="center"/>
    </xf>
    <xf numFmtId="0" fontId="31" fillId="0" borderId="2" xfId="0" applyFont="1" applyBorder="1" applyAlignment="1">
      <alignment horizontal="center" wrapText="1"/>
    </xf>
    <xf numFmtId="0" fontId="31" fillId="0" borderId="2" xfId="0" applyFont="1" applyBorder="1" applyAlignment="1">
      <alignment vertical="center"/>
    </xf>
    <xf numFmtId="0" fontId="31" fillId="0" borderId="2" xfId="0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0" fontId="17" fillId="0" borderId="9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 wrapText="1"/>
    </xf>
    <xf numFmtId="43" fontId="0" fillId="0" borderId="2" xfId="0" applyNumberFormat="1" applyBorder="1"/>
    <xf numFmtId="43" fontId="0" fillId="0" borderId="0" xfId="0" applyNumberFormat="1"/>
    <xf numFmtId="0" fontId="0" fillId="0" borderId="9" xfId="0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4" fontId="0" fillId="0" borderId="0" xfId="0" applyNumberFormat="1"/>
    <xf numFmtId="0" fontId="2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25" fillId="0" borderId="0" xfId="0" applyFont="1"/>
    <xf numFmtId="166" fontId="31" fillId="0" borderId="0" xfId="1" applyFont="1" applyAlignment="1">
      <alignment vertical="center"/>
    </xf>
    <xf numFmtId="0" fontId="34" fillId="0" borderId="0" xfId="0" applyFont="1"/>
    <xf numFmtId="0" fontId="33" fillId="0" borderId="0" xfId="0" applyFont="1"/>
    <xf numFmtId="0" fontId="35" fillId="0" borderId="0" xfId="14" applyFont="1"/>
    <xf numFmtId="0" fontId="35" fillId="0" borderId="0" xfId="14" applyFont="1" applyAlignment="1">
      <alignment horizontal="center" vertical="center"/>
    </xf>
    <xf numFmtId="0" fontId="35" fillId="0" borderId="0" xfId="14" applyFont="1" applyAlignment="1">
      <alignment horizontal="left"/>
    </xf>
    <xf numFmtId="0" fontId="35" fillId="0" borderId="19" xfId="14" applyFont="1" applyBorder="1" applyAlignment="1">
      <alignment vertical="center" wrapText="1"/>
    </xf>
    <xf numFmtId="0" fontId="35" fillId="0" borderId="20" xfId="14" applyFont="1" applyBorder="1" applyAlignment="1">
      <alignment horizontal="center" vertical="center" wrapText="1"/>
    </xf>
    <xf numFmtId="0" fontId="35" fillId="0" borderId="20" xfId="14" applyFont="1" applyBorder="1" applyAlignment="1">
      <alignment vertical="center" wrapText="1"/>
    </xf>
    <xf numFmtId="0" fontId="35" fillId="0" borderId="21" xfId="14" applyFont="1" applyBorder="1" applyAlignment="1">
      <alignment horizontal="center" vertical="center" wrapText="1"/>
    </xf>
    <xf numFmtId="0" fontId="35" fillId="0" borderId="20" xfId="14" applyFont="1" applyBorder="1" applyAlignment="1">
      <alignment horizontal="right" vertical="center" wrapText="1"/>
    </xf>
    <xf numFmtId="0" fontId="35" fillId="0" borderId="22" xfId="14" applyFont="1" applyBorder="1" applyAlignment="1">
      <alignment vertical="center" wrapText="1"/>
    </xf>
    <xf numFmtId="0" fontId="35" fillId="0" borderId="22" xfId="14" applyFont="1" applyBorder="1" applyAlignment="1">
      <alignment horizontal="center" vertical="center"/>
    </xf>
    <xf numFmtId="0" fontId="35" fillId="0" borderId="22" xfId="14" applyFont="1" applyBorder="1" applyAlignment="1">
      <alignment horizontal="center" vertical="center" wrapText="1"/>
    </xf>
    <xf numFmtId="41" fontId="35" fillId="0" borderId="23" xfId="15" applyFont="1" applyBorder="1" applyAlignment="1">
      <alignment vertical="center"/>
    </xf>
    <xf numFmtId="0" fontId="0" fillId="0" borderId="24" xfId="0" applyBorder="1"/>
    <xf numFmtId="0" fontId="35" fillId="0" borderId="16" xfId="14" applyFont="1" applyBorder="1" applyAlignment="1">
      <alignment horizontal="right" vertical="center" wrapText="1"/>
    </xf>
    <xf numFmtId="0" fontId="35" fillId="0" borderId="2" xfId="14" applyFont="1" applyBorder="1" applyAlignment="1">
      <alignment vertical="center" wrapText="1"/>
    </xf>
    <xf numFmtId="0" fontId="35" fillId="0" borderId="2" xfId="14" applyFont="1" applyBorder="1" applyAlignment="1">
      <alignment horizontal="center" vertical="center"/>
    </xf>
    <xf numFmtId="0" fontId="35" fillId="0" borderId="2" xfId="14" applyFont="1" applyBorder="1" applyAlignment="1">
      <alignment horizontal="center" vertical="center" wrapText="1"/>
    </xf>
    <xf numFmtId="41" fontId="35" fillId="0" borderId="4" xfId="15" applyFont="1" applyBorder="1" applyAlignment="1">
      <alignment vertical="center"/>
    </xf>
    <xf numFmtId="0" fontId="0" fillId="0" borderId="26" xfId="0" applyBorder="1"/>
    <xf numFmtId="0" fontId="35" fillId="0" borderId="16" xfId="14" applyFont="1" applyBorder="1" applyAlignment="1">
      <alignment horizontal="right" wrapText="1"/>
    </xf>
    <xf numFmtId="0" fontId="35" fillId="0" borderId="5" xfId="14" applyFont="1" applyBorder="1" applyAlignment="1">
      <alignment horizontal="left" vertical="center" wrapText="1"/>
    </xf>
    <xf numFmtId="0" fontId="35" fillId="0" borderId="2" xfId="14" applyFont="1" applyBorder="1" applyAlignment="1">
      <alignment horizontal="left" vertical="center" wrapText="1"/>
    </xf>
    <xf numFmtId="0" fontId="35" fillId="0" borderId="2" xfId="14" applyFont="1" applyBorder="1" applyAlignment="1">
      <alignment horizontal="right" vertical="center"/>
    </xf>
    <xf numFmtId="0" fontId="35" fillId="0" borderId="7" xfId="14" applyFont="1" applyBorder="1" applyAlignment="1">
      <alignment horizontal="left" vertical="center"/>
    </xf>
    <xf numFmtId="0" fontId="0" fillId="0" borderId="26" xfId="0" applyBorder="1" applyAlignment="1">
      <alignment vertical="center"/>
    </xf>
    <xf numFmtId="0" fontId="35" fillId="0" borderId="7" xfId="14" applyFont="1" applyBorder="1" applyAlignment="1">
      <alignment horizontal="right" vertical="center"/>
    </xf>
    <xf numFmtId="41" fontId="35" fillId="0" borderId="4" xfId="15" applyFont="1" applyBorder="1" applyAlignment="1">
      <alignment horizontal="center" vertical="center"/>
    </xf>
    <xf numFmtId="41" fontId="35" fillId="0" borderId="17" xfId="14" applyNumberFormat="1" applyFont="1" applyBorder="1" applyAlignment="1">
      <alignment vertical="center"/>
    </xf>
    <xf numFmtId="0" fontId="0" fillId="0" borderId="34" xfId="0" applyBorder="1"/>
    <xf numFmtId="0" fontId="35" fillId="0" borderId="0" xfId="14" applyFont="1" applyAlignment="1">
      <alignment horizontal="right" vertical="center"/>
    </xf>
    <xf numFmtId="41" fontId="35" fillId="0" borderId="0" xfId="14" applyNumberFormat="1" applyFont="1" applyAlignment="1">
      <alignment vertical="center"/>
    </xf>
    <xf numFmtId="0" fontId="31" fillId="0" borderId="0" xfId="0" applyFont="1" applyAlignment="1">
      <alignment horizontal="left"/>
    </xf>
    <xf numFmtId="166" fontId="0" fillId="0" borderId="0" xfId="1" applyFont="1"/>
    <xf numFmtId="0" fontId="33" fillId="0" borderId="2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166" fontId="31" fillId="0" borderId="0" xfId="1" applyFont="1"/>
    <xf numFmtId="166" fontId="31" fillId="0" borderId="2" xfId="1" applyFont="1" applyBorder="1" applyAlignment="1">
      <alignment horizontal="center"/>
    </xf>
    <xf numFmtId="166" fontId="0" fillId="0" borderId="2" xfId="1" applyFont="1" applyBorder="1"/>
    <xf numFmtId="0" fontId="0" fillId="0" borderId="9" xfId="0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25" fillId="0" borderId="9" xfId="0" applyFont="1" applyBorder="1" applyAlignment="1">
      <alignment vertical="top" wrapText="1"/>
    </xf>
    <xf numFmtId="43" fontId="0" fillId="0" borderId="2" xfId="0" applyNumberFormat="1" applyBorder="1" applyAlignment="1">
      <alignment horizontal="left" vertical="center" wrapText="1"/>
    </xf>
    <xf numFmtId="167" fontId="0" fillId="0" borderId="2" xfId="1" applyNumberFormat="1" applyFont="1" applyFill="1" applyBorder="1" applyAlignment="1">
      <alignment horizontal="center" vertical="center"/>
    </xf>
    <xf numFmtId="0" fontId="25" fillId="0" borderId="2" xfId="0" applyFont="1" applyBorder="1" applyAlignment="1">
      <alignment vertical="top" wrapText="1"/>
    </xf>
    <xf numFmtId="0" fontId="0" fillId="0" borderId="16" xfId="0" applyBorder="1"/>
    <xf numFmtId="0" fontId="0" fillId="0" borderId="2" xfId="0" applyBorder="1" applyAlignment="1">
      <alignment horizontal="left" vertical="center" wrapText="1"/>
    </xf>
    <xf numFmtId="167" fontId="0" fillId="0" borderId="2" xfId="1" applyNumberFormat="1" applyFont="1" applyBorder="1" applyAlignment="1">
      <alignment horizontal="center" vertical="center"/>
    </xf>
    <xf numFmtId="0" fontId="25" fillId="0" borderId="16" xfId="0" applyFont="1" applyBorder="1" applyAlignment="1">
      <alignment horizontal="left" vertical="top" wrapText="1"/>
    </xf>
    <xf numFmtId="4" fontId="0" fillId="0" borderId="2" xfId="0" applyNumberFormat="1" applyBorder="1" applyAlignment="1">
      <alignment horizontal="left" vertical="center" wrapText="1"/>
    </xf>
    <xf numFmtId="0" fontId="25" fillId="0" borderId="16" xfId="0" applyFont="1" applyBorder="1" applyAlignment="1">
      <alignment vertical="top" wrapText="1"/>
    </xf>
    <xf numFmtId="0" fontId="25" fillId="0" borderId="3" xfId="0" applyFont="1" applyBorder="1" applyAlignment="1">
      <alignment vertical="top" wrapText="1"/>
    </xf>
    <xf numFmtId="0" fontId="32" fillId="0" borderId="2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wrapText="1"/>
    </xf>
    <xf numFmtId="0" fontId="32" fillId="0" borderId="2" xfId="0" applyFont="1" applyBorder="1" applyAlignment="1">
      <alignment horizontal="center"/>
    </xf>
    <xf numFmtId="166" fontId="32" fillId="0" borderId="16" xfId="1" applyFont="1" applyFill="1" applyBorder="1" applyAlignment="1">
      <alignment horizontal="center"/>
    </xf>
    <xf numFmtId="0" fontId="0" fillId="4" borderId="0" xfId="0" applyFill="1"/>
    <xf numFmtId="4" fontId="0" fillId="0" borderId="2" xfId="0" applyNumberFormat="1" applyBorder="1" applyAlignment="1">
      <alignment wrapText="1"/>
    </xf>
    <xf numFmtId="166" fontId="0" fillId="0" borderId="2" xfId="1" applyFont="1" applyFill="1" applyBorder="1"/>
    <xf numFmtId="4" fontId="0" fillId="0" borderId="2" xfId="0" applyNumberFormat="1" applyBorder="1" applyAlignment="1">
      <alignment vertical="center" wrapText="1"/>
    </xf>
    <xf numFmtId="166" fontId="31" fillId="0" borderId="0" xfId="1" applyFont="1" applyFill="1"/>
    <xf numFmtId="166" fontId="25" fillId="0" borderId="0" xfId="1" applyFont="1" applyFill="1"/>
    <xf numFmtId="4" fontId="31" fillId="0" borderId="0" xfId="0" applyNumberFormat="1" applyFont="1"/>
    <xf numFmtId="166" fontId="36" fillId="0" borderId="0" xfId="1" applyFont="1" applyFill="1"/>
    <xf numFmtId="166" fontId="37" fillId="0" borderId="0" xfId="1" applyFont="1" applyFill="1"/>
    <xf numFmtId="0" fontId="0" fillId="0" borderId="0" xfId="0" applyAlignment="1">
      <alignment horizontal="center"/>
    </xf>
    <xf numFmtId="166" fontId="33" fillId="0" borderId="2" xfId="1" applyFont="1" applyBorder="1" applyAlignment="1">
      <alignment horizontal="center"/>
    </xf>
    <xf numFmtId="166" fontId="32" fillId="0" borderId="2" xfId="1" applyFont="1" applyBorder="1" applyAlignment="1">
      <alignment horizontal="center"/>
    </xf>
    <xf numFmtId="166" fontId="32" fillId="0" borderId="2" xfId="1" applyFont="1" applyBorder="1" applyAlignment="1">
      <alignment horizontal="center" vertical="center" wrapText="1"/>
    </xf>
    <xf numFmtId="166" fontId="38" fillId="0" borderId="0" xfId="1" applyFont="1"/>
    <xf numFmtId="166" fontId="31" fillId="0" borderId="2" xfId="1" applyFont="1" applyFill="1" applyBorder="1" applyAlignment="1">
      <alignment horizontal="center" vertical="center"/>
    </xf>
    <xf numFmtId="166" fontId="0" fillId="0" borderId="0" xfId="1" applyFont="1" applyFill="1" applyAlignment="1">
      <alignment horizontal="center" vertical="center"/>
    </xf>
    <xf numFmtId="4" fontId="0" fillId="0" borderId="2" xfId="0" applyNumberFormat="1" applyBorder="1"/>
    <xf numFmtId="0" fontId="31" fillId="0" borderId="0" xfId="0" applyFont="1" applyAlignment="1">
      <alignment horizontal="center"/>
    </xf>
    <xf numFmtId="0" fontId="0" fillId="0" borderId="3" xfId="0" applyBorder="1"/>
    <xf numFmtId="0" fontId="0" fillId="0" borderId="3" xfId="0" applyBorder="1" applyAlignment="1">
      <alignment wrapText="1"/>
    </xf>
    <xf numFmtId="166" fontId="0" fillId="0" borderId="2" xfId="1" applyFont="1" applyBorder="1" applyAlignment="1">
      <alignment wrapText="1"/>
    </xf>
    <xf numFmtId="166" fontId="0" fillId="0" borderId="3" xfId="1" applyFont="1" applyBorder="1"/>
    <xf numFmtId="166" fontId="25" fillId="0" borderId="21" xfId="1" applyFont="1" applyBorder="1"/>
    <xf numFmtId="0" fontId="0" fillId="0" borderId="3" xfId="0" applyBorder="1" applyAlignment="1">
      <alignment horizontal="center" vertical="center"/>
    </xf>
    <xf numFmtId="166" fontId="25" fillId="0" borderId="36" xfId="1" applyFont="1" applyBorder="1"/>
    <xf numFmtId="166" fontId="15" fillId="0" borderId="2" xfId="1" applyFont="1" applyFill="1" applyBorder="1" applyAlignment="1">
      <alignment horizontal="center" vertical="center" wrapText="1"/>
    </xf>
    <xf numFmtId="166" fontId="15" fillId="0" borderId="2" xfId="1" applyFont="1" applyFill="1" applyBorder="1" applyAlignment="1">
      <alignment horizontal="left" vertical="center" wrapText="1"/>
    </xf>
    <xf numFmtId="166" fontId="3" fillId="0" borderId="4" xfId="1" applyFont="1" applyFill="1" applyBorder="1" applyAlignment="1">
      <alignment horizontal="center" vertical="center"/>
    </xf>
    <xf numFmtId="166" fontId="3" fillId="0" borderId="7" xfId="1" applyFont="1" applyFill="1" applyBorder="1" applyAlignment="1">
      <alignment horizontal="center" vertical="center"/>
    </xf>
    <xf numFmtId="166" fontId="3" fillId="0" borderId="2" xfId="1" applyFont="1" applyFill="1" applyBorder="1" applyAlignment="1">
      <alignment horizontal="left" vertical="center"/>
    </xf>
    <xf numFmtId="166" fontId="3" fillId="0" borderId="4" xfId="1" applyFont="1" applyFill="1" applyBorder="1" applyAlignment="1">
      <alignment horizontal="left" vertical="center"/>
    </xf>
    <xf numFmtId="166" fontId="3" fillId="0" borderId="2" xfId="1" applyFont="1" applyFill="1" applyBorder="1" applyAlignment="1">
      <alignment horizontal="left" vertical="center" wrapText="1"/>
    </xf>
    <xf numFmtId="166" fontId="3" fillId="0" borderId="9" xfId="1" applyFont="1" applyFill="1" applyBorder="1" applyAlignment="1">
      <alignment horizontal="left" vertical="center" wrapText="1"/>
    </xf>
    <xf numFmtId="166" fontId="3" fillId="0" borderId="11" xfId="1" applyFont="1" applyFill="1" applyBorder="1" applyAlignment="1">
      <alignment horizontal="center" vertical="center"/>
    </xf>
    <xf numFmtId="166" fontId="3" fillId="0" borderId="9" xfId="1" applyFont="1" applyFill="1" applyBorder="1" applyAlignment="1">
      <alignment horizontal="left" vertical="center"/>
    </xf>
    <xf numFmtId="166" fontId="3" fillId="0" borderId="10" xfId="1" applyFont="1" applyFill="1" applyBorder="1" applyAlignment="1">
      <alignment horizontal="left" vertical="center"/>
    </xf>
    <xf numFmtId="166" fontId="3" fillId="0" borderId="38" xfId="1" applyFont="1" applyFill="1" applyBorder="1" applyAlignment="1">
      <alignment horizontal="left" vertical="center"/>
    </xf>
    <xf numFmtId="166" fontId="3" fillId="0" borderId="6" xfId="1" applyFont="1" applyFill="1" applyBorder="1" applyAlignment="1">
      <alignment horizontal="left" vertical="center"/>
    </xf>
    <xf numFmtId="0" fontId="0" fillId="0" borderId="1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166" fontId="0" fillId="0" borderId="0" xfId="0" applyNumberFormat="1"/>
    <xf numFmtId="166" fontId="3" fillId="0" borderId="9" xfId="1" applyFont="1" applyFill="1" applyBorder="1" applyAlignment="1">
      <alignment horizontal="center" vertical="center"/>
    </xf>
    <xf numFmtId="166" fontId="3" fillId="0" borderId="2" xfId="1" applyFont="1" applyFill="1" applyBorder="1" applyAlignment="1">
      <alignment horizontal="center" vertical="center"/>
    </xf>
    <xf numFmtId="166" fontId="3" fillId="0" borderId="41" xfId="1" applyFont="1" applyFill="1" applyBorder="1" applyAlignment="1">
      <alignment horizontal="left" vertical="center"/>
    </xf>
    <xf numFmtId="43" fontId="49" fillId="0" borderId="2" xfId="6" applyFont="1" applyFill="1" applyBorder="1" applyAlignment="1">
      <alignment horizontal="left" vertical="justify"/>
    </xf>
    <xf numFmtId="166" fontId="3" fillId="0" borderId="3" xfId="1" applyFont="1" applyFill="1" applyBorder="1" applyAlignment="1">
      <alignment horizontal="center" vertical="center"/>
    </xf>
    <xf numFmtId="168" fontId="49" fillId="0" borderId="47" xfId="6" applyNumberFormat="1" applyFont="1" applyFill="1" applyBorder="1" applyAlignment="1">
      <alignment horizontal="left" vertical="top"/>
    </xf>
    <xf numFmtId="168" fontId="49" fillId="0" borderId="47" xfId="7" applyNumberFormat="1" applyFont="1" applyFill="1" applyBorder="1" applyAlignment="1">
      <alignment horizontal="left" vertical="top"/>
    </xf>
    <xf numFmtId="4" fontId="17" fillId="0" borderId="2" xfId="0" applyNumberFormat="1" applyFont="1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43" fontId="3" fillId="0" borderId="0" xfId="2" applyFont="1" applyFill="1"/>
    <xf numFmtId="43" fontId="3" fillId="0" borderId="0" xfId="2" applyFont="1" applyFill="1" applyAlignment="1"/>
    <xf numFmtId="0" fontId="3" fillId="0" borderId="0" xfId="0" applyFont="1" applyAlignment="1">
      <alignment horizontal="left" vertical="center"/>
    </xf>
    <xf numFmtId="166" fontId="3" fillId="0" borderId="0" xfId="1" applyFont="1" applyFill="1" applyAlignment="1">
      <alignment vertical="center"/>
    </xf>
    <xf numFmtId="43" fontId="5" fillId="0" borderId="0" xfId="2" applyFont="1" applyFill="1" applyAlignment="1"/>
    <xf numFmtId="166" fontId="3" fillId="0" borderId="0" xfId="1" applyFont="1" applyFill="1" applyAlignment="1">
      <alignment vertical="top"/>
    </xf>
    <xf numFmtId="43" fontId="3" fillId="0" borderId="0" xfId="2" applyFont="1" applyFill="1" applyAlignment="1">
      <alignment vertical="top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2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wrapText="1"/>
    </xf>
    <xf numFmtId="0" fontId="3" fillId="0" borderId="4" xfId="0" applyFont="1" applyBorder="1" applyAlignment="1">
      <alignment horizontal="center"/>
    </xf>
    <xf numFmtId="4" fontId="3" fillId="0" borderId="2" xfId="0" applyNumberFormat="1" applyFont="1" applyBorder="1"/>
    <xf numFmtId="4" fontId="3" fillId="0" borderId="4" xfId="0" applyNumberFormat="1" applyFont="1" applyBorder="1"/>
    <xf numFmtId="0" fontId="3" fillId="0" borderId="2" xfId="0" applyFont="1" applyBorder="1"/>
    <xf numFmtId="0" fontId="3" fillId="0" borderId="0" xfId="0" applyFont="1" applyAlignment="1">
      <alignment horizontal="left"/>
    </xf>
    <xf numFmtId="43" fontId="6" fillId="0" borderId="0" xfId="2" applyFont="1" applyFill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2" fillId="0" borderId="2" xfId="0" applyFont="1" applyBorder="1"/>
    <xf numFmtId="0" fontId="7" fillId="0" borderId="0" xfId="0" applyFont="1"/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0" fontId="8" fillId="0" borderId="0" xfId="0" applyFont="1"/>
    <xf numFmtId="166" fontId="3" fillId="0" borderId="0" xfId="1" applyFont="1" applyFill="1"/>
    <xf numFmtId="43" fontId="3" fillId="0" borderId="0" xfId="0" applyNumberFormat="1" applyFont="1"/>
    <xf numFmtId="0" fontId="3" fillId="0" borderId="2" xfId="0" applyFont="1" applyBorder="1" applyAlignment="1">
      <alignment vertical="center"/>
    </xf>
    <xf numFmtId="166" fontId="3" fillId="0" borderId="2" xfId="1" applyFont="1" applyFill="1" applyBorder="1"/>
    <xf numFmtId="43" fontId="3" fillId="0" borderId="2" xfId="2" applyFont="1" applyFill="1" applyBorder="1"/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horizontal="left" wrapText="1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4" fontId="3" fillId="0" borderId="7" xfId="0" applyNumberFormat="1" applyFont="1" applyBorder="1"/>
    <xf numFmtId="0" fontId="3" fillId="0" borderId="2" xfId="0" applyFont="1" applyBorder="1" applyAlignment="1">
      <alignment horizontal="left" vertical="center" wrapText="1"/>
    </xf>
    <xf numFmtId="43" fontId="3" fillId="0" borderId="2" xfId="2" applyFont="1" applyFill="1" applyBorder="1" applyAlignment="1">
      <alignment horizontal="center"/>
    </xf>
    <xf numFmtId="0" fontId="3" fillId="0" borderId="2" xfId="3" applyFont="1" applyBorder="1" applyAlignment="1">
      <alignment horizontal="left" vertical="center" wrapText="1"/>
    </xf>
    <xf numFmtId="43" fontId="3" fillId="0" borderId="7" xfId="2" applyFont="1" applyFill="1" applyBorder="1"/>
    <xf numFmtId="0" fontId="12" fillId="0" borderId="2" xfId="0" applyFont="1" applyBorder="1"/>
    <xf numFmtId="0" fontId="3" fillId="0" borderId="4" xfId="0" applyFont="1" applyBorder="1"/>
    <xf numFmtId="0" fontId="3" fillId="0" borderId="7" xfId="0" applyFont="1" applyBorder="1" applyAlignment="1">
      <alignment horizontal="center"/>
    </xf>
    <xf numFmtId="43" fontId="3" fillId="0" borderId="7" xfId="2" applyFont="1" applyFill="1" applyBorder="1" applyAlignment="1">
      <alignment horizontal="center"/>
    </xf>
    <xf numFmtId="4" fontId="3" fillId="0" borderId="7" xfId="3" applyNumberFormat="1" applyFont="1" applyBorder="1" applyAlignment="1">
      <alignment horizontal="right" vertical="center" wrapText="1"/>
    </xf>
    <xf numFmtId="0" fontId="3" fillId="0" borderId="2" xfId="0" quotePrefix="1" applyFont="1" applyBorder="1" applyAlignment="1">
      <alignment wrapText="1"/>
    </xf>
    <xf numFmtId="0" fontId="3" fillId="0" borderId="7" xfId="0" applyFont="1" applyBorder="1"/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horizontal="center" wrapText="1"/>
    </xf>
    <xf numFmtId="4" fontId="3" fillId="0" borderId="7" xfId="0" applyNumberFormat="1" applyFont="1" applyBorder="1" applyAlignment="1">
      <alignment horizontal="right"/>
    </xf>
    <xf numFmtId="43" fontId="3" fillId="0" borderId="2" xfId="2" applyFont="1" applyFill="1" applyBorder="1" applyAlignment="1"/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/>
    <xf numFmtId="43" fontId="3" fillId="0" borderId="2" xfId="2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4" fontId="3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11" fillId="0" borderId="0" xfId="0" applyFont="1"/>
    <xf numFmtId="0" fontId="1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43" fontId="3" fillId="0" borderId="2" xfId="2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2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0" fillId="0" borderId="2" xfId="0" applyFont="1" applyBorder="1"/>
    <xf numFmtId="0" fontId="8" fillId="0" borderId="2" xfId="0" applyFont="1" applyBorder="1" applyAlignment="1">
      <alignment wrapText="1"/>
    </xf>
    <xf numFmtId="0" fontId="8" fillId="0" borderId="4" xfId="0" applyFont="1" applyBorder="1"/>
    <xf numFmtId="0" fontId="8" fillId="0" borderId="7" xfId="0" applyFont="1" applyBorder="1" applyAlignment="1">
      <alignment horizontal="center"/>
    </xf>
    <xf numFmtId="43" fontId="8" fillId="0" borderId="2" xfId="2" applyFont="1" applyFill="1" applyBorder="1" applyAlignment="1"/>
    <xf numFmtId="0" fontId="8" fillId="0" borderId="2" xfId="0" applyFont="1" applyBorder="1"/>
    <xf numFmtId="0" fontId="8" fillId="0" borderId="4" xfId="0" applyFont="1" applyBorder="1" applyAlignment="1">
      <alignment horizontal="center"/>
    </xf>
    <xf numFmtId="0" fontId="3" fillId="0" borderId="7" xfId="0" applyFont="1" applyBorder="1" applyAlignment="1">
      <alignment horizontal="left" vertical="center"/>
    </xf>
    <xf numFmtId="0" fontId="8" fillId="0" borderId="3" xfId="0" applyFont="1" applyBorder="1"/>
    <xf numFmtId="0" fontId="8" fillId="0" borderId="2" xfId="0" quotePrefix="1" applyFont="1" applyBorder="1"/>
    <xf numFmtId="0" fontId="8" fillId="0" borderId="2" xfId="0" applyFont="1" applyBorder="1" applyAlignment="1">
      <alignment horizontal="left" wrapText="1"/>
    </xf>
    <xf numFmtId="43" fontId="8" fillId="0" borderId="2" xfId="0" applyNumberFormat="1" applyFont="1" applyBorder="1"/>
    <xf numFmtId="43" fontId="8" fillId="0" borderId="2" xfId="2" applyFont="1" applyFill="1" applyBorder="1" applyAlignment="1">
      <alignment horizontal="center"/>
    </xf>
    <xf numFmtId="0" fontId="8" fillId="0" borderId="9" xfId="0" applyFont="1" applyBorder="1" applyAlignment="1">
      <alignment wrapText="1"/>
    </xf>
    <xf numFmtId="0" fontId="8" fillId="0" borderId="10" xfId="0" applyFont="1" applyBorder="1" applyAlignment="1">
      <alignment horizontal="center"/>
    </xf>
    <xf numFmtId="43" fontId="8" fillId="0" borderId="10" xfId="0" applyNumberFormat="1" applyFont="1" applyBorder="1"/>
    <xf numFmtId="0" fontId="10" fillId="0" borderId="2" xfId="0" applyFont="1" applyBorder="1" applyAlignment="1">
      <alignment wrapText="1"/>
    </xf>
    <xf numFmtId="0" fontId="3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3" fillId="0" borderId="4" xfId="0" applyFont="1" applyBorder="1" applyAlignment="1">
      <alignment vertic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43" fontId="6" fillId="0" borderId="0" xfId="2" applyFont="1" applyFill="1"/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166" fontId="6" fillId="0" borderId="0" xfId="1" applyFont="1" applyFill="1"/>
    <xf numFmtId="0" fontId="6" fillId="0" borderId="0" xfId="0" applyFont="1" applyAlignment="1">
      <alignment horizontal="left" vertical="center"/>
    </xf>
    <xf numFmtId="43" fontId="6" fillId="0" borderId="0" xfId="2" applyFont="1" applyFill="1" applyAlignment="1">
      <alignment vertical="top"/>
    </xf>
    <xf numFmtId="0" fontId="6" fillId="0" borderId="0" xfId="0" applyFont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43" fontId="6" fillId="0" borderId="2" xfId="2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2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43" fontId="6" fillId="0" borderId="2" xfId="2" applyFont="1" applyFill="1" applyBorder="1" applyAlignment="1">
      <alignment horizontal="center" vertical="center"/>
    </xf>
    <xf numFmtId="43" fontId="6" fillId="0" borderId="2" xfId="2" applyFont="1" applyFill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wrapText="1"/>
    </xf>
    <xf numFmtId="0" fontId="6" fillId="0" borderId="4" xfId="0" applyFont="1" applyBorder="1"/>
    <xf numFmtId="43" fontId="6" fillId="0" borderId="2" xfId="2" applyFont="1" applyFill="1" applyBorder="1" applyAlignment="1"/>
    <xf numFmtId="0" fontId="6" fillId="0" borderId="4" xfId="0" applyFont="1" applyBorder="1" applyAlignment="1">
      <alignment vertical="center"/>
    </xf>
    <xf numFmtId="4" fontId="6" fillId="0" borderId="2" xfId="0" applyNumberFormat="1" applyFont="1" applyBorder="1"/>
    <xf numFmtId="0" fontId="3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39" fillId="0" borderId="2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/>
    </xf>
    <xf numFmtId="0" fontId="39" fillId="0" borderId="2" xfId="0" applyFont="1" applyBorder="1"/>
    <xf numFmtId="0" fontId="6" fillId="0" borderId="7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7" fillId="0" borderId="2" xfId="0" applyFont="1" applyBorder="1" applyAlignment="1">
      <alignment wrapText="1"/>
    </xf>
    <xf numFmtId="0" fontId="40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40" fillId="0" borderId="2" xfId="0" quotePrefix="1" applyFont="1" applyBorder="1" applyAlignment="1">
      <alignment wrapText="1"/>
    </xf>
    <xf numFmtId="0" fontId="6" fillId="0" borderId="2" xfId="0" quotePrefix="1" applyFont="1" applyBorder="1"/>
    <xf numFmtId="4" fontId="6" fillId="0" borderId="2" xfId="0" applyNumberFormat="1" applyFont="1" applyBorder="1" applyAlignment="1">
      <alignment horizontal="right" vertical="center"/>
    </xf>
    <xf numFmtId="43" fontId="6" fillId="0" borderId="2" xfId="0" applyNumberFormat="1" applyFont="1" applyBorder="1" applyAlignment="1">
      <alignment horizontal="right" vertical="center"/>
    </xf>
    <xf numFmtId="0" fontId="40" fillId="0" borderId="2" xfId="0" quotePrefix="1" applyFont="1" applyBorder="1"/>
    <xf numFmtId="0" fontId="40" fillId="0" borderId="2" xfId="0" applyFont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quotePrefix="1" applyFont="1" applyBorder="1" applyAlignment="1">
      <alignment wrapText="1"/>
    </xf>
    <xf numFmtId="0" fontId="3" fillId="0" borderId="2" xfId="0" quotePrefix="1" applyFont="1" applyBorder="1"/>
    <xf numFmtId="0" fontId="3" fillId="0" borderId="9" xfId="0" applyFont="1" applyBorder="1" applyAlignment="1">
      <alignment wrapText="1"/>
    </xf>
    <xf numFmtId="0" fontId="3" fillId="0" borderId="11" xfId="0" applyFont="1" applyBorder="1" applyAlignment="1">
      <alignment horizontal="center"/>
    </xf>
    <xf numFmtId="166" fontId="3" fillId="0" borderId="9" xfId="1" applyFont="1" applyFill="1" applyBorder="1"/>
    <xf numFmtId="43" fontId="3" fillId="0" borderId="10" xfId="0" applyNumberFormat="1" applyFont="1" applyBorder="1"/>
    <xf numFmtId="43" fontId="3" fillId="0" borderId="2" xfId="0" applyNumberFormat="1" applyFont="1" applyBorder="1"/>
    <xf numFmtId="0" fontId="2" fillId="0" borderId="2" xfId="0" applyFont="1" applyBorder="1" applyAlignment="1">
      <alignment wrapText="1"/>
    </xf>
    <xf numFmtId="43" fontId="3" fillId="0" borderId="2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/>
    </xf>
    <xf numFmtId="0" fontId="23" fillId="0" borderId="0" xfId="0" applyFont="1"/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 vertical="top" wrapText="1"/>
    </xf>
    <xf numFmtId="0" fontId="41" fillId="0" borderId="0" xfId="0" applyFont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12" fillId="0" borderId="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5" fillId="0" borderId="3" xfId="0" quotePrefix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left" vertical="center"/>
    </xf>
    <xf numFmtId="0" fontId="13" fillId="0" borderId="8" xfId="0" applyFont="1" applyBorder="1" applyAlignment="1">
      <alignment horizontal="center"/>
    </xf>
    <xf numFmtId="43" fontId="3" fillId="0" borderId="3" xfId="2" applyFont="1" applyFill="1" applyBorder="1" applyAlignment="1">
      <alignment horizontal="center"/>
    </xf>
    <xf numFmtId="0" fontId="3" fillId="0" borderId="8" xfId="0" applyFont="1" applyBorder="1" applyAlignment="1">
      <alignment horizontal="left" wrapText="1"/>
    </xf>
    <xf numFmtId="0" fontId="3" fillId="0" borderId="8" xfId="0" applyFont="1" applyBorder="1" applyAlignment="1">
      <alignment horizontal="center"/>
    </xf>
    <xf numFmtId="43" fontId="3" fillId="0" borderId="2" xfId="2" applyFont="1" applyFill="1" applyBorder="1" applyAlignment="1">
      <alignment wrapText="1"/>
    </xf>
    <xf numFmtId="2" fontId="3" fillId="0" borderId="4" xfId="0" applyNumberFormat="1" applyFont="1" applyBorder="1" applyAlignment="1">
      <alignment horizontal="right"/>
    </xf>
    <xf numFmtId="0" fontId="3" fillId="0" borderId="7" xfId="0" applyFont="1" applyBorder="1" applyAlignment="1">
      <alignment horizontal="left"/>
    </xf>
    <xf numFmtId="43" fontId="2" fillId="0" borderId="2" xfId="0" applyNumberFormat="1" applyFont="1" applyBorder="1"/>
    <xf numFmtId="166" fontId="8" fillId="0" borderId="0" xfId="1" applyFont="1" applyFill="1" applyAlignment="1">
      <alignment vertical="center"/>
    </xf>
    <xf numFmtId="43" fontId="3" fillId="0" borderId="4" xfId="2" applyFont="1" applyFill="1" applyBorder="1" applyAlignment="1">
      <alignment horizontal="center"/>
    </xf>
    <xf numFmtId="0" fontId="2" fillId="0" borderId="9" xfId="0" applyFont="1" applyBorder="1" applyAlignment="1">
      <alignment wrapText="1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43" fontId="2" fillId="0" borderId="9" xfId="0" applyNumberFormat="1" applyFont="1" applyBorder="1"/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3" fontId="2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wrapText="1"/>
    </xf>
    <xf numFmtId="4" fontId="3" fillId="0" borderId="2" xfId="0" applyNumberFormat="1" applyFont="1" applyBorder="1" applyAlignment="1">
      <alignment wrapText="1"/>
    </xf>
    <xf numFmtId="0" fontId="3" fillId="0" borderId="9" xfId="0" applyFont="1" applyBorder="1" applyAlignment="1">
      <alignment horizontal="left" wrapText="1"/>
    </xf>
    <xf numFmtId="4" fontId="3" fillId="0" borderId="9" xfId="0" applyNumberFormat="1" applyFont="1" applyBorder="1"/>
    <xf numFmtId="43" fontId="3" fillId="0" borderId="4" xfId="2" applyFont="1" applyFill="1" applyBorder="1" applyAlignme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166" fontId="2" fillId="0" borderId="0" xfId="1" applyFont="1" applyFill="1"/>
    <xf numFmtId="0" fontId="14" fillId="0" borderId="4" xfId="0" applyFont="1" applyBorder="1"/>
    <xf numFmtId="0" fontId="2" fillId="0" borderId="4" xfId="0" applyFont="1" applyBorder="1"/>
    <xf numFmtId="0" fontId="2" fillId="0" borderId="0" xfId="0" applyFont="1" applyAlignment="1">
      <alignment horizontal="left" vertical="center"/>
    </xf>
    <xf numFmtId="0" fontId="15" fillId="0" borderId="2" xfId="0" applyFont="1" applyBorder="1" applyAlignment="1">
      <alignment wrapText="1"/>
    </xf>
    <xf numFmtId="0" fontId="15" fillId="0" borderId="2" xfId="0" applyFont="1" applyBorder="1" applyAlignment="1">
      <alignment horizontal="left" wrapText="1"/>
    </xf>
    <xf numFmtId="166" fontId="3" fillId="0" borderId="2" xfId="1" applyFont="1" applyFill="1" applyBorder="1" applyAlignment="1">
      <alignment horizontal="right"/>
    </xf>
    <xf numFmtId="4" fontId="3" fillId="0" borderId="2" xfId="0" applyNumberFormat="1" applyFont="1" applyBorder="1" applyAlignment="1">
      <alignment horizontal="right"/>
    </xf>
    <xf numFmtId="4" fontId="3" fillId="0" borderId="2" xfId="3" applyNumberFormat="1" applyFont="1" applyBorder="1" applyAlignment="1">
      <alignment horizontal="right" vertical="center" wrapText="1"/>
    </xf>
    <xf numFmtId="4" fontId="3" fillId="0" borderId="2" xfId="2" applyNumberFormat="1" applyFont="1" applyFill="1" applyBorder="1"/>
    <xf numFmtId="166" fontId="3" fillId="0" borderId="2" xfId="1" applyFont="1" applyFill="1" applyBorder="1" applyAlignment="1">
      <alignment wrapText="1"/>
    </xf>
    <xf numFmtId="0" fontId="12" fillId="0" borderId="0" xfId="0" applyFont="1"/>
    <xf numFmtId="166" fontId="3" fillId="0" borderId="0" xfId="1" applyFont="1" applyFill="1" applyAlignment="1">
      <alignment horizontal="left"/>
    </xf>
    <xf numFmtId="166" fontId="3" fillId="0" borderId="2" xfId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43" fontId="3" fillId="0" borderId="4" xfId="0" applyNumberFormat="1" applyFont="1" applyBorder="1"/>
    <xf numFmtId="0" fontId="3" fillId="0" borderId="10" xfId="0" applyFont="1" applyBorder="1"/>
    <xf numFmtId="0" fontId="3" fillId="0" borderId="11" xfId="0" applyFont="1" applyBorder="1" applyAlignment="1">
      <alignment horizontal="left"/>
    </xf>
    <xf numFmtId="43" fontId="15" fillId="0" borderId="2" xfId="0" applyNumberFormat="1" applyFont="1" applyBorder="1"/>
    <xf numFmtId="0" fontId="3" fillId="0" borderId="4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12" fillId="0" borderId="0" xfId="0" applyFont="1" applyAlignment="1">
      <alignment wrapText="1"/>
    </xf>
    <xf numFmtId="166" fontId="3" fillId="0" borderId="0" xfId="10" applyFont="1" applyFill="1"/>
    <xf numFmtId="166" fontId="3" fillId="0" borderId="0" xfId="10" applyFont="1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6" fontId="2" fillId="0" borderId="2" xfId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wrapText="1"/>
    </xf>
    <xf numFmtId="166" fontId="2" fillId="0" borderId="2" xfId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2" fillId="0" borderId="7" xfId="0" applyFont="1" applyBorder="1"/>
    <xf numFmtId="166" fontId="2" fillId="0" borderId="0" xfId="1" applyFont="1" applyFill="1" applyAlignment="1">
      <alignment horizontal="left"/>
    </xf>
    <xf numFmtId="0" fontId="12" fillId="0" borderId="2" xfId="0" applyFont="1" applyBorder="1" applyAlignment="1">
      <alignment horizontal="center" vertical="center" wrapText="1"/>
    </xf>
    <xf numFmtId="166" fontId="12" fillId="0" borderId="2" xfId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2" xfId="1" applyNumberFormat="1" applyFont="1" applyFill="1" applyBorder="1" applyAlignment="1">
      <alignment horizontal="center" vertical="center"/>
    </xf>
    <xf numFmtId="0" fontId="12" fillId="0" borderId="4" xfId="0" applyFont="1" applyBorder="1"/>
    <xf numFmtId="0" fontId="12" fillId="0" borderId="7" xfId="0" applyFont="1" applyBorder="1" applyAlignment="1">
      <alignment horizontal="left"/>
    </xf>
    <xf numFmtId="166" fontId="12" fillId="0" borderId="2" xfId="1" applyFont="1" applyFill="1" applyBorder="1"/>
    <xf numFmtId="43" fontId="12" fillId="0" borderId="2" xfId="0" applyNumberFormat="1" applyFont="1" applyBorder="1"/>
    <xf numFmtId="0" fontId="12" fillId="0" borderId="4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14" fontId="3" fillId="0" borderId="0" xfId="1" applyNumberFormat="1" applyFont="1" applyFill="1"/>
    <xf numFmtId="0" fontId="2" fillId="0" borderId="2" xfId="1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43" fontId="2" fillId="0" borderId="2" xfId="0" applyNumberFormat="1" applyFont="1" applyBorder="1" applyAlignment="1">
      <alignment wrapText="1"/>
    </xf>
    <xf numFmtId="4" fontId="3" fillId="0" borderId="9" xfId="0" applyNumberFormat="1" applyFont="1" applyBorder="1" applyAlignment="1">
      <alignment wrapText="1"/>
    </xf>
    <xf numFmtId="43" fontId="3" fillId="0" borderId="2" xfId="0" applyNumberFormat="1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12" fillId="0" borderId="0" xfId="0" applyFont="1" applyAlignment="1">
      <alignment vertical="top"/>
    </xf>
    <xf numFmtId="0" fontId="12" fillId="0" borderId="0" xfId="0" applyFont="1" applyAlignment="1">
      <alignment vertical="top" wrapText="1"/>
    </xf>
    <xf numFmtId="0" fontId="12" fillId="0" borderId="7" xfId="0" applyFont="1" applyBorder="1"/>
    <xf numFmtId="165" fontId="12" fillId="0" borderId="2" xfId="0" applyNumberFormat="1" applyFont="1" applyBorder="1"/>
    <xf numFmtId="0" fontId="2" fillId="0" borderId="0" xfId="0" applyFont="1" applyAlignment="1">
      <alignment horizontal="left" vertical="top" wrapText="1"/>
    </xf>
    <xf numFmtId="43" fontId="3" fillId="0" borderId="0" xfId="12" applyFont="1" applyFill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7" xfId="0" applyFont="1" applyBorder="1" applyAlignment="1">
      <alignment wrapText="1"/>
    </xf>
    <xf numFmtId="0" fontId="2" fillId="0" borderId="3" xfId="0" applyFont="1" applyBorder="1"/>
    <xf numFmtId="0" fontId="12" fillId="0" borderId="4" xfId="0" applyFont="1" applyBorder="1" applyAlignment="1">
      <alignment wrapText="1"/>
    </xf>
    <xf numFmtId="0" fontId="12" fillId="0" borderId="7" xfId="0" applyFont="1" applyBorder="1" applyAlignment="1">
      <alignment wrapText="1"/>
    </xf>
    <xf numFmtId="166" fontId="12" fillId="0" borderId="2" xfId="1" applyFont="1" applyFill="1" applyBorder="1" applyAlignment="1">
      <alignment wrapText="1"/>
    </xf>
    <xf numFmtId="0" fontId="12" fillId="0" borderId="2" xfId="0" applyFont="1" applyBorder="1" applyAlignment="1">
      <alignment horizontal="left" vertical="center" wrapText="1"/>
    </xf>
    <xf numFmtId="43" fontId="12" fillId="0" borderId="4" xfId="0" applyNumberFormat="1" applyFont="1" applyBorder="1"/>
    <xf numFmtId="0" fontId="12" fillId="0" borderId="11" xfId="0" applyFont="1" applyBorder="1" applyAlignment="1">
      <alignment wrapText="1"/>
    </xf>
    <xf numFmtId="0" fontId="12" fillId="0" borderId="10" xfId="0" applyFont="1" applyBorder="1"/>
    <xf numFmtId="0" fontId="12" fillId="0" borderId="11" xfId="0" applyFont="1" applyBorder="1" applyAlignment="1">
      <alignment horizontal="left"/>
    </xf>
    <xf numFmtId="166" fontId="12" fillId="0" borderId="9" xfId="1" applyFont="1" applyFill="1" applyBorder="1"/>
    <xf numFmtId="43" fontId="12" fillId="0" borderId="10" xfId="0" applyNumberFormat="1" applyFont="1" applyBorder="1"/>
    <xf numFmtId="0" fontId="23" fillId="0" borderId="2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166" fontId="3" fillId="0" borderId="0" xfId="17" applyFont="1" applyFill="1"/>
    <xf numFmtId="0" fontId="2" fillId="0" borderId="0" xfId="0" applyFont="1" applyAlignment="1">
      <alignment vertical="top" wrapText="1"/>
    </xf>
    <xf numFmtId="166" fontId="3" fillId="0" borderId="0" xfId="17" applyFont="1" applyFill="1" applyAlignment="1">
      <alignment vertical="center"/>
    </xf>
    <xf numFmtId="14" fontId="2" fillId="0" borderId="0" xfId="0" applyNumberFormat="1" applyFont="1"/>
    <xf numFmtId="0" fontId="15" fillId="0" borderId="2" xfId="0" applyFont="1" applyBorder="1" applyAlignment="1">
      <alignment vertical="center" wrapText="1"/>
    </xf>
    <xf numFmtId="166" fontId="3" fillId="0" borderId="4" xfId="17" applyFont="1" applyFill="1" applyBorder="1"/>
    <xf numFmtId="0" fontId="3" fillId="0" borderId="2" xfId="0" applyFont="1" applyBorder="1" applyAlignment="1">
      <alignment vertical="center" wrapText="1"/>
    </xf>
    <xf numFmtId="0" fontId="15" fillId="0" borderId="2" xfId="0" applyFont="1" applyBorder="1" applyAlignment="1">
      <alignment vertical="center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wrapText="1"/>
    </xf>
    <xf numFmtId="166" fontId="3" fillId="0" borderId="7" xfId="17" applyFont="1" applyFill="1" applyBorder="1"/>
    <xf numFmtId="0" fontId="15" fillId="0" borderId="4" xfId="0" applyFont="1" applyBorder="1" applyAlignment="1">
      <alignment horizont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7" xfId="0" applyFont="1" applyBorder="1" applyAlignment="1">
      <alignment wrapText="1"/>
    </xf>
    <xf numFmtId="43" fontId="22" fillId="0" borderId="2" xfId="0" applyNumberFormat="1" applyFont="1" applyBorder="1" applyAlignment="1">
      <alignment wrapText="1"/>
    </xf>
    <xf numFmtId="0" fontId="3" fillId="0" borderId="11" xfId="0" applyFont="1" applyBorder="1"/>
    <xf numFmtId="43" fontId="3" fillId="0" borderId="2" xfId="12" applyFont="1" applyFill="1" applyBorder="1" applyAlignment="1">
      <alignment horizontal="center" vertical="center" wrapText="1"/>
    </xf>
    <xf numFmtId="0" fontId="3" fillId="0" borderId="2" xfId="12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5" fillId="0" borderId="2" xfId="0" applyFont="1" applyBorder="1"/>
    <xf numFmtId="0" fontId="15" fillId="0" borderId="3" xfId="0" applyFont="1" applyBorder="1"/>
    <xf numFmtId="0" fontId="12" fillId="0" borderId="3" xfId="0" applyFont="1" applyBorder="1"/>
    <xf numFmtId="0" fontId="15" fillId="0" borderId="4" xfId="0" applyFont="1" applyBorder="1"/>
    <xf numFmtId="0" fontId="15" fillId="0" borderId="7" xfId="0" applyFont="1" applyBorder="1"/>
    <xf numFmtId="166" fontId="15" fillId="0" borderId="4" xfId="1" applyFont="1" applyFill="1" applyBorder="1"/>
    <xf numFmtId="166" fontId="12" fillId="0" borderId="0" xfId="1" applyFont="1" applyFill="1"/>
    <xf numFmtId="166" fontId="12" fillId="0" borderId="2" xfId="1" applyFont="1" applyFill="1" applyBorder="1" applyAlignment="1">
      <alignment horizontal="center"/>
    </xf>
    <xf numFmtId="43" fontId="3" fillId="0" borderId="0" xfId="2" applyFont="1" applyFill="1" applyAlignment="1">
      <alignment vertical="center"/>
    </xf>
    <xf numFmtId="43" fontId="2" fillId="0" borderId="0" xfId="2" applyFont="1" applyFill="1"/>
    <xf numFmtId="43" fontId="2" fillId="0" borderId="2" xfId="2" applyFont="1" applyFill="1" applyBorder="1" applyAlignment="1">
      <alignment horizontal="center" vertical="center" wrapText="1"/>
    </xf>
    <xf numFmtId="0" fontId="7" fillId="0" borderId="15" xfId="0" applyFont="1" applyBorder="1"/>
    <xf numFmtId="0" fontId="7" fillId="0" borderId="7" xfId="0" applyFont="1" applyBorder="1"/>
    <xf numFmtId="0" fontId="7" fillId="0" borderId="2" xfId="0" applyFont="1" applyBorder="1"/>
    <xf numFmtId="0" fontId="12" fillId="0" borderId="2" xfId="0" applyFont="1" applyBorder="1" applyAlignment="1">
      <alignment horizontal="left"/>
    </xf>
    <xf numFmtId="0" fontId="22" fillId="0" borderId="2" xfId="0" applyFont="1" applyBorder="1" applyAlignment="1">
      <alignment wrapText="1"/>
    </xf>
    <xf numFmtId="0" fontId="12" fillId="0" borderId="9" xfId="0" applyFont="1" applyBorder="1" applyAlignment="1">
      <alignment wrapText="1"/>
    </xf>
    <xf numFmtId="0" fontId="12" fillId="0" borderId="11" xfId="0" applyFont="1" applyBorder="1" applyAlignment="1">
      <alignment horizontal="center"/>
    </xf>
    <xf numFmtId="0" fontId="22" fillId="0" borderId="13" xfId="0" applyFont="1" applyBorder="1" applyAlignment="1">
      <alignment horizontal="center" wrapText="1"/>
    </xf>
    <xf numFmtId="0" fontId="12" fillId="0" borderId="43" xfId="0" applyFont="1" applyBorder="1" applyAlignment="1">
      <alignment wrapText="1"/>
    </xf>
    <xf numFmtId="0" fontId="12" fillId="0" borderId="37" xfId="0" applyFont="1" applyBorder="1" applyAlignment="1">
      <alignment wrapText="1"/>
    </xf>
    <xf numFmtId="0" fontId="12" fillId="0" borderId="35" xfId="0" applyFont="1" applyBorder="1" applyAlignment="1">
      <alignment wrapText="1"/>
    </xf>
    <xf numFmtId="43" fontId="12" fillId="0" borderId="14" xfId="0" applyNumberFormat="1" applyFont="1" applyBorder="1" applyAlignment="1">
      <alignment wrapText="1"/>
    </xf>
    <xf numFmtId="166" fontId="7" fillId="0" borderId="2" xfId="1" applyFont="1" applyFill="1" applyBorder="1"/>
    <xf numFmtId="0" fontId="2" fillId="0" borderId="0" xfId="0" applyFont="1" applyAlignment="1">
      <alignment horizontal="center" wrapText="1"/>
    </xf>
    <xf numFmtId="0" fontId="12" fillId="0" borderId="15" xfId="0" applyFont="1" applyBorder="1"/>
    <xf numFmtId="43" fontId="23" fillId="0" borderId="2" xfId="0" applyNumberFormat="1" applyFont="1" applyBorder="1"/>
    <xf numFmtId="43" fontId="15" fillId="0" borderId="0" xfId="2" applyFont="1" applyFill="1"/>
    <xf numFmtId="43" fontId="15" fillId="0" borderId="0" xfId="2" applyFont="1" applyFill="1" applyAlignment="1">
      <alignment vertical="center"/>
    </xf>
    <xf numFmtId="0" fontId="23" fillId="0" borderId="0" xfId="0" applyFont="1" applyAlignment="1">
      <alignment vertical="top" wrapText="1"/>
    </xf>
    <xf numFmtId="166" fontId="23" fillId="0" borderId="0" xfId="10" applyFont="1" applyFill="1"/>
    <xf numFmtId="0" fontId="2" fillId="0" borderId="4" xfId="0" applyFont="1" applyBorder="1" applyAlignment="1">
      <alignment horizontal="right" vertical="center"/>
    </xf>
    <xf numFmtId="0" fontId="2" fillId="0" borderId="2" xfId="1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3" fontId="2" fillId="0" borderId="2" xfId="0" applyNumberFormat="1" applyFont="1" applyBorder="1" applyAlignment="1">
      <alignment vertical="center"/>
    </xf>
    <xf numFmtId="0" fontId="15" fillId="0" borderId="3" xfId="0" applyFont="1" applyBorder="1" applyAlignment="1">
      <alignment wrapText="1"/>
    </xf>
    <xf numFmtId="43" fontId="23" fillId="0" borderId="2" xfId="0" applyNumberFormat="1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166" fontId="3" fillId="0" borderId="3" xfId="1" applyFont="1" applyFill="1" applyBorder="1" applyAlignment="1">
      <alignment horizontal="left" vertical="center"/>
    </xf>
    <xf numFmtId="166" fontId="3" fillId="0" borderId="0" xfId="1" applyFont="1" applyFill="1" applyBorder="1" applyAlignment="1">
      <alignment horizontal="left" vertical="center"/>
    </xf>
    <xf numFmtId="166" fontId="15" fillId="0" borderId="0" xfId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166" fontId="3" fillId="0" borderId="16" xfId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166" fontId="3" fillId="0" borderId="0" xfId="1" applyFont="1" applyFill="1" applyAlignment="1">
      <alignment horizontal="right" vertical="center"/>
    </xf>
    <xf numFmtId="43" fontId="3" fillId="0" borderId="0" xfId="2" applyFont="1" applyFill="1" applyAlignment="1">
      <alignment horizontal="left" vertical="center"/>
    </xf>
    <xf numFmtId="0" fontId="23" fillId="0" borderId="2" xfId="0" applyFont="1" applyBorder="1" applyAlignment="1">
      <alignment horizontal="left" vertical="center" wrapText="1"/>
    </xf>
    <xf numFmtId="0" fontId="2" fillId="0" borderId="2" xfId="1" applyNumberFormat="1" applyFont="1" applyFill="1" applyBorder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2" xfId="1" applyNumberFormat="1" applyFont="1" applyFill="1" applyBorder="1" applyAlignment="1">
      <alignment vertical="center"/>
    </xf>
    <xf numFmtId="0" fontId="3" fillId="0" borderId="4" xfId="0" quotePrefix="1" applyFont="1" applyBorder="1" applyAlignment="1">
      <alignment vertical="center" wrapText="1"/>
    </xf>
    <xf numFmtId="166" fontId="3" fillId="0" borderId="7" xfId="1" applyFont="1" applyFill="1" applyBorder="1" applyAlignment="1">
      <alignment horizontal="right" vertical="center"/>
    </xf>
    <xf numFmtId="166" fontId="3" fillId="0" borderId="2" xfId="1" applyFont="1" applyFill="1" applyBorder="1" applyAlignment="1">
      <alignment horizontal="right" vertical="center"/>
    </xf>
    <xf numFmtId="0" fontId="23" fillId="0" borderId="0" xfId="0" applyFont="1" applyAlignment="1">
      <alignment vertical="center" wrapText="1"/>
    </xf>
    <xf numFmtId="166" fontId="3" fillId="0" borderId="8" xfId="1" applyFont="1" applyFill="1" applyBorder="1" applyAlignment="1">
      <alignment horizontal="right" vertical="center"/>
    </xf>
    <xf numFmtId="0" fontId="15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166" fontId="12" fillId="0" borderId="7" xfId="1" applyFont="1" applyFill="1" applyBorder="1" applyAlignment="1">
      <alignment horizontal="right" vertical="center"/>
    </xf>
    <xf numFmtId="43" fontId="3" fillId="0" borderId="7" xfId="2" applyFont="1" applyFill="1" applyBorder="1" applyAlignment="1">
      <alignment horizontal="right" vertical="center"/>
    </xf>
    <xf numFmtId="0" fontId="3" fillId="0" borderId="2" xfId="0" quotePrefix="1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43" fontId="3" fillId="0" borderId="2" xfId="2" applyFont="1" applyFill="1" applyBorder="1" applyAlignment="1">
      <alignment horizontal="right" vertical="center"/>
    </xf>
    <xf numFmtId="166" fontId="3" fillId="0" borderId="3" xfId="1" applyFont="1" applyFill="1" applyBorder="1"/>
    <xf numFmtId="0" fontId="23" fillId="0" borderId="2" xfId="0" applyFont="1" applyBorder="1" applyAlignment="1">
      <alignment vertical="center" wrapText="1"/>
    </xf>
    <xf numFmtId="0" fontId="48" fillId="0" borderId="3" xfId="0" applyFont="1" applyBorder="1" applyAlignment="1">
      <alignment horizontal="left" vertical="center" wrapText="1"/>
    </xf>
    <xf numFmtId="0" fontId="48" fillId="0" borderId="4" xfId="0" applyFon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166" fontId="48" fillId="0" borderId="2" xfId="1" applyFont="1" applyFill="1" applyBorder="1"/>
    <xf numFmtId="166" fontId="12" fillId="0" borderId="2" xfId="1" applyFont="1" applyFill="1" applyBorder="1" applyAlignment="1"/>
    <xf numFmtId="0" fontId="15" fillId="0" borderId="5" xfId="0" applyFont="1" applyBorder="1" applyAlignment="1">
      <alignment vertical="center" wrapText="1"/>
    </xf>
    <xf numFmtId="0" fontId="3" fillId="0" borderId="2" xfId="0" quotePrefix="1" applyFont="1" applyBorder="1" applyAlignment="1">
      <alignment horizontal="left" vertical="center" wrapText="1"/>
    </xf>
    <xf numFmtId="0" fontId="12" fillId="0" borderId="2" xfId="0" quotePrefix="1" applyFont="1" applyBorder="1" applyAlignment="1">
      <alignment horizontal="left" vertical="center" wrapText="1"/>
    </xf>
    <xf numFmtId="0" fontId="15" fillId="0" borderId="2" xfId="0" quotePrefix="1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3" fillId="0" borderId="4" xfId="0" quotePrefix="1" applyFont="1" applyBorder="1" applyAlignment="1">
      <alignment wrapText="1"/>
    </xf>
    <xf numFmtId="0" fontId="3" fillId="0" borderId="5" xfId="0" applyFont="1" applyBorder="1" applyAlignment="1">
      <alignment horizontal="center"/>
    </xf>
    <xf numFmtId="166" fontId="3" fillId="0" borderId="7" xfId="1" applyFont="1" applyFill="1" applyBorder="1"/>
    <xf numFmtId="0" fontId="6" fillId="0" borderId="0" xfId="0" applyFont="1" applyAlignment="1">
      <alignment horizontal="left"/>
    </xf>
    <xf numFmtId="0" fontId="7" fillId="0" borderId="0" xfId="0" applyFont="1" applyAlignment="1">
      <alignment wrapText="1"/>
    </xf>
    <xf numFmtId="43" fontId="6" fillId="0" borderId="0" xfId="2" applyFont="1" applyFill="1" applyAlignment="1">
      <alignment vertical="center"/>
    </xf>
    <xf numFmtId="0" fontId="6" fillId="0" borderId="0" xfId="0" applyFont="1" applyAlignment="1">
      <alignment horizontal="left" vertical="top"/>
    </xf>
    <xf numFmtId="166" fontId="6" fillId="0" borderId="0" xfId="1" applyFont="1" applyFill="1" applyAlignment="1">
      <alignment horizontal="left"/>
    </xf>
    <xf numFmtId="0" fontId="39" fillId="0" borderId="2" xfId="0" applyFont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wrapText="1"/>
    </xf>
    <xf numFmtId="0" fontId="39" fillId="0" borderId="2" xfId="0" applyFont="1" applyBorder="1" applyAlignment="1">
      <alignment horizontal="left" vertical="center"/>
    </xf>
    <xf numFmtId="0" fontId="40" fillId="0" borderId="2" xfId="0" applyFont="1" applyBorder="1" applyAlignment="1">
      <alignment horizontal="left" vertical="center" wrapText="1"/>
    </xf>
    <xf numFmtId="0" fontId="40" fillId="0" borderId="2" xfId="0" applyFont="1" applyBorder="1" applyAlignment="1">
      <alignment vertical="center" wrapText="1"/>
    </xf>
    <xf numFmtId="166" fontId="6" fillId="0" borderId="2" xfId="1" applyFont="1" applyFill="1" applyBorder="1"/>
    <xf numFmtId="166" fontId="6" fillId="0" borderId="2" xfId="1" applyFont="1" applyFill="1" applyBorder="1" applyAlignment="1">
      <alignment horizontal="right" vertical="center"/>
    </xf>
    <xf numFmtId="0" fontId="40" fillId="0" borderId="2" xfId="0" quotePrefix="1" applyFont="1" applyBorder="1" applyAlignment="1">
      <alignment horizontal="left" vertical="center" wrapText="1"/>
    </xf>
    <xf numFmtId="0" fontId="6" fillId="0" borderId="4" xfId="0" quotePrefix="1" applyFont="1" applyBorder="1" applyAlignment="1">
      <alignment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43" fontId="39" fillId="0" borderId="2" xfId="2" applyFont="1" applyFill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2" xfId="1" applyNumberFormat="1" applyFont="1" applyFill="1" applyBorder="1" applyAlignment="1">
      <alignment horizontal="center" vertical="center"/>
    </xf>
    <xf numFmtId="43" fontId="39" fillId="0" borderId="4" xfId="0" applyNumberFormat="1" applyFont="1" applyBorder="1"/>
    <xf numFmtId="43" fontId="6" fillId="0" borderId="4" xfId="0" applyNumberFormat="1" applyFont="1" applyBorder="1"/>
    <xf numFmtId="0" fontId="39" fillId="0" borderId="4" xfId="0" applyFont="1" applyBorder="1"/>
    <xf numFmtId="43" fontId="39" fillId="0" borderId="2" xfId="0" applyNumberFormat="1" applyFont="1" applyBorder="1"/>
    <xf numFmtId="43" fontId="3" fillId="0" borderId="0" xfId="2" applyFont="1" applyFill="1" applyAlignment="1">
      <alignment horizontal="left"/>
    </xf>
    <xf numFmtId="43" fontId="3" fillId="0" borderId="4" xfId="2" applyFont="1" applyFill="1" applyBorder="1"/>
    <xf numFmtId="43" fontId="3" fillId="0" borderId="9" xfId="2" applyFont="1" applyFill="1" applyBorder="1"/>
    <xf numFmtId="0" fontId="10" fillId="0" borderId="0" xfId="0" applyFont="1" applyAlignment="1">
      <alignment horizontal="left" vertical="center" wrapText="1"/>
    </xf>
    <xf numFmtId="43" fontId="15" fillId="0" borderId="2" xfId="2" applyFont="1" applyFill="1" applyBorder="1" applyAlignment="1">
      <alignment horizontal="center" vertical="center" wrapText="1"/>
    </xf>
    <xf numFmtId="0" fontId="16" fillId="0" borderId="2" xfId="0" applyFont="1" applyBorder="1" applyAlignment="1">
      <alignment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4" fontId="12" fillId="0" borderId="2" xfId="0" applyNumberFormat="1" applyFont="1" applyBorder="1" applyAlignment="1">
      <alignment vertical="center" wrapText="1"/>
    </xf>
    <xf numFmtId="4" fontId="12" fillId="0" borderId="2" xfId="0" applyNumberFormat="1" applyFont="1" applyBorder="1" applyAlignment="1">
      <alignment horizontal="right" vertical="center" wrapText="1"/>
    </xf>
    <xf numFmtId="0" fontId="16" fillId="0" borderId="2" xfId="0" applyFont="1" applyBorder="1" applyAlignment="1">
      <alignment horizontal="left" vertical="center"/>
    </xf>
    <xf numFmtId="0" fontId="29" fillId="0" borderId="2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4" fontId="16" fillId="0" borderId="2" xfId="0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10" fillId="0" borderId="0" xfId="0" applyFont="1"/>
    <xf numFmtId="166" fontId="8" fillId="0" borderId="0" xfId="1" applyFont="1" applyFill="1"/>
    <xf numFmtId="0" fontId="10" fillId="0" borderId="0" xfId="0" applyFont="1" applyAlignment="1">
      <alignment wrapText="1"/>
    </xf>
    <xf numFmtId="0" fontId="8" fillId="0" borderId="0" xfId="0" applyFont="1" applyAlignment="1">
      <alignment vertical="center"/>
    </xf>
    <xf numFmtId="0" fontId="39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28" fillId="0" borderId="2" xfId="0" applyFont="1" applyBorder="1" applyAlignment="1">
      <alignment vertical="center" wrapText="1"/>
    </xf>
    <xf numFmtId="0" fontId="6" fillId="0" borderId="4" xfId="0" applyFont="1" applyBorder="1" applyAlignment="1">
      <alignment wrapText="1"/>
    </xf>
    <xf numFmtId="0" fontId="6" fillId="0" borderId="7" xfId="0" applyFont="1" applyBorder="1" applyAlignment="1">
      <alignment horizontal="left" wrapText="1"/>
    </xf>
    <xf numFmtId="166" fontId="6" fillId="0" borderId="2" xfId="1" applyFont="1" applyFill="1" applyBorder="1" applyAlignment="1">
      <alignment wrapText="1"/>
    </xf>
    <xf numFmtId="43" fontId="6" fillId="0" borderId="4" xfId="0" applyNumberFormat="1" applyFont="1" applyBorder="1" applyAlignment="1">
      <alignment wrapText="1"/>
    </xf>
    <xf numFmtId="0" fontId="6" fillId="0" borderId="2" xfId="0" applyFont="1" applyBorder="1" applyAlignment="1">
      <alignment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6" fillId="0" borderId="2" xfId="1" applyFont="1" applyFill="1" applyBorder="1" applyAlignment="1">
      <alignment horizontal="right" vertical="center" wrapText="1"/>
    </xf>
    <xf numFmtId="0" fontId="28" fillId="0" borderId="2" xfId="0" applyFont="1" applyBorder="1" applyAlignment="1">
      <alignment vertical="center"/>
    </xf>
    <xf numFmtId="166" fontId="6" fillId="0" borderId="7" xfId="1" applyFont="1" applyFill="1" applyBorder="1" applyAlignment="1">
      <alignment horizontal="right" vertical="center" wrapText="1"/>
    </xf>
    <xf numFmtId="0" fontId="6" fillId="0" borderId="2" xfId="0" quotePrefix="1" applyFont="1" applyBorder="1" applyAlignment="1">
      <alignment wrapText="1"/>
    </xf>
    <xf numFmtId="43" fontId="6" fillId="0" borderId="7" xfId="2" applyFont="1" applyFill="1" applyBorder="1" applyAlignment="1">
      <alignment horizontal="right" vertical="center" wrapText="1"/>
    </xf>
    <xf numFmtId="43" fontId="6" fillId="0" borderId="2" xfId="0" applyNumberFormat="1" applyFont="1" applyBorder="1"/>
    <xf numFmtId="43" fontId="40" fillId="0" borderId="2" xfId="0" applyNumberFormat="1" applyFont="1" applyBorder="1" applyAlignment="1">
      <alignment vertical="center"/>
    </xf>
    <xf numFmtId="0" fontId="15" fillId="0" borderId="2" xfId="0" applyFont="1" applyBorder="1" applyAlignment="1">
      <alignment vertical="top" wrapText="1"/>
    </xf>
    <xf numFmtId="43" fontId="3" fillId="0" borderId="4" xfId="0" applyNumberFormat="1" applyFont="1" applyBorder="1" applyAlignment="1">
      <alignment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3" fillId="0" borderId="9" xfId="0" applyFont="1" applyBorder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wrapText="1"/>
    </xf>
    <xf numFmtId="0" fontId="46" fillId="0" borderId="0" xfId="0" applyFont="1" applyAlignment="1">
      <alignment wrapText="1"/>
    </xf>
    <xf numFmtId="0" fontId="15" fillId="0" borderId="0" xfId="0" applyFont="1"/>
    <xf numFmtId="0" fontId="22" fillId="0" borderId="2" xfId="0" applyFont="1" applyBorder="1" applyAlignment="1">
      <alignment horizontal="center" vertical="center" wrapText="1"/>
    </xf>
    <xf numFmtId="0" fontId="47" fillId="0" borderId="2" xfId="0" applyFont="1" applyBorder="1" applyAlignment="1">
      <alignment horizontal="center" wrapText="1"/>
    </xf>
    <xf numFmtId="0" fontId="15" fillId="0" borderId="2" xfId="0" quotePrefix="1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right" vertical="center"/>
    </xf>
    <xf numFmtId="43" fontId="3" fillId="0" borderId="2" xfId="0" applyNumberFormat="1" applyFont="1" applyBorder="1" applyAlignment="1">
      <alignment horizontal="right" vertical="center"/>
    </xf>
    <xf numFmtId="0" fontId="3" fillId="0" borderId="2" xfId="0" quotePrefix="1" applyFont="1" applyBorder="1" applyAlignment="1">
      <alignment horizontal="left" vertical="top" wrapText="1"/>
    </xf>
    <xf numFmtId="4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top" wrapText="1"/>
    </xf>
    <xf numFmtId="4" fontId="3" fillId="0" borderId="2" xfId="0" applyNumberFormat="1" applyFont="1" applyBorder="1" applyAlignment="1">
      <alignment horizontal="right" vertical="center" wrapText="1"/>
    </xf>
    <xf numFmtId="0" fontId="47" fillId="0" borderId="2" xfId="0" applyFont="1" applyBorder="1" applyAlignment="1">
      <alignment wrapText="1"/>
    </xf>
    <xf numFmtId="43" fontId="22" fillId="0" borderId="2" xfId="0" applyNumberFormat="1" applyFont="1" applyBorder="1"/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0" fontId="39" fillId="0" borderId="0" xfId="0" applyFont="1" applyAlignment="1">
      <alignment vertical="center"/>
    </xf>
    <xf numFmtId="0" fontId="39" fillId="0" borderId="0" xfId="0" applyFont="1" applyAlignment="1">
      <alignment vertical="center" wrapText="1"/>
    </xf>
    <xf numFmtId="43" fontId="6" fillId="0" borderId="0" xfId="2" applyFont="1" applyFill="1" applyAlignment="1">
      <alignment vertical="center" wrapText="1"/>
    </xf>
    <xf numFmtId="0" fontId="10" fillId="0" borderId="2" xfId="0" applyFont="1" applyBorder="1" applyAlignment="1">
      <alignment horizontal="left" vertical="center"/>
    </xf>
    <xf numFmtId="0" fontId="24" fillId="0" borderId="2" xfId="0" quotePrefix="1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166" fontId="8" fillId="0" borderId="2" xfId="1" applyFont="1" applyFill="1" applyBorder="1" applyAlignment="1">
      <alignment horizontal="center" vertical="center"/>
    </xf>
    <xf numFmtId="43" fontId="8" fillId="0" borderId="2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left"/>
    </xf>
    <xf numFmtId="0" fontId="8" fillId="0" borderId="2" xfId="0" quotePrefix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right" vertical="center"/>
    </xf>
    <xf numFmtId="0" fontId="10" fillId="0" borderId="3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/>
    </xf>
    <xf numFmtId="166" fontId="8" fillId="0" borderId="2" xfId="1" applyFont="1" applyFill="1" applyBorder="1" applyAlignment="1">
      <alignment horizontal="right"/>
    </xf>
    <xf numFmtId="0" fontId="8" fillId="0" borderId="3" xfId="0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right" vertical="center" wrapText="1"/>
    </xf>
    <xf numFmtId="0" fontId="24" fillId="0" borderId="2" xfId="0" quotePrefix="1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/>
    </xf>
    <xf numFmtId="0" fontId="44" fillId="0" borderId="2" xfId="0" applyFont="1" applyBorder="1" applyAlignment="1">
      <alignment horizontal="left" vertical="center"/>
    </xf>
    <xf numFmtId="0" fontId="44" fillId="0" borderId="3" xfId="0" applyFont="1" applyBorder="1" applyAlignment="1">
      <alignment horizontal="left" vertical="center"/>
    </xf>
    <xf numFmtId="0" fontId="24" fillId="0" borderId="2" xfId="0" applyFont="1" applyBorder="1" applyAlignment="1">
      <alignment vertical="center" wrapText="1"/>
    </xf>
    <xf numFmtId="4" fontId="8" fillId="0" borderId="2" xfId="0" applyNumberFormat="1" applyFont="1" applyBorder="1"/>
    <xf numFmtId="0" fontId="8" fillId="0" borderId="2" xfId="0" quotePrefix="1" applyFont="1" applyBorder="1" applyAlignment="1">
      <alignment wrapText="1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43" fontId="26" fillId="0" borderId="2" xfId="0" applyNumberFormat="1" applyFont="1" applyBorder="1" applyAlignment="1">
      <alignment vertical="center"/>
    </xf>
    <xf numFmtId="0" fontId="21" fillId="0" borderId="2" xfId="0" applyFont="1" applyBorder="1" applyAlignment="1">
      <alignment vertical="center" wrapText="1"/>
    </xf>
    <xf numFmtId="0" fontId="26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2" fillId="0" borderId="2" xfId="0" applyFont="1" applyBorder="1" applyAlignment="1">
      <alignment horizontal="left"/>
    </xf>
    <xf numFmtId="0" fontId="3" fillId="0" borderId="4" xfId="0" quotePrefix="1" applyFont="1" applyBorder="1"/>
    <xf numFmtId="43" fontId="24" fillId="0" borderId="2" xfId="0" applyNumberFormat="1" applyFont="1" applyBorder="1" applyAlignment="1">
      <alignment vertical="center"/>
    </xf>
    <xf numFmtId="0" fontId="26" fillId="0" borderId="0" xfId="0" applyFont="1" applyAlignment="1">
      <alignment vertical="center"/>
    </xf>
    <xf numFmtId="166" fontId="24" fillId="0" borderId="0" xfId="1" applyFont="1" applyFill="1" applyAlignment="1">
      <alignment vertical="center"/>
    </xf>
    <xf numFmtId="0" fontId="26" fillId="0" borderId="0" xfId="0" applyFont="1" applyAlignment="1">
      <alignment vertical="center" wrapText="1"/>
    </xf>
    <xf numFmtId="0" fontId="24" fillId="0" borderId="0" xfId="0" applyFont="1"/>
    <xf numFmtId="0" fontId="22" fillId="0" borderId="2" xfId="0" applyFont="1" applyBorder="1" applyAlignment="1">
      <alignment horizontal="center" vertical="center"/>
    </xf>
    <xf numFmtId="43" fontId="3" fillId="0" borderId="2" xfId="2" applyFont="1" applyFill="1" applyBorder="1" applyAlignment="1">
      <alignment vertical="center"/>
    </xf>
    <xf numFmtId="0" fontId="3" fillId="0" borderId="8" xfId="0" applyFont="1" applyBorder="1"/>
    <xf numFmtId="43" fontId="3" fillId="0" borderId="3" xfId="2" applyFont="1" applyFill="1" applyBorder="1"/>
    <xf numFmtId="0" fontId="42" fillId="0" borderId="0" xfId="0" applyFont="1" applyAlignment="1">
      <alignment horizontal="center"/>
    </xf>
    <xf numFmtId="166" fontId="6" fillId="0" borderId="0" xfId="1" applyFont="1" applyFill="1" applyAlignment="1">
      <alignment vertical="center"/>
    </xf>
    <xf numFmtId="0" fontId="39" fillId="0" borderId="0" xfId="0" applyFont="1" applyAlignment="1">
      <alignment vertical="top" wrapText="1"/>
    </xf>
    <xf numFmtId="0" fontId="27" fillId="0" borderId="0" xfId="0" applyFont="1" applyAlignment="1">
      <alignment wrapText="1"/>
    </xf>
    <xf numFmtId="0" fontId="40" fillId="0" borderId="2" xfId="0" applyFont="1" applyBorder="1" applyAlignment="1">
      <alignment horizontal="center" vertical="center" wrapText="1"/>
    </xf>
    <xf numFmtId="43" fontId="40" fillId="0" borderId="2" xfId="2" applyFont="1" applyFill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43" fontId="6" fillId="0" borderId="2" xfId="2" applyFont="1" applyFill="1" applyBorder="1" applyAlignment="1">
      <alignment vertical="center"/>
    </xf>
    <xf numFmtId="43" fontId="3" fillId="0" borderId="3" xfId="2" applyFont="1" applyFill="1" applyBorder="1" applyAlignment="1">
      <alignment vertical="center"/>
    </xf>
    <xf numFmtId="43" fontId="42" fillId="0" borderId="2" xfId="0" applyNumberFormat="1" applyFont="1" applyBorder="1"/>
    <xf numFmtId="43" fontId="3" fillId="0" borderId="0" xfId="2" applyFont="1" applyFill="1" applyAlignment="1">
      <alignment wrapText="1"/>
    </xf>
    <xf numFmtId="0" fontId="2" fillId="0" borderId="0" xfId="0" applyFont="1" applyAlignment="1">
      <alignment vertical="top"/>
    </xf>
    <xf numFmtId="1" fontId="3" fillId="0" borderId="4" xfId="0" applyNumberFormat="1" applyFont="1" applyBorder="1" applyAlignment="1">
      <alignment horizontal="center" vertical="center"/>
    </xf>
    <xf numFmtId="43" fontId="3" fillId="0" borderId="2" xfId="0" applyNumberFormat="1" applyFont="1" applyBorder="1" applyAlignment="1">
      <alignment vertical="center"/>
    </xf>
    <xf numFmtId="43" fontId="23" fillId="0" borderId="2" xfId="0" applyNumberFormat="1" applyFont="1" applyBorder="1" applyAlignment="1">
      <alignment horizontal="right" vertical="center"/>
    </xf>
    <xf numFmtId="0" fontId="39" fillId="0" borderId="0" xfId="0" applyFont="1" applyAlignment="1">
      <alignment horizontal="center" vertical="center"/>
    </xf>
    <xf numFmtId="0" fontId="39" fillId="0" borderId="0" xfId="0" applyFont="1" applyAlignment="1">
      <alignment horizontal="left"/>
    </xf>
    <xf numFmtId="0" fontId="39" fillId="0" borderId="0" xfId="0" applyFont="1" applyAlignment="1">
      <alignment horizontal="left" wrapText="1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wrapText="1"/>
    </xf>
    <xf numFmtId="166" fontId="40" fillId="0" borderId="2" xfId="1" applyFont="1" applyFill="1" applyBorder="1" applyAlignment="1">
      <alignment horizontal="center" vertical="center" wrapText="1"/>
    </xf>
    <xf numFmtId="166" fontId="6" fillId="0" borderId="2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166" fontId="6" fillId="0" borderId="7" xfId="1" applyFont="1" applyFill="1" applyBorder="1" applyAlignment="1">
      <alignment horizontal="center" vertical="center"/>
    </xf>
    <xf numFmtId="166" fontId="6" fillId="0" borderId="2" xfId="1" applyFont="1" applyFill="1" applyBorder="1" applyAlignment="1">
      <alignment horizontal="left" vertical="center"/>
    </xf>
    <xf numFmtId="166" fontId="6" fillId="0" borderId="4" xfId="1" applyFont="1" applyFill="1" applyBorder="1" applyAlignment="1">
      <alignment horizontal="left" vertical="center"/>
    </xf>
    <xf numFmtId="0" fontId="40" fillId="0" borderId="2" xfId="0" quotePrefix="1" applyFont="1" applyBorder="1" applyAlignment="1">
      <alignment horizontal="center" vertical="center" wrapText="1"/>
    </xf>
    <xf numFmtId="0" fontId="42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 wrapText="1"/>
    </xf>
    <xf numFmtId="4" fontId="6" fillId="0" borderId="2" xfId="0" applyNumberFormat="1" applyFont="1" applyBorder="1" applyAlignment="1">
      <alignment wrapText="1"/>
    </xf>
    <xf numFmtId="0" fontId="6" fillId="0" borderId="2" xfId="0" applyFont="1" applyBorder="1" applyAlignment="1">
      <alignment horizontal="left"/>
    </xf>
    <xf numFmtId="166" fontId="6" fillId="0" borderId="4" xfId="1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4" fontId="6" fillId="0" borderId="7" xfId="0" applyNumberFormat="1" applyFont="1" applyBorder="1"/>
    <xf numFmtId="4" fontId="40" fillId="0" borderId="2" xfId="0" applyNumberFormat="1" applyFont="1" applyBorder="1" applyAlignment="1">
      <alignment vertical="center"/>
    </xf>
    <xf numFmtId="167" fontId="3" fillId="0" borderId="4" xfId="2" applyNumberFormat="1" applyFont="1" applyFill="1" applyBorder="1" applyAlignment="1">
      <alignment horizontal="center"/>
    </xf>
    <xf numFmtId="0" fontId="47" fillId="0" borderId="2" xfId="0" applyFont="1" applyBorder="1"/>
    <xf numFmtId="0" fontId="22" fillId="0" borderId="2" xfId="0" applyFont="1" applyBorder="1" applyAlignment="1">
      <alignment horizontal="center" vertical="top" wrapText="1"/>
    </xf>
    <xf numFmtId="0" fontId="3" fillId="0" borderId="2" xfId="0" quotePrefix="1" applyFont="1" applyBorder="1" applyAlignment="1">
      <alignment horizontal="left" vertical="center"/>
    </xf>
    <xf numFmtId="0" fontId="25" fillId="0" borderId="0" xfId="0" applyFont="1" applyAlignment="1">
      <alignment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0" fontId="3" fillId="0" borderId="6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/>
    <xf numFmtId="166" fontId="3" fillId="0" borderId="2" xfId="1" applyFont="1" applyFill="1" applyBorder="1" applyAlignment="1">
      <alignment horizontal="center"/>
    </xf>
    <xf numFmtId="166" fontId="3" fillId="0" borderId="0" xfId="1" applyFont="1" applyFill="1" applyAlignment="1">
      <alignment wrapText="1"/>
    </xf>
    <xf numFmtId="43" fontId="2" fillId="0" borderId="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166" fontId="10" fillId="0" borderId="0" xfId="1" applyFont="1" applyFill="1"/>
    <xf numFmtId="0" fontId="15" fillId="0" borderId="9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wrapText="1"/>
    </xf>
    <xf numFmtId="43" fontId="2" fillId="0" borderId="2" xfId="2" applyFont="1" applyFill="1" applyBorder="1"/>
    <xf numFmtId="43" fontId="2" fillId="0" borderId="4" xfId="0" applyNumberFormat="1" applyFont="1" applyBorder="1"/>
    <xf numFmtId="43" fontId="2" fillId="0" borderId="4" xfId="0" applyNumberFormat="1" applyFont="1" applyBorder="1" applyAlignment="1">
      <alignment vertical="center"/>
    </xf>
    <xf numFmtId="43" fontId="2" fillId="0" borderId="4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21" fillId="0" borderId="2" xfId="0" applyFont="1" applyBorder="1"/>
    <xf numFmtId="0" fontId="17" fillId="0" borderId="2" xfId="0" applyFont="1" applyBorder="1"/>
    <xf numFmtId="0" fontId="18" fillId="0" borderId="0" xfId="0" applyFont="1" applyAlignment="1">
      <alignment horizontal="center"/>
    </xf>
    <xf numFmtId="0" fontId="17" fillId="0" borderId="0" xfId="0" applyFont="1"/>
    <xf numFmtId="0" fontId="17" fillId="0" borderId="0" xfId="0" applyFont="1" applyAlignment="1">
      <alignment wrapText="1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vertical="top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8" fillId="0" borderId="2" xfId="0" applyFont="1" applyBorder="1" applyAlignment="1">
      <alignment horizontal="center" vertical="center" wrapText="1"/>
    </xf>
    <xf numFmtId="166" fontId="18" fillId="0" borderId="2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2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3" fillId="0" borderId="2" xfId="0" applyFont="1" applyBorder="1" applyAlignment="1">
      <alignment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5" fillId="0" borderId="2" xfId="0" applyFont="1" applyBorder="1"/>
    <xf numFmtId="0" fontId="43" fillId="0" borderId="2" xfId="0" applyFont="1" applyBorder="1" applyAlignment="1">
      <alignment wrapText="1"/>
    </xf>
    <xf numFmtId="0" fontId="18" fillId="0" borderId="4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/>
    </xf>
    <xf numFmtId="0" fontId="18" fillId="0" borderId="2" xfId="0" applyFont="1" applyBorder="1"/>
    <xf numFmtId="0" fontId="5" fillId="0" borderId="4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4" fontId="5" fillId="0" borderId="2" xfId="0" applyNumberFormat="1" applyFont="1" applyBorder="1"/>
    <xf numFmtId="166" fontId="18" fillId="0" borderId="2" xfId="1" applyFont="1" applyFill="1" applyBorder="1"/>
    <xf numFmtId="43" fontId="5" fillId="0" borderId="4" xfId="0" applyNumberFormat="1" applyFont="1" applyBorder="1"/>
    <xf numFmtId="0" fontId="18" fillId="0" borderId="7" xfId="0" applyFont="1" applyBorder="1"/>
    <xf numFmtId="0" fontId="33" fillId="0" borderId="2" xfId="0" applyFont="1" applyBorder="1" applyAlignment="1">
      <alignment vertical="center"/>
    </xf>
    <xf numFmtId="4" fontId="17" fillId="0" borderId="2" xfId="0" applyNumberFormat="1" applyFont="1" applyBorder="1" applyAlignment="1">
      <alignment horizontal="right" vertical="center"/>
    </xf>
    <xf numFmtId="166" fontId="5" fillId="0" borderId="2" xfId="1" applyFont="1" applyFill="1" applyBorder="1"/>
    <xf numFmtId="0" fontId="17" fillId="0" borderId="4" xfId="0" applyFont="1" applyBorder="1" applyAlignment="1">
      <alignment vertical="center"/>
    </xf>
    <xf numFmtId="0" fontId="33" fillId="0" borderId="4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4" fontId="33" fillId="0" borderId="4" xfId="0" applyNumberFormat="1" applyFont="1" applyBorder="1" applyAlignment="1">
      <alignment horizontal="right" vertical="center"/>
    </xf>
    <xf numFmtId="0" fontId="33" fillId="0" borderId="0" xfId="0" applyFont="1" applyAlignment="1">
      <alignment vertical="center"/>
    </xf>
    <xf numFmtId="4" fontId="33" fillId="0" borderId="0" xfId="0" applyNumberFormat="1" applyFont="1" applyAlignment="1">
      <alignment horizontal="right" vertical="center"/>
    </xf>
    <xf numFmtId="0" fontId="6" fillId="0" borderId="9" xfId="0" applyFont="1" applyBorder="1" applyAlignment="1">
      <alignment wrapText="1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4" fontId="6" fillId="0" borderId="9" xfId="0" applyNumberFormat="1" applyFont="1" applyBorder="1"/>
    <xf numFmtId="43" fontId="39" fillId="0" borderId="10" xfId="0" applyNumberFormat="1" applyFont="1" applyBorder="1"/>
    <xf numFmtId="0" fontId="39" fillId="0" borderId="9" xfId="0" applyFont="1" applyBorder="1" applyAlignment="1">
      <alignment wrapText="1"/>
    </xf>
    <xf numFmtId="0" fontId="39" fillId="0" borderId="10" xfId="0" applyFont="1" applyBorder="1" applyAlignment="1">
      <alignment horizontal="center"/>
    </xf>
    <xf numFmtId="0" fontId="39" fillId="0" borderId="11" xfId="0" applyFont="1" applyBorder="1" applyAlignment="1">
      <alignment horizontal="center"/>
    </xf>
    <xf numFmtId="166" fontId="39" fillId="0" borderId="9" xfId="1" applyFont="1" applyFill="1" applyBorder="1"/>
    <xf numFmtId="0" fontId="39" fillId="0" borderId="2" xfId="0" applyFont="1" applyBorder="1" applyAlignment="1">
      <alignment wrapText="1"/>
    </xf>
    <xf numFmtId="0" fontId="3" fillId="0" borderId="0" xfId="0" applyFont="1" applyAlignment="1">
      <alignment horizontal="center" wrapText="1"/>
    </xf>
    <xf numFmtId="0" fontId="39" fillId="0" borderId="0" xfId="0" applyFont="1" applyAlignment="1">
      <alignment vertical="top"/>
    </xf>
    <xf numFmtId="166" fontId="39" fillId="0" borderId="0" xfId="1" applyFont="1" applyFill="1"/>
    <xf numFmtId="0" fontId="6" fillId="0" borderId="2" xfId="0" applyFont="1" applyBorder="1" applyAlignment="1">
      <alignment horizontal="center" vertical="top" wrapText="1"/>
    </xf>
    <xf numFmtId="166" fontId="6" fillId="0" borderId="2" xfId="1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39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2" xfId="1" applyNumberFormat="1" applyFont="1" applyFill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2" xfId="0" applyFont="1" applyBorder="1" applyAlignment="1">
      <alignment vertical="top"/>
    </xf>
    <xf numFmtId="0" fontId="40" fillId="0" borderId="2" xfId="0" applyFont="1" applyBorder="1" applyAlignment="1">
      <alignment vertical="top" wrapText="1"/>
    </xf>
    <xf numFmtId="0" fontId="6" fillId="0" borderId="7" xfId="0" applyFont="1" applyBorder="1" applyAlignment="1">
      <alignment horizontal="center" vertical="top"/>
    </xf>
    <xf numFmtId="4" fontId="6" fillId="0" borderId="2" xfId="0" applyNumberFormat="1" applyFont="1" applyBorder="1" applyAlignment="1">
      <alignment vertical="top"/>
    </xf>
    <xf numFmtId="43" fontId="6" fillId="0" borderId="4" xfId="0" applyNumberFormat="1" applyFont="1" applyBorder="1" applyAlignment="1">
      <alignment vertical="top"/>
    </xf>
    <xf numFmtId="0" fontId="6" fillId="0" borderId="2" xfId="0" applyFont="1" applyBorder="1" applyAlignment="1">
      <alignment horizontal="left" vertical="top"/>
    </xf>
    <xf numFmtId="0" fontId="6" fillId="0" borderId="2" xfId="0" applyFont="1" applyBorder="1" applyAlignment="1">
      <alignment vertical="top" wrapText="1"/>
    </xf>
    <xf numFmtId="166" fontId="6" fillId="0" borderId="2" xfId="1" applyFont="1" applyFill="1" applyBorder="1" applyAlignment="1">
      <alignment vertical="top"/>
    </xf>
    <xf numFmtId="3" fontId="6" fillId="0" borderId="2" xfId="0" applyNumberFormat="1" applyFont="1" applyBorder="1" applyAlignment="1">
      <alignment horizontal="center" vertical="top"/>
    </xf>
    <xf numFmtId="43" fontId="6" fillId="0" borderId="2" xfId="0" applyNumberFormat="1" applyFont="1" applyBorder="1" applyAlignment="1">
      <alignment vertical="top"/>
    </xf>
    <xf numFmtId="4" fontId="6" fillId="0" borderId="2" xfId="0" applyNumberFormat="1" applyFont="1" applyBorder="1" applyAlignment="1">
      <alignment horizontal="center" vertical="top"/>
    </xf>
    <xf numFmtId="167" fontId="6" fillId="0" borderId="2" xfId="1" applyNumberFormat="1" applyFont="1" applyFill="1" applyBorder="1" applyAlignment="1">
      <alignment horizontal="center" vertical="top"/>
    </xf>
    <xf numFmtId="0" fontId="6" fillId="0" borderId="4" xfId="0" applyFont="1" applyBorder="1" applyAlignment="1">
      <alignment vertical="top"/>
    </xf>
    <xf numFmtId="0" fontId="39" fillId="0" borderId="2" xfId="0" applyFont="1" applyBorder="1" applyAlignment="1">
      <alignment vertical="top"/>
    </xf>
    <xf numFmtId="43" fontId="3" fillId="0" borderId="0" xfId="2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29" fillId="0" borderId="4" xfId="0" applyFont="1" applyBorder="1" applyAlignment="1">
      <alignment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9" fillId="0" borderId="4" xfId="0" applyFont="1" applyBorder="1" applyAlignment="1">
      <alignment vertical="center"/>
    </xf>
    <xf numFmtId="0" fontId="11" fillId="0" borderId="7" xfId="0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0" fontId="16" fillId="0" borderId="4" xfId="0" applyFont="1" applyBorder="1" applyAlignment="1">
      <alignment vertical="center"/>
    </xf>
    <xf numFmtId="0" fontId="16" fillId="0" borderId="6" xfId="0" applyFont="1" applyBorder="1" applyAlignment="1">
      <alignment horizontal="center" vertical="center"/>
    </xf>
    <xf numFmtId="4" fontId="16" fillId="0" borderId="7" xfId="0" applyNumberFormat="1" applyFont="1" applyBorder="1" applyAlignment="1">
      <alignment horizontal="right" vertical="center"/>
    </xf>
    <xf numFmtId="0" fontId="16" fillId="0" borderId="15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2" xfId="0" applyFont="1" applyBorder="1" applyAlignment="1">
      <alignment vertical="center"/>
    </xf>
    <xf numFmtId="0" fontId="0" fillId="0" borderId="4" xfId="0" applyBorder="1"/>
    <xf numFmtId="0" fontId="0" fillId="0" borderId="7" xfId="0" applyBorder="1"/>
    <xf numFmtId="4" fontId="45" fillId="0" borderId="2" xfId="0" applyNumberFormat="1" applyFont="1" applyBorder="1"/>
    <xf numFmtId="0" fontId="8" fillId="0" borderId="0" xfId="0" applyFont="1" applyAlignment="1">
      <alignment horizontal="left" vertical="center" wrapText="1"/>
    </xf>
    <xf numFmtId="164" fontId="0" fillId="0" borderId="3" xfId="18" applyFont="1" applyBorder="1" applyAlignment="1">
      <alignment wrapText="1"/>
    </xf>
    <xf numFmtId="0" fontId="0" fillId="2" borderId="0" xfId="0" applyFill="1"/>
    <xf numFmtId="0" fontId="25" fillId="2" borderId="0" xfId="0" applyFont="1" applyFill="1" applyAlignment="1">
      <alignment wrapText="1"/>
    </xf>
    <xf numFmtId="0" fontId="0" fillId="4" borderId="2" xfId="0" applyFill="1" applyBorder="1"/>
    <xf numFmtId="166" fontId="3" fillId="0" borderId="3" xfId="1" applyFont="1" applyBorder="1" applyAlignment="1">
      <alignment horizontal="center" vertical="center"/>
    </xf>
    <xf numFmtId="166" fontId="31" fillId="0" borderId="0" xfId="1" applyFont="1" applyFill="1" applyAlignment="1">
      <alignment vertical="center"/>
    </xf>
    <xf numFmtId="0" fontId="31" fillId="0" borderId="2" xfId="0" applyFont="1" applyBorder="1" applyAlignment="1">
      <alignment wrapText="1"/>
    </xf>
    <xf numFmtId="9" fontId="17" fillId="0" borderId="2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2" fillId="0" borderId="5" xfId="0" applyFont="1" applyBorder="1" applyAlignment="1">
      <alignment horizontal="center"/>
    </xf>
    <xf numFmtId="0" fontId="23" fillId="0" borderId="4" xfId="0" applyFont="1" applyBorder="1" applyAlignment="1">
      <alignment horizontal="center" vertical="center"/>
    </xf>
    <xf numFmtId="43" fontId="50" fillId="0" borderId="49" xfId="6" applyFont="1" applyBorder="1" applyAlignment="1">
      <alignment horizontal="left" vertical="center"/>
    </xf>
    <xf numFmtId="43" fontId="3" fillId="0" borderId="9" xfId="2" applyFont="1" applyFill="1" applyBorder="1" applyAlignment="1">
      <alignment horizontal="center"/>
    </xf>
    <xf numFmtId="43" fontId="3" fillId="0" borderId="38" xfId="2" applyFont="1" applyFill="1" applyBorder="1" applyAlignment="1">
      <alignment horizontal="center"/>
    </xf>
    <xf numFmtId="41" fontId="3" fillId="0" borderId="2" xfId="13" applyFont="1" applyFill="1" applyBorder="1" applyAlignment="1">
      <alignment horizontal="left" vertical="center"/>
    </xf>
    <xf numFmtId="2" fontId="3" fillId="0" borderId="4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166" fontId="31" fillId="0" borderId="0" xfId="1" applyFont="1" applyAlignment="1">
      <alignment horizontal="center" vertical="center"/>
    </xf>
    <xf numFmtId="0" fontId="0" fillId="0" borderId="6" xfId="0" applyBorder="1"/>
    <xf numFmtId="0" fontId="0" fillId="0" borderId="8" xfId="0" applyBorder="1"/>
    <xf numFmtId="1" fontId="3" fillId="0" borderId="6" xfId="0" applyNumberFormat="1" applyFont="1" applyBorder="1" applyAlignment="1">
      <alignment horizontal="center"/>
    </xf>
    <xf numFmtId="43" fontId="0" fillId="0" borderId="38" xfId="0" applyNumberFormat="1" applyBorder="1"/>
    <xf numFmtId="43" fontId="3" fillId="0" borderId="6" xfId="2" applyFont="1" applyFill="1" applyBorder="1" applyAlignment="1"/>
    <xf numFmtId="43" fontId="3" fillId="0" borderId="8" xfId="2" applyFont="1" applyFill="1" applyBorder="1" applyAlignment="1"/>
    <xf numFmtId="43" fontId="0" fillId="0" borderId="3" xfId="0" applyNumberFormat="1" applyBorder="1"/>
    <xf numFmtId="0" fontId="0" fillId="0" borderId="16" xfId="0" applyBorder="1" applyAlignment="1">
      <alignment horizontal="center" vertical="top"/>
    </xf>
    <xf numFmtId="166" fontId="2" fillId="0" borderId="2" xfId="1" applyFont="1" applyBorder="1"/>
    <xf numFmtId="0" fontId="12" fillId="0" borderId="6" xfId="0" applyFont="1" applyBorder="1"/>
    <xf numFmtId="0" fontId="0" fillId="0" borderId="4" xfId="0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0" fillId="5" borderId="2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2" xfId="0" applyFill="1" applyBorder="1"/>
    <xf numFmtId="0" fontId="51" fillId="0" borderId="16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9" xfId="0" applyFill="1" applyBorder="1"/>
    <xf numFmtId="0" fontId="7" fillId="0" borderId="7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top"/>
    </xf>
    <xf numFmtId="0" fontId="33" fillId="0" borderId="16" xfId="0" applyFont="1" applyBorder="1" applyAlignment="1">
      <alignment horizontal="center" vertical="top" wrapText="1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166" fontId="21" fillId="5" borderId="2" xfId="1" quotePrefix="1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wrapText="1"/>
    </xf>
    <xf numFmtId="0" fontId="3" fillId="4" borderId="4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4" fontId="3" fillId="0" borderId="0" xfId="0" applyNumberFormat="1" applyFont="1" applyAlignment="1">
      <alignment horizontal="center"/>
    </xf>
    <xf numFmtId="43" fontId="3" fillId="0" borderId="0" xfId="2" applyFont="1" applyFill="1" applyBorder="1" applyAlignment="1">
      <alignment horizontal="center"/>
    </xf>
    <xf numFmtId="43" fontId="3" fillId="0" borderId="0" xfId="2" applyFont="1" applyFill="1" applyBorder="1"/>
    <xf numFmtId="4" fontId="3" fillId="0" borderId="0" xfId="3" applyNumberFormat="1" applyFont="1" applyAlignment="1">
      <alignment horizontal="right" vertical="center" wrapText="1"/>
    </xf>
    <xf numFmtId="43" fontId="3" fillId="0" borderId="0" xfId="2" applyFont="1" applyFill="1" applyBorder="1" applyAlignment="1">
      <alignment vertical="center"/>
    </xf>
    <xf numFmtId="43" fontId="3" fillId="0" borderId="0" xfId="2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right"/>
    </xf>
    <xf numFmtId="43" fontId="3" fillId="0" borderId="0" xfId="2" applyFont="1" applyFill="1" applyBorder="1" applyAlignment="1"/>
    <xf numFmtId="0" fontId="7" fillId="4" borderId="3" xfId="0" applyFont="1" applyFill="1" applyBorder="1" applyAlignment="1">
      <alignment horizontal="left" vertical="center" wrapText="1"/>
    </xf>
    <xf numFmtId="43" fontId="0" fillId="4" borderId="0" xfId="0" applyNumberFormat="1" applyFill="1"/>
    <xf numFmtId="166" fontId="3" fillId="0" borderId="0" xfId="1" applyFont="1" applyFill="1" applyBorder="1"/>
    <xf numFmtId="166" fontId="3" fillId="0" borderId="0" xfId="0" applyNumberFormat="1" applyFont="1" applyAlignment="1">
      <alignment wrapText="1"/>
    </xf>
    <xf numFmtId="43" fontId="3" fillId="0" borderId="0" xfId="0" applyNumberFormat="1" applyFont="1" applyAlignment="1">
      <alignment wrapText="1"/>
    </xf>
    <xf numFmtId="166" fontId="0" fillId="0" borderId="0" xfId="1" applyFont="1" applyAlignment="1">
      <alignment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3" fontId="3" fillId="3" borderId="2" xfId="12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12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166" fontId="3" fillId="0" borderId="4" xfId="1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center"/>
    </xf>
    <xf numFmtId="166" fontId="3" fillId="0" borderId="0" xfId="1" applyFont="1" applyFill="1" applyBorder="1" applyAlignment="1">
      <alignment horizontal="right" vertical="center"/>
    </xf>
    <xf numFmtId="43" fontId="3" fillId="0" borderId="0" xfId="2" applyFont="1" applyFill="1" applyBorder="1" applyAlignment="1">
      <alignment horizontal="right" vertical="center"/>
    </xf>
    <xf numFmtId="166" fontId="12" fillId="0" borderId="4" xfId="0" applyNumberFormat="1" applyFont="1" applyBorder="1"/>
    <xf numFmtId="0" fontId="3" fillId="4" borderId="2" xfId="0" applyFont="1" applyFill="1" applyBorder="1"/>
    <xf numFmtId="166" fontId="15" fillId="0" borderId="4" xfId="1" applyFont="1" applyFill="1" applyBorder="1" applyAlignment="1">
      <alignment horizontal="center" vertical="center"/>
    </xf>
    <xf numFmtId="170" fontId="6" fillId="0" borderId="4" xfId="1" applyNumberFormat="1" applyFont="1" applyBorder="1" applyAlignment="1">
      <alignment horizontal="center"/>
    </xf>
    <xf numFmtId="43" fontId="39" fillId="0" borderId="2" xfId="0" applyNumberFormat="1" applyFont="1" applyBorder="1" applyAlignment="1">
      <alignment wrapText="1"/>
    </xf>
    <xf numFmtId="4" fontId="3" fillId="4" borderId="2" xfId="0" applyNumberFormat="1" applyFont="1" applyFill="1" applyBorder="1"/>
    <xf numFmtId="43" fontId="24" fillId="0" borderId="4" xfId="0" applyNumberFormat="1" applyFont="1" applyBorder="1"/>
    <xf numFmtId="166" fontId="12" fillId="0" borderId="0" xfId="1" applyFont="1" applyFill="1" applyBorder="1" applyAlignment="1"/>
    <xf numFmtId="0" fontId="3" fillId="4" borderId="0" xfId="0" applyFont="1" applyFill="1" applyAlignment="1">
      <alignment horizontal="left"/>
    </xf>
    <xf numFmtId="0" fontId="0" fillId="0" borderId="9" xfId="0" applyBorder="1" applyAlignment="1">
      <alignment horizontal="center"/>
    </xf>
    <xf numFmtId="0" fontId="3" fillId="0" borderId="0" xfId="1" applyNumberFormat="1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2" xfId="0" applyFill="1" applyBorder="1"/>
    <xf numFmtId="0" fontId="0" fillId="6" borderId="0" xfId="0" applyFill="1" applyAlignment="1">
      <alignment wrapText="1"/>
    </xf>
    <xf numFmtId="0" fontId="0" fillId="6" borderId="0" xfId="0" applyFill="1"/>
    <xf numFmtId="0" fontId="7" fillId="6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0" fillId="4" borderId="0" xfId="0" applyFill="1" applyAlignment="1">
      <alignment wrapText="1"/>
    </xf>
    <xf numFmtId="166" fontId="0" fillId="4" borderId="0" xfId="1" applyFont="1" applyFill="1"/>
    <xf numFmtId="0" fontId="7" fillId="4" borderId="9" xfId="0" applyFont="1" applyFill="1" applyBorder="1" applyAlignment="1">
      <alignment horizontal="left" vertical="center" wrapText="1"/>
    </xf>
    <xf numFmtId="0" fontId="7" fillId="4" borderId="9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 wrapText="1"/>
    </xf>
    <xf numFmtId="166" fontId="21" fillId="4" borderId="9" xfId="1" applyFont="1" applyFill="1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166" fontId="21" fillId="4" borderId="2" xfId="1" quotePrefix="1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 wrapText="1"/>
    </xf>
    <xf numFmtId="0" fontId="52" fillId="0" borderId="2" xfId="0" applyFont="1" applyBorder="1" applyAlignment="1">
      <alignment horizontal="center"/>
    </xf>
    <xf numFmtId="0" fontId="52" fillId="0" borderId="2" xfId="0" applyFont="1" applyBorder="1"/>
    <xf numFmtId="0" fontId="53" fillId="0" borderId="2" xfId="0" applyFont="1" applyBorder="1" applyAlignment="1">
      <alignment horizontal="left" vertical="center" wrapText="1"/>
    </xf>
    <xf numFmtId="0" fontId="53" fillId="4" borderId="2" xfId="0" applyFont="1" applyFill="1" applyBorder="1" applyAlignment="1">
      <alignment horizontal="left" vertical="center" wrapText="1"/>
    </xf>
    <xf numFmtId="0" fontId="52" fillId="0" borderId="2" xfId="0" applyFont="1" applyBorder="1" applyAlignment="1">
      <alignment wrapText="1"/>
    </xf>
    <xf numFmtId="166" fontId="12" fillId="0" borderId="2" xfId="1" applyFont="1" applyFill="1" applyBorder="1" applyAlignment="1">
      <alignment horizontal="right" vertical="center"/>
    </xf>
    <xf numFmtId="166" fontId="12" fillId="0" borderId="0" xfId="1" applyFont="1" applyFill="1" applyBorder="1" applyAlignment="1">
      <alignment horizontal="right" vertical="center"/>
    </xf>
    <xf numFmtId="166" fontId="12" fillId="0" borderId="2" xfId="1" applyFont="1" applyBorder="1"/>
    <xf numFmtId="0" fontId="12" fillId="0" borderId="2" xfId="0" applyFont="1" applyBorder="1" applyAlignment="1">
      <alignment horizontal="center" wrapText="1"/>
    </xf>
    <xf numFmtId="0" fontId="16" fillId="0" borderId="4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22" fillId="0" borderId="2" xfId="0" applyFont="1" applyBorder="1"/>
    <xf numFmtId="166" fontId="12" fillId="0" borderId="2" xfId="16" applyFont="1" applyFill="1" applyBorder="1"/>
    <xf numFmtId="39" fontId="12" fillId="0" borderId="2" xfId="0" applyNumberFormat="1" applyFont="1" applyBorder="1"/>
    <xf numFmtId="39" fontId="12" fillId="0" borderId="2" xfId="0" applyNumberFormat="1" applyFont="1" applyBorder="1" applyAlignment="1">
      <alignment wrapText="1"/>
    </xf>
    <xf numFmtId="0" fontId="22" fillId="0" borderId="2" xfId="0" applyFont="1" applyBorder="1" applyAlignment="1">
      <alignment vertical="top" wrapText="1"/>
    </xf>
    <xf numFmtId="0" fontId="22" fillId="0" borderId="4" xfId="0" applyFont="1" applyBorder="1"/>
    <xf numFmtId="0" fontId="22" fillId="0" borderId="7" xfId="0" applyFont="1" applyBorder="1"/>
    <xf numFmtId="39" fontId="22" fillId="0" borderId="2" xfId="0" applyNumberFormat="1" applyFont="1" applyBorder="1"/>
    <xf numFmtId="0" fontId="15" fillId="0" borderId="7" xfId="0" applyFont="1" applyBorder="1" applyAlignment="1">
      <alignment vertical="center"/>
    </xf>
    <xf numFmtId="0" fontId="47" fillId="0" borderId="0" xfId="0" applyFont="1"/>
    <xf numFmtId="167" fontId="0" fillId="0" borderId="0" xfId="0" applyNumberFormat="1"/>
    <xf numFmtId="43" fontId="3" fillId="4" borderId="0" xfId="0" applyNumberFormat="1" applyFont="1" applyFill="1" applyAlignment="1">
      <alignment horizontal="left"/>
    </xf>
    <xf numFmtId="43" fontId="3" fillId="0" borderId="15" xfId="2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26" fillId="0" borderId="0" xfId="0" applyFont="1"/>
    <xf numFmtId="166" fontId="3" fillId="0" borderId="0" xfId="1" applyFont="1" applyAlignment="1">
      <alignment horizontal="center"/>
    </xf>
    <xf numFmtId="9" fontId="0" fillId="0" borderId="2" xfId="0" applyNumberFormat="1" applyBorder="1"/>
    <xf numFmtId="0" fontId="6" fillId="0" borderId="16" xfId="0" applyFont="1" applyBorder="1" applyAlignment="1">
      <alignment wrapText="1"/>
    </xf>
    <xf numFmtId="43" fontId="6" fillId="0" borderId="9" xfId="0" applyNumberFormat="1" applyFont="1" applyBorder="1"/>
    <xf numFmtId="0" fontId="2" fillId="6" borderId="0" xfId="0" applyFont="1" applyFill="1" applyAlignment="1">
      <alignment horizontal="center"/>
    </xf>
    <xf numFmtId="0" fontId="2" fillId="6" borderId="0" xfId="0" applyFont="1" applyFill="1"/>
    <xf numFmtId="43" fontId="2" fillId="6" borderId="0" xfId="2" applyFont="1" applyFill="1"/>
    <xf numFmtId="0" fontId="2" fillId="6" borderId="0" xfId="0" applyFont="1" applyFill="1" applyAlignment="1">
      <alignment horizontal="left"/>
    </xf>
    <xf numFmtId="43" fontId="3" fillId="6" borderId="0" xfId="2" applyFont="1" applyFill="1"/>
    <xf numFmtId="43" fontId="3" fillId="6" borderId="0" xfId="2" applyFont="1" applyFill="1" applyAlignment="1">
      <alignment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top"/>
    </xf>
    <xf numFmtId="0" fontId="2" fillId="6" borderId="0" xfId="0" applyFont="1" applyFill="1" applyAlignment="1">
      <alignment horizontal="left" wrapText="1"/>
    </xf>
    <xf numFmtId="43" fontId="2" fillId="6" borderId="0" xfId="2" applyFont="1" applyFill="1" applyAlignment="1">
      <alignment horizontal="left"/>
    </xf>
    <xf numFmtId="0" fontId="2" fillId="6" borderId="2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43" fontId="2" fillId="6" borderId="2" xfId="2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2" xfId="2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left" vertical="center"/>
    </xf>
    <xf numFmtId="0" fontId="3" fillId="6" borderId="2" xfId="0" applyFont="1" applyFill="1" applyBorder="1" applyAlignment="1">
      <alignment wrapText="1"/>
    </xf>
    <xf numFmtId="0" fontId="2" fillId="6" borderId="4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2" xfId="2" applyNumberFormat="1" applyFont="1" applyFill="1" applyBorder="1" applyAlignment="1">
      <alignment horizontal="center" vertical="center"/>
    </xf>
    <xf numFmtId="0" fontId="2" fillId="6" borderId="2" xfId="0" applyFont="1" applyFill="1" applyBorder="1"/>
    <xf numFmtId="0" fontId="3" fillId="6" borderId="2" xfId="0" applyFont="1" applyFill="1" applyBorder="1"/>
    <xf numFmtId="0" fontId="3" fillId="6" borderId="4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4" fontId="3" fillId="6" borderId="2" xfId="0" applyNumberFormat="1" applyFont="1" applyFill="1" applyBorder="1"/>
    <xf numFmtId="43" fontId="2" fillId="6" borderId="4" xfId="0" applyNumberFormat="1" applyFont="1" applyFill="1" applyBorder="1"/>
    <xf numFmtId="43" fontId="3" fillId="6" borderId="2" xfId="2" applyFont="1" applyFill="1" applyBorder="1"/>
    <xf numFmtId="0" fontId="2" fillId="6" borderId="4" xfId="0" applyFont="1" applyFill="1" applyBorder="1"/>
    <xf numFmtId="43" fontId="2" fillId="6" borderId="2" xfId="0" applyNumberFormat="1" applyFont="1" applyFill="1" applyBorder="1"/>
    <xf numFmtId="0" fontId="3" fillId="6" borderId="0" xfId="0" applyFont="1" applyFill="1"/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wrapText="1"/>
    </xf>
    <xf numFmtId="168" fontId="49" fillId="0" borderId="16" xfId="6" applyNumberFormat="1" applyFont="1" applyFill="1" applyBorder="1" applyAlignment="1">
      <alignment horizontal="left" vertical="top"/>
    </xf>
    <xf numFmtId="166" fontId="25" fillId="0" borderId="2" xfId="1" applyFont="1" applyBorder="1"/>
    <xf numFmtId="0" fontId="23" fillId="0" borderId="0" xfId="0" applyFont="1" applyAlignment="1">
      <alignment horizontal="left" vertical="top"/>
    </xf>
    <xf numFmtId="168" fontId="56" fillId="0" borderId="47" xfId="6" applyNumberFormat="1" applyFont="1" applyBorder="1" applyAlignment="1">
      <alignment horizontal="left" vertical="top"/>
    </xf>
    <xf numFmtId="168" fontId="57" fillId="0" borderId="52" xfId="6" applyNumberFormat="1" applyFont="1" applyBorder="1" applyAlignment="1">
      <alignment horizontal="center" vertical="center"/>
    </xf>
    <xf numFmtId="0" fontId="57" fillId="0" borderId="52" xfId="5" applyFont="1" applyBorder="1" applyAlignment="1">
      <alignment horizontal="center" vertical="center"/>
    </xf>
    <xf numFmtId="0" fontId="3" fillId="0" borderId="6" xfId="0" applyFont="1" applyBorder="1" applyAlignment="1">
      <alignment horizontal="left"/>
    </xf>
    <xf numFmtId="168" fontId="56" fillId="0" borderId="0" xfId="6" applyNumberFormat="1" applyFont="1" applyBorder="1" applyAlignment="1">
      <alignment horizontal="left" vertical="top"/>
    </xf>
    <xf numFmtId="0" fontId="0" fillId="0" borderId="45" xfId="0" applyBorder="1"/>
    <xf numFmtId="168" fontId="57" fillId="0" borderId="0" xfId="6" applyNumberFormat="1" applyFont="1" applyBorder="1" applyAlignment="1">
      <alignment horizontal="center" vertical="center"/>
    </xf>
    <xf numFmtId="168" fontId="57" fillId="0" borderId="47" xfId="6" applyNumberFormat="1" applyFont="1" applyBorder="1" applyAlignment="1">
      <alignment horizontal="left" vertical="top"/>
    </xf>
    <xf numFmtId="168" fontId="57" fillId="0" borderId="47" xfId="6" applyNumberFormat="1" applyFont="1" applyBorder="1" applyAlignment="1">
      <alignment horizontal="center" vertical="center"/>
    </xf>
    <xf numFmtId="0" fontId="57" fillId="0" borderId="47" xfId="5" applyFont="1" applyBorder="1" applyAlignment="1">
      <alignment horizontal="center" vertical="center"/>
    </xf>
    <xf numFmtId="168" fontId="57" fillId="3" borderId="47" xfId="6" applyNumberFormat="1" applyFont="1" applyFill="1" applyBorder="1" applyAlignment="1">
      <alignment horizontal="left" vertical="top"/>
    </xf>
    <xf numFmtId="43" fontId="49" fillId="0" borderId="0" xfId="6" applyFont="1" applyFill="1" applyBorder="1" applyAlignment="1">
      <alignment horizontal="center" vertical="center"/>
    </xf>
    <xf numFmtId="43" fontId="49" fillId="0" borderId="0" xfId="6" applyFont="1" applyFill="1" applyBorder="1" applyAlignment="1">
      <alignment horizontal="left" vertical="center"/>
    </xf>
    <xf numFmtId="0" fontId="49" fillId="0" borderId="0" xfId="8" applyFont="1" applyAlignment="1">
      <alignment horizontal="centerContinuous" vertical="center"/>
    </xf>
    <xf numFmtId="0" fontId="49" fillId="0" borderId="0" xfId="8" applyFont="1" applyAlignment="1">
      <alignment horizontal="center" vertical="center"/>
    </xf>
    <xf numFmtId="0" fontId="17" fillId="0" borderId="7" xfId="0" applyFont="1" applyBorder="1"/>
    <xf numFmtId="166" fontId="17" fillId="0" borderId="2" xfId="16" applyFont="1" applyFill="1" applyBorder="1"/>
    <xf numFmtId="0" fontId="17" fillId="0" borderId="4" xfId="0" applyFont="1" applyBorder="1"/>
    <xf numFmtId="166" fontId="0" fillId="0" borderId="9" xfId="1" applyFont="1" applyBorder="1"/>
    <xf numFmtId="0" fontId="0" fillId="4" borderId="2" xfId="0" applyFill="1" applyBorder="1" applyAlignment="1">
      <alignment wrapText="1"/>
    </xf>
    <xf numFmtId="9" fontId="0" fillId="4" borderId="2" xfId="0" applyNumberFormat="1" applyFill="1" applyBorder="1"/>
    <xf numFmtId="166" fontId="0" fillId="4" borderId="2" xfId="1" applyFont="1" applyFill="1" applyBorder="1"/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43" fontId="12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3" fontId="7" fillId="0" borderId="0" xfId="2" applyFont="1" applyFill="1"/>
    <xf numFmtId="0" fontId="7" fillId="0" borderId="0" xfId="0" applyFont="1" applyAlignment="1">
      <alignment horizontal="center" wrapText="1"/>
    </xf>
    <xf numFmtId="166" fontId="7" fillId="0" borderId="0" xfId="1" applyFont="1" applyFill="1"/>
    <xf numFmtId="166" fontId="7" fillId="0" borderId="0" xfId="1" applyFont="1" applyFill="1" applyAlignment="1">
      <alignment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7" fillId="0" borderId="9" xfId="0" applyFont="1" applyBorder="1" applyAlignment="1">
      <alignment horizontal="center" vertical="center" wrapText="1"/>
    </xf>
    <xf numFmtId="43" fontId="7" fillId="0" borderId="2" xfId="2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" xfId="2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8" xfId="0" applyFont="1" applyBorder="1" applyAlignment="1">
      <alignment horizontal="left" wrapText="1"/>
    </xf>
    <xf numFmtId="43" fontId="7" fillId="0" borderId="3" xfId="2" applyFont="1" applyFill="1" applyBorder="1" applyAlignment="1">
      <alignment horizontal="center"/>
    </xf>
    <xf numFmtId="43" fontId="7" fillId="0" borderId="6" xfId="2" applyFont="1" applyFill="1" applyBorder="1" applyAlignment="1">
      <alignment horizontal="center"/>
    </xf>
    <xf numFmtId="2" fontId="7" fillId="0" borderId="6" xfId="0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2" fontId="7" fillId="0" borderId="3" xfId="0" applyNumberFormat="1" applyFont="1" applyBorder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0" fontId="7" fillId="0" borderId="2" xfId="0" applyFont="1" applyBorder="1" applyAlignment="1">
      <alignment horizontal="left" vertical="center"/>
    </xf>
    <xf numFmtId="0" fontId="7" fillId="0" borderId="7" xfId="0" applyFont="1" applyBorder="1" applyAlignment="1">
      <alignment wrapText="1"/>
    </xf>
    <xf numFmtId="2" fontId="7" fillId="0" borderId="4" xfId="0" applyNumberFormat="1" applyFont="1" applyBorder="1" applyAlignment="1">
      <alignment horizontal="center"/>
    </xf>
    <xf numFmtId="43" fontId="7" fillId="0" borderId="2" xfId="2" applyFont="1" applyFill="1" applyBorder="1"/>
    <xf numFmtId="43" fontId="7" fillId="0" borderId="4" xfId="2" applyFont="1" applyFill="1" applyBorder="1" applyAlignment="1">
      <alignment horizontal="center"/>
    </xf>
    <xf numFmtId="2" fontId="7" fillId="0" borderId="2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left" vertical="center"/>
    </xf>
    <xf numFmtId="41" fontId="7" fillId="0" borderId="2" xfId="13" applyFont="1" applyFill="1" applyBorder="1" applyAlignment="1">
      <alignment horizontal="left" vertical="center"/>
    </xf>
    <xf numFmtId="2" fontId="7" fillId="0" borderId="10" xfId="0" applyNumberFormat="1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43" fontId="7" fillId="0" borderId="9" xfId="2" applyFont="1" applyFill="1" applyBorder="1"/>
    <xf numFmtId="43" fontId="7" fillId="0" borderId="10" xfId="2" applyFont="1" applyFill="1" applyBorder="1"/>
    <xf numFmtId="2" fontId="7" fillId="0" borderId="9" xfId="0" applyNumberFormat="1" applyFont="1" applyBorder="1" applyAlignment="1">
      <alignment horizontal="center" wrapText="1"/>
    </xf>
    <xf numFmtId="41" fontId="7" fillId="0" borderId="4" xfId="13" applyFont="1" applyFill="1" applyBorder="1" applyAlignment="1">
      <alignment horizontal="left" vertical="center"/>
    </xf>
    <xf numFmtId="43" fontId="7" fillId="0" borderId="43" xfId="2" applyFont="1" applyFill="1" applyBorder="1"/>
    <xf numFmtId="2" fontId="7" fillId="0" borderId="42" xfId="0" applyNumberFormat="1" applyFont="1" applyBorder="1" applyAlignment="1">
      <alignment horizontal="center" wrapText="1"/>
    </xf>
    <xf numFmtId="43" fontId="7" fillId="0" borderId="3" xfId="2" applyFont="1" applyFill="1" applyBorder="1"/>
    <xf numFmtId="43" fontId="7" fillId="0" borderId="6" xfId="2" applyFont="1" applyFill="1" applyBorder="1"/>
    <xf numFmtId="43" fontId="7" fillId="0" borderId="4" xfId="2" applyFont="1" applyFill="1" applyBorder="1"/>
    <xf numFmtId="4" fontId="3" fillId="0" borderId="0" xfId="0" applyNumberFormat="1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68" fontId="49" fillId="0" borderId="47" xfId="6" applyNumberFormat="1" applyFont="1" applyBorder="1" applyAlignment="1">
      <alignment horizontal="left" vertical="top"/>
    </xf>
    <xf numFmtId="0" fontId="28" fillId="7" borderId="0" xfId="0" applyFont="1" applyFill="1" applyAlignment="1">
      <alignment horizontal="center"/>
    </xf>
    <xf numFmtId="0" fontId="28" fillId="7" borderId="0" xfId="0" applyFont="1" applyFill="1" applyAlignment="1">
      <alignment horizontal="center" wrapText="1"/>
    </xf>
    <xf numFmtId="0" fontId="39" fillId="7" borderId="0" xfId="0" applyFont="1" applyFill="1" applyAlignment="1">
      <alignment vertical="center"/>
    </xf>
    <xf numFmtId="0" fontId="39" fillId="7" borderId="0" xfId="0" applyFont="1" applyFill="1" applyAlignment="1">
      <alignment vertical="center" wrapText="1"/>
    </xf>
    <xf numFmtId="43" fontId="6" fillId="7" borderId="0" xfId="2" applyFont="1" applyFill="1"/>
    <xf numFmtId="43" fontId="6" fillId="7" borderId="0" xfId="2" applyFont="1" applyFill="1" applyAlignment="1">
      <alignment vertical="center" wrapText="1"/>
    </xf>
    <xf numFmtId="0" fontId="6" fillId="7" borderId="0" xfId="0" applyFont="1" applyFill="1"/>
    <xf numFmtId="0" fontId="6" fillId="7" borderId="0" xfId="0" applyFont="1" applyFill="1" applyAlignment="1">
      <alignment wrapText="1"/>
    </xf>
    <xf numFmtId="0" fontId="6" fillId="7" borderId="2" xfId="0" applyFont="1" applyFill="1" applyBorder="1" applyAlignment="1">
      <alignment horizontal="center" vertical="center" wrapText="1"/>
    </xf>
    <xf numFmtId="43" fontId="6" fillId="7" borderId="2" xfId="2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2" xfId="2" applyNumberFormat="1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left" vertical="center"/>
    </xf>
    <xf numFmtId="0" fontId="24" fillId="7" borderId="2" xfId="0" quotePrefix="1" applyFont="1" applyFill="1" applyBorder="1" applyAlignment="1">
      <alignment horizontal="left" vertical="center" wrapText="1"/>
    </xf>
    <xf numFmtId="0" fontId="8" fillId="7" borderId="4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24" fillId="7" borderId="16" xfId="0" applyFont="1" applyFill="1" applyBorder="1" applyAlignment="1">
      <alignment horizontal="left" vertical="center" wrapText="1"/>
    </xf>
    <xf numFmtId="0" fontId="24" fillId="7" borderId="2" xfId="0" applyFont="1" applyFill="1" applyBorder="1" applyAlignment="1">
      <alignment horizontal="left" vertical="center" wrapText="1"/>
    </xf>
    <xf numFmtId="0" fontId="8" fillId="7" borderId="2" xfId="0" applyFont="1" applyFill="1" applyBorder="1" applyAlignment="1">
      <alignment horizontal="right" vertical="center"/>
    </xf>
    <xf numFmtId="43" fontId="8" fillId="7" borderId="2" xfId="0" applyNumberFormat="1" applyFont="1" applyFill="1" applyBorder="1" applyAlignment="1">
      <alignment horizontal="right" vertical="center"/>
    </xf>
    <xf numFmtId="0" fontId="8" fillId="7" borderId="2" xfId="0" applyFont="1" applyFill="1" applyBorder="1" applyAlignment="1">
      <alignment horizontal="left"/>
    </xf>
    <xf numFmtId="4" fontId="8" fillId="7" borderId="2" xfId="0" applyNumberFormat="1" applyFont="1" applyFill="1" applyBorder="1" applyAlignment="1">
      <alignment horizontal="right" vertical="center"/>
    </xf>
    <xf numFmtId="0" fontId="8" fillId="7" borderId="2" xfId="0" applyFont="1" applyFill="1" applyBorder="1" applyAlignment="1">
      <alignment horizontal="left" vertical="center" wrapText="1"/>
    </xf>
    <xf numFmtId="0" fontId="8" fillId="7" borderId="2" xfId="0" quotePrefix="1" applyFont="1" applyFill="1" applyBorder="1" applyAlignment="1">
      <alignment horizontal="left" vertical="center" wrapText="1"/>
    </xf>
    <xf numFmtId="0" fontId="10" fillId="7" borderId="2" xfId="0" applyFont="1" applyFill="1" applyBorder="1" applyAlignment="1">
      <alignment horizontal="left" vertical="center" wrapText="1"/>
    </xf>
    <xf numFmtId="0" fontId="10" fillId="7" borderId="4" xfId="0" applyFont="1" applyFill="1" applyBorder="1" applyAlignment="1">
      <alignment vertical="center"/>
    </xf>
    <xf numFmtId="43" fontId="26" fillId="7" borderId="2" xfId="0" applyNumberFormat="1" applyFont="1" applyFill="1" applyBorder="1" applyAlignment="1">
      <alignment vertical="center"/>
    </xf>
    <xf numFmtId="0" fontId="3" fillId="7" borderId="0" xfId="0" applyFont="1" applyFill="1"/>
    <xf numFmtId="0" fontId="3" fillId="7" borderId="0" xfId="0" applyFont="1" applyFill="1" applyAlignment="1">
      <alignment horizontal="left"/>
    </xf>
    <xf numFmtId="0" fontId="3" fillId="7" borderId="0" xfId="0" applyFont="1" applyFill="1" applyAlignment="1">
      <alignment horizontal="center" vertical="center"/>
    </xf>
    <xf numFmtId="0" fontId="3" fillId="7" borderId="0" xfId="0" applyFont="1" applyFill="1" applyAlignment="1">
      <alignment vertical="center"/>
    </xf>
    <xf numFmtId="0" fontId="3" fillId="7" borderId="0" xfId="0" applyFont="1" applyFill="1" applyAlignment="1">
      <alignment wrapText="1"/>
    </xf>
    <xf numFmtId="166" fontId="12" fillId="0" borderId="0" xfId="1" applyFont="1" applyAlignment="1">
      <alignment wrapText="1"/>
    </xf>
    <xf numFmtId="0" fontId="2" fillId="0" borderId="7" xfId="0" applyFont="1" applyBorder="1" applyAlignment="1">
      <alignment horizontal="center" wrapText="1"/>
    </xf>
    <xf numFmtId="0" fontId="2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166" fontId="12" fillId="0" borderId="0" xfId="0" applyNumberFormat="1" applyFont="1"/>
    <xf numFmtId="43" fontId="7" fillId="0" borderId="0" xfId="0" applyNumberFormat="1" applyFont="1" applyAlignment="1">
      <alignment wrapText="1"/>
    </xf>
    <xf numFmtId="0" fontId="3" fillId="0" borderId="6" xfId="0" applyFont="1" applyBorder="1" applyAlignment="1">
      <alignment vertical="center" wrapText="1"/>
    </xf>
    <xf numFmtId="4" fontId="12" fillId="0" borderId="2" xfId="0" applyNumberFormat="1" applyFont="1" applyBorder="1" applyAlignment="1">
      <alignment wrapText="1"/>
    </xf>
    <xf numFmtId="43" fontId="12" fillId="0" borderId="2" xfId="0" applyNumberFormat="1" applyFont="1" applyBorder="1" applyAlignment="1">
      <alignment vertical="center" wrapText="1"/>
    </xf>
    <xf numFmtId="0" fontId="16" fillId="0" borderId="0" xfId="0" applyFont="1" applyAlignment="1">
      <alignment horizontal="center"/>
    </xf>
    <xf numFmtId="0" fontId="16" fillId="7" borderId="0" xfId="0" applyFont="1" applyFill="1" applyAlignment="1">
      <alignment horizontal="center"/>
    </xf>
    <xf numFmtId="0" fontId="12" fillId="7" borderId="0" xfId="0" applyFont="1" applyFill="1" applyAlignment="1">
      <alignment wrapText="1"/>
    </xf>
    <xf numFmtId="0" fontId="12" fillId="7" borderId="0" xfId="0" applyFont="1" applyFill="1"/>
    <xf numFmtId="0" fontId="2" fillId="7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wrapText="1"/>
    </xf>
    <xf numFmtId="0" fontId="12" fillId="7" borderId="2" xfId="0" applyFont="1" applyFill="1" applyBorder="1" applyAlignment="1">
      <alignment wrapText="1"/>
    </xf>
    <xf numFmtId="0" fontId="12" fillId="7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vertical="center" wrapText="1"/>
    </xf>
    <xf numFmtId="0" fontId="47" fillId="0" borderId="0" xfId="0" applyFont="1" applyAlignment="1">
      <alignment wrapText="1"/>
    </xf>
    <xf numFmtId="0" fontId="46" fillId="0" borderId="0" xfId="0" applyFont="1"/>
    <xf numFmtId="0" fontId="47" fillId="0" borderId="2" xfId="0" applyFont="1" applyBorder="1" applyAlignment="1">
      <alignment horizontal="center"/>
    </xf>
    <xf numFmtId="0" fontId="22" fillId="0" borderId="0" xfId="0" applyFont="1" applyAlignment="1">
      <alignment wrapText="1"/>
    </xf>
    <xf numFmtId="0" fontId="47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vertical="center" wrapText="1"/>
    </xf>
    <xf numFmtId="0" fontId="22" fillId="0" borderId="2" xfId="0" applyFont="1" applyBorder="1" applyAlignment="1">
      <alignment vertical="center" wrapText="1"/>
    </xf>
    <xf numFmtId="4" fontId="22" fillId="0" borderId="0" xfId="0" applyNumberFormat="1" applyFont="1" applyAlignment="1">
      <alignment horizontal="right" vertical="center"/>
    </xf>
    <xf numFmtId="39" fontId="0" fillId="0" borderId="0" xfId="0" applyNumberFormat="1"/>
    <xf numFmtId="0" fontId="2" fillId="7" borderId="0" xfId="0" applyFont="1" applyFill="1" applyAlignment="1">
      <alignment horizontal="center"/>
    </xf>
    <xf numFmtId="0" fontId="10" fillId="7" borderId="0" xfId="0" applyFont="1" applyFill="1" applyAlignment="1">
      <alignment vertical="center"/>
    </xf>
    <xf numFmtId="0" fontId="8" fillId="7" borderId="0" xfId="0" applyFont="1" applyFill="1" applyAlignment="1">
      <alignment horizontal="left" vertical="center"/>
    </xf>
    <xf numFmtId="166" fontId="8" fillId="7" borderId="0" xfId="1" applyFont="1" applyFill="1" applyAlignment="1">
      <alignment vertical="center"/>
    </xf>
    <xf numFmtId="0" fontId="0" fillId="7" borderId="0" xfId="0" applyFill="1"/>
    <xf numFmtId="0" fontId="8" fillId="7" borderId="0" xfId="0" applyFont="1" applyFill="1" applyAlignment="1">
      <alignment horizontal="left" vertical="center" wrapText="1"/>
    </xf>
    <xf numFmtId="0" fontId="10" fillId="7" borderId="0" xfId="0" applyFont="1" applyFill="1" applyAlignment="1">
      <alignment vertical="center" wrapText="1"/>
    </xf>
    <xf numFmtId="0" fontId="8" fillId="7" borderId="0" xfId="0" applyFont="1" applyFill="1"/>
    <xf numFmtId="0" fontId="3" fillId="7" borderId="2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43" fontId="3" fillId="7" borderId="2" xfId="2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/>
    </xf>
    <xf numFmtId="0" fontId="3" fillId="7" borderId="2" xfId="2" applyNumberFormat="1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/>
    </xf>
    <xf numFmtId="0" fontId="3" fillId="7" borderId="2" xfId="0" applyFont="1" applyFill="1" applyBorder="1" applyAlignment="1">
      <alignment horizontal="left" vertical="center"/>
    </xf>
    <xf numFmtId="0" fontId="3" fillId="7" borderId="2" xfId="0" applyFont="1" applyFill="1" applyBorder="1" applyAlignment="1">
      <alignment wrapText="1"/>
    </xf>
    <xf numFmtId="0" fontId="3" fillId="7" borderId="4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2" xfId="1" applyNumberFormat="1" applyFont="1" applyFill="1" applyBorder="1" applyAlignment="1">
      <alignment horizontal="center" vertical="center"/>
    </xf>
    <xf numFmtId="0" fontId="2" fillId="7" borderId="2" xfId="0" applyFont="1" applyFill="1" applyBorder="1"/>
    <xf numFmtId="0" fontId="3" fillId="7" borderId="4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4" fontId="3" fillId="7" borderId="2" xfId="0" applyNumberFormat="1" applyFont="1" applyFill="1" applyBorder="1"/>
    <xf numFmtId="43" fontId="3" fillId="7" borderId="4" xfId="0" applyNumberFormat="1" applyFont="1" applyFill="1" applyBorder="1"/>
    <xf numFmtId="0" fontId="3" fillId="7" borderId="2" xfId="0" applyFont="1" applyFill="1" applyBorder="1"/>
    <xf numFmtId="0" fontId="3" fillId="7" borderId="9" xfId="0" applyFont="1" applyFill="1" applyBorder="1" applyAlignment="1">
      <alignment wrapText="1"/>
    </xf>
    <xf numFmtId="0" fontId="3" fillId="7" borderId="10" xfId="0" applyFont="1" applyFill="1" applyBorder="1" applyAlignment="1">
      <alignment horizontal="center"/>
    </xf>
    <xf numFmtId="0" fontId="3" fillId="7" borderId="11" xfId="0" applyFont="1" applyFill="1" applyBorder="1" applyAlignment="1">
      <alignment horizontal="center"/>
    </xf>
    <xf numFmtId="166" fontId="3" fillId="7" borderId="9" xfId="1" applyFont="1" applyFill="1" applyBorder="1"/>
    <xf numFmtId="43" fontId="3" fillId="7" borderId="10" xfId="0" applyNumberFormat="1" applyFont="1" applyFill="1" applyBorder="1"/>
    <xf numFmtId="43" fontId="3" fillId="7" borderId="2" xfId="0" applyNumberFormat="1" applyFont="1" applyFill="1" applyBorder="1"/>
    <xf numFmtId="166" fontId="47" fillId="0" borderId="0" xfId="1" applyFont="1" applyBorder="1"/>
    <xf numFmtId="4" fontId="3" fillId="0" borderId="0" xfId="0" applyNumberFormat="1" applyFont="1" applyAlignment="1">
      <alignment horizontal="left"/>
    </xf>
    <xf numFmtId="0" fontId="15" fillId="4" borderId="0" xfId="0" applyFont="1" applyFill="1" applyAlignment="1">
      <alignment horizontal="center"/>
    </xf>
    <xf numFmtId="0" fontId="15" fillId="4" borderId="0" xfId="0" applyFont="1" applyFill="1" applyAlignment="1">
      <alignment horizontal="center" wrapText="1"/>
    </xf>
    <xf numFmtId="0" fontId="15" fillId="4" borderId="0" xfId="0" applyFont="1" applyFill="1" applyAlignment="1">
      <alignment horizontal="center" vertical="center"/>
    </xf>
    <xf numFmtId="0" fontId="23" fillId="4" borderId="0" xfId="0" applyFont="1" applyFill="1"/>
    <xf numFmtId="0" fontId="23" fillId="4" borderId="0" xfId="0" applyFont="1" applyFill="1" applyAlignment="1">
      <alignment wrapText="1"/>
    </xf>
    <xf numFmtId="0" fontId="23" fillId="4" borderId="0" xfId="0" applyFont="1" applyFill="1" applyAlignment="1">
      <alignment horizontal="center" vertical="center"/>
    </xf>
    <xf numFmtId="0" fontId="22" fillId="4" borderId="0" xfId="0" applyFont="1" applyFill="1"/>
    <xf numFmtId="0" fontId="23" fillId="4" borderId="0" xfId="0" applyFont="1" applyFill="1" applyAlignment="1">
      <alignment horizontal="left"/>
    </xf>
    <xf numFmtId="0" fontId="23" fillId="4" borderId="0" xfId="0" applyFont="1" applyFill="1" applyAlignment="1">
      <alignment horizontal="left" wrapText="1"/>
    </xf>
    <xf numFmtId="0" fontId="23" fillId="4" borderId="0" xfId="0" applyFont="1" applyFill="1" applyAlignment="1">
      <alignment horizontal="left" vertical="top" wrapText="1"/>
    </xf>
    <xf numFmtId="0" fontId="41" fillId="4" borderId="0" xfId="0" applyFont="1" applyFill="1" applyAlignment="1">
      <alignment horizontal="left" vertical="top" wrapText="1"/>
    </xf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wrapText="1"/>
    </xf>
    <xf numFmtId="0" fontId="2" fillId="4" borderId="0" xfId="0" applyFont="1" applyFill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66" fontId="15" fillId="4" borderId="2" xfId="1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2" xfId="2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 vertical="center"/>
    </xf>
    <xf numFmtId="166" fontId="15" fillId="4" borderId="2" xfId="1" applyFont="1" applyFill="1" applyBorder="1" applyAlignment="1">
      <alignment horizontal="left" vertical="center" wrapText="1"/>
    </xf>
    <xf numFmtId="166" fontId="3" fillId="4" borderId="4" xfId="1" applyFont="1" applyFill="1" applyBorder="1" applyAlignment="1">
      <alignment horizontal="center" vertical="center"/>
    </xf>
    <xf numFmtId="166" fontId="3" fillId="4" borderId="7" xfId="1" applyFont="1" applyFill="1" applyBorder="1" applyAlignment="1">
      <alignment horizontal="center" vertical="center"/>
    </xf>
    <xf numFmtId="166" fontId="3" fillId="4" borderId="2" xfId="1" applyFont="1" applyFill="1" applyBorder="1" applyAlignment="1">
      <alignment horizontal="left" vertical="center"/>
    </xf>
    <xf numFmtId="166" fontId="3" fillId="4" borderId="4" xfId="1" applyFont="1" applyFill="1" applyBorder="1" applyAlignment="1">
      <alignment horizontal="left" vertical="center"/>
    </xf>
    <xf numFmtId="0" fontId="12" fillId="4" borderId="4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/>
    </xf>
    <xf numFmtId="166" fontId="3" fillId="4" borderId="2" xfId="1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166" fontId="3" fillId="4" borderId="38" xfId="1" applyFont="1" applyFill="1" applyBorder="1" applyAlignment="1">
      <alignment horizontal="left" vertical="center"/>
    </xf>
    <xf numFmtId="0" fontId="15" fillId="4" borderId="3" xfId="0" quotePrefix="1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166" fontId="3" fillId="4" borderId="6" xfId="1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 wrapText="1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166" fontId="3" fillId="4" borderId="9" xfId="1" applyFont="1" applyFill="1" applyBorder="1" applyAlignment="1">
      <alignment horizontal="center" vertical="center"/>
    </xf>
    <xf numFmtId="166" fontId="3" fillId="4" borderId="10" xfId="1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center"/>
    </xf>
    <xf numFmtId="166" fontId="3" fillId="4" borderId="9" xfId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/>
    </xf>
    <xf numFmtId="166" fontId="3" fillId="4" borderId="11" xfId="1" applyFont="1" applyFill="1" applyBorder="1" applyAlignment="1">
      <alignment horizontal="center" vertical="center"/>
    </xf>
    <xf numFmtId="166" fontId="3" fillId="4" borderId="9" xfId="1" applyFont="1" applyFill="1" applyBorder="1" applyAlignment="1">
      <alignment horizontal="left" vertical="center"/>
    </xf>
    <xf numFmtId="0" fontId="3" fillId="4" borderId="0" xfId="0" applyFont="1" applyFill="1"/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3" fillId="4" borderId="0" xfId="0" applyFont="1" applyFill="1" applyAlignment="1">
      <alignment wrapText="1"/>
    </xf>
    <xf numFmtId="0" fontId="2" fillId="4" borderId="2" xfId="0" applyFont="1" applyFill="1" applyBorder="1" applyAlignment="1">
      <alignment horizontal="left" vertical="center" wrapText="1"/>
    </xf>
    <xf numFmtId="166" fontId="3" fillId="4" borderId="2" xfId="1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/>
    </xf>
    <xf numFmtId="0" fontId="39" fillId="4" borderId="0" xfId="0" applyFont="1" applyFill="1" applyAlignment="1">
      <alignment horizontal="center"/>
    </xf>
    <xf numFmtId="0" fontId="39" fillId="4" borderId="0" xfId="0" applyFont="1" applyFill="1" applyAlignment="1">
      <alignment horizontal="center" wrapText="1"/>
    </xf>
    <xf numFmtId="0" fontId="7" fillId="4" borderId="0" xfId="0" applyFont="1" applyFill="1"/>
    <xf numFmtId="0" fontId="7" fillId="4" borderId="0" xfId="0" applyFont="1" applyFill="1" applyAlignment="1">
      <alignment wrapText="1"/>
    </xf>
    <xf numFmtId="0" fontId="7" fillId="4" borderId="0" xfId="0" applyFont="1" applyFill="1" applyAlignment="1">
      <alignment horizontal="left" vertical="center"/>
    </xf>
    <xf numFmtId="0" fontId="7" fillId="4" borderId="0" xfId="0" applyFont="1" applyFill="1" applyAlignment="1">
      <alignment vertical="center" wrapText="1"/>
    </xf>
    <xf numFmtId="0" fontId="7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wrapText="1"/>
    </xf>
    <xf numFmtId="0" fontId="28" fillId="4" borderId="2" xfId="0" applyFont="1" applyFill="1" applyBorder="1" applyAlignment="1">
      <alignment vertical="center"/>
    </xf>
    <xf numFmtId="0" fontId="29" fillId="4" borderId="4" xfId="0" applyFont="1" applyFill="1" applyBorder="1" applyAlignment="1">
      <alignment vertical="center" wrapText="1"/>
    </xf>
    <xf numFmtId="0" fontId="16" fillId="4" borderId="10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wrapText="1"/>
    </xf>
    <xf numFmtId="0" fontId="15" fillId="4" borderId="2" xfId="0" applyFont="1" applyFill="1" applyBorder="1" applyAlignment="1">
      <alignment wrapText="1"/>
    </xf>
    <xf numFmtId="0" fontId="2" fillId="4" borderId="2" xfId="0" applyFont="1" applyFill="1" applyBorder="1"/>
    <xf numFmtId="43" fontId="2" fillId="4" borderId="4" xfId="0" applyNumberFormat="1" applyFont="1" applyFill="1" applyBorder="1"/>
    <xf numFmtId="0" fontId="16" fillId="4" borderId="4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right"/>
    </xf>
    <xf numFmtId="0" fontId="11" fillId="4" borderId="2" xfId="0" applyFont="1" applyFill="1" applyBorder="1" applyAlignment="1">
      <alignment horizontal="right"/>
    </xf>
    <xf numFmtId="0" fontId="16" fillId="4" borderId="4" xfId="0" applyFont="1" applyFill="1" applyBorder="1" applyAlignment="1">
      <alignment vertical="center" wrapText="1"/>
    </xf>
    <xf numFmtId="0" fontId="16" fillId="4" borderId="6" xfId="0" applyFont="1" applyFill="1" applyBorder="1" applyAlignment="1">
      <alignment horizontal="center" vertical="center"/>
    </xf>
    <xf numFmtId="4" fontId="16" fillId="4" borderId="7" xfId="0" applyNumberFormat="1" applyFont="1" applyFill="1" applyBorder="1" applyAlignment="1">
      <alignment horizontal="right" vertical="center"/>
    </xf>
    <xf numFmtId="4" fontId="16" fillId="4" borderId="2" xfId="0" applyNumberFormat="1" applyFont="1" applyFill="1" applyBorder="1" applyAlignment="1">
      <alignment horizontal="right" vertical="center"/>
    </xf>
    <xf numFmtId="0" fontId="16" fillId="4" borderId="8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0" fontId="16" fillId="4" borderId="18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vertical="center"/>
    </xf>
    <xf numFmtId="0" fontId="3" fillId="4" borderId="7" xfId="0" applyFont="1" applyFill="1" applyBorder="1" applyAlignment="1">
      <alignment horizontal="center" vertical="center" wrapText="1"/>
    </xf>
    <xf numFmtId="4" fontId="3" fillId="4" borderId="2" xfId="0" applyNumberFormat="1" applyFont="1" applyFill="1" applyBorder="1" applyAlignment="1">
      <alignment horizontal="right" vertical="center"/>
    </xf>
    <xf numFmtId="43" fontId="2" fillId="4" borderId="4" xfId="0" applyNumberFormat="1" applyFont="1" applyFill="1" applyBorder="1" applyAlignment="1">
      <alignment horizontal="right" vertical="center"/>
    </xf>
    <xf numFmtId="0" fontId="29" fillId="4" borderId="4" xfId="0" applyFont="1" applyFill="1" applyBorder="1" applyAlignment="1">
      <alignment vertical="center"/>
    </xf>
    <xf numFmtId="0" fontId="16" fillId="4" borderId="2" xfId="0" applyFont="1" applyFill="1" applyBorder="1" applyAlignment="1">
      <alignment vertical="center"/>
    </xf>
    <xf numFmtId="4" fontId="45" fillId="4" borderId="2" xfId="0" applyNumberFormat="1" applyFont="1" applyFill="1" applyBorder="1"/>
    <xf numFmtId="0" fontId="25" fillId="4" borderId="0" xfId="0" applyFont="1" applyFill="1" applyAlignment="1">
      <alignment wrapText="1"/>
    </xf>
    <xf numFmtId="0" fontId="23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/>
    </xf>
    <xf numFmtId="0" fontId="3" fillId="4" borderId="0" xfId="0" applyFont="1" applyFill="1" applyAlignment="1">
      <alignment horizontal="left" vertical="center" wrapText="1"/>
    </xf>
    <xf numFmtId="166" fontId="3" fillId="4" borderId="18" xfId="1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/>
    </xf>
    <xf numFmtId="168" fontId="49" fillId="4" borderId="47" xfId="6" applyNumberFormat="1" applyFont="1" applyFill="1" applyBorder="1" applyAlignment="1">
      <alignment horizontal="left" vertical="top"/>
    </xf>
    <xf numFmtId="168" fontId="49" fillId="4" borderId="47" xfId="6" applyNumberFormat="1" applyFont="1" applyFill="1" applyBorder="1" applyAlignment="1">
      <alignment horizontal="center" vertical="center"/>
    </xf>
    <xf numFmtId="166" fontId="3" fillId="4" borderId="3" xfId="1" applyFont="1" applyFill="1" applyBorder="1" applyAlignment="1">
      <alignment horizontal="center" vertical="center"/>
    </xf>
    <xf numFmtId="168" fontId="49" fillId="4" borderId="47" xfId="7" applyNumberFormat="1" applyFont="1" applyFill="1" applyBorder="1" applyAlignment="1">
      <alignment horizontal="left" vertical="top"/>
    </xf>
    <xf numFmtId="0" fontId="2" fillId="4" borderId="9" xfId="0" applyFont="1" applyFill="1" applyBorder="1" applyAlignment="1">
      <alignment horizontal="left" vertical="center"/>
    </xf>
    <xf numFmtId="0" fontId="2" fillId="4" borderId="9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/>
    </xf>
    <xf numFmtId="168" fontId="49" fillId="4" borderId="16" xfId="6" applyNumberFormat="1" applyFont="1" applyFill="1" applyBorder="1" applyAlignment="1">
      <alignment horizontal="left" vertical="top"/>
    </xf>
    <xf numFmtId="0" fontId="3" fillId="4" borderId="18" xfId="0" applyFont="1" applyFill="1" applyBorder="1" applyAlignment="1">
      <alignment horizontal="center" vertical="center"/>
    </xf>
    <xf numFmtId="166" fontId="3" fillId="4" borderId="16" xfId="1" applyFont="1" applyFill="1" applyBorder="1" applyAlignment="1">
      <alignment horizontal="center" vertical="center"/>
    </xf>
    <xf numFmtId="0" fontId="28" fillId="4" borderId="0" xfId="0" applyFont="1" applyFill="1" applyAlignment="1">
      <alignment horizontal="center"/>
    </xf>
    <xf numFmtId="0" fontId="28" fillId="4" borderId="0" xfId="0" applyFont="1" applyFill="1" applyAlignment="1">
      <alignment horizontal="center" wrapText="1"/>
    </xf>
    <xf numFmtId="0" fontId="16" fillId="4" borderId="0" xfId="0" applyFont="1" applyFill="1" applyAlignment="1">
      <alignment horizontal="center"/>
    </xf>
    <xf numFmtId="0" fontId="39" fillId="4" borderId="0" xfId="0" applyFont="1" applyFill="1" applyAlignment="1">
      <alignment vertical="center"/>
    </xf>
    <xf numFmtId="0" fontId="39" fillId="4" borderId="0" xfId="0" applyFont="1" applyFill="1" applyAlignment="1">
      <alignment vertical="center" wrapText="1"/>
    </xf>
    <xf numFmtId="43" fontId="6" fillId="4" borderId="0" xfId="2" applyFont="1" applyFill="1"/>
    <xf numFmtId="0" fontId="12" fillId="4" borderId="0" xfId="0" applyFont="1" applyFill="1" applyAlignment="1">
      <alignment wrapText="1"/>
    </xf>
    <xf numFmtId="43" fontId="6" fillId="4" borderId="0" xfId="2" applyFont="1" applyFill="1" applyAlignment="1">
      <alignment vertical="center" wrapText="1"/>
    </xf>
    <xf numFmtId="0" fontId="6" fillId="4" borderId="0" xfId="0" applyFont="1" applyFill="1"/>
    <xf numFmtId="0" fontId="6" fillId="4" borderId="0" xfId="0" applyFont="1" applyFill="1" applyAlignment="1">
      <alignment wrapText="1"/>
    </xf>
    <xf numFmtId="0" fontId="12" fillId="4" borderId="0" xfId="0" applyFont="1" applyFill="1"/>
    <xf numFmtId="0" fontId="6" fillId="4" borderId="2" xfId="0" applyFont="1" applyFill="1" applyBorder="1" applyAlignment="1">
      <alignment horizontal="center" vertical="center" wrapText="1"/>
    </xf>
    <xf numFmtId="43" fontId="6" fillId="4" borderId="2" xfId="2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2" xfId="2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wrapText="1"/>
    </xf>
    <xf numFmtId="0" fontId="10" fillId="4" borderId="2" xfId="0" applyFont="1" applyFill="1" applyBorder="1" applyAlignment="1">
      <alignment horizontal="left" vertical="center"/>
    </xf>
    <xf numFmtId="0" fontId="24" fillId="4" borderId="2" xfId="0" quotePrefix="1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wrapText="1"/>
    </xf>
    <xf numFmtId="0" fontId="24" fillId="4" borderId="16" xfId="0" applyFont="1" applyFill="1" applyBorder="1" applyAlignment="1">
      <alignment horizontal="left" vertical="center" wrapText="1"/>
    </xf>
    <xf numFmtId="0" fontId="24" fillId="4" borderId="2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right" vertical="center"/>
    </xf>
    <xf numFmtId="43" fontId="8" fillId="4" borderId="2" xfId="0" applyNumberFormat="1" applyFont="1" applyFill="1" applyBorder="1" applyAlignment="1">
      <alignment horizontal="right" vertical="center"/>
    </xf>
    <xf numFmtId="0" fontId="12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/>
    </xf>
    <xf numFmtId="4" fontId="8" fillId="4" borderId="2" xfId="0" applyNumberFormat="1" applyFont="1" applyFill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 wrapText="1"/>
    </xf>
    <xf numFmtId="0" fontId="8" fillId="4" borderId="2" xfId="0" quotePrefix="1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vertical="center"/>
    </xf>
    <xf numFmtId="43" fontId="26" fillId="4" borderId="2" xfId="0" applyNumberFormat="1" applyFont="1" applyFill="1" applyBorder="1" applyAlignment="1">
      <alignment vertical="center"/>
    </xf>
    <xf numFmtId="0" fontId="12" fillId="4" borderId="2" xfId="0" applyFont="1" applyFill="1" applyBorder="1" applyAlignment="1">
      <alignment vertical="center" wrapText="1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166" fontId="8" fillId="4" borderId="2" xfId="1" applyFont="1" applyFill="1" applyBorder="1" applyAlignment="1">
      <alignment horizontal="right"/>
    </xf>
    <xf numFmtId="0" fontId="8" fillId="4" borderId="3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right" vertical="center" wrapText="1"/>
    </xf>
    <xf numFmtId="0" fontId="8" fillId="4" borderId="2" xfId="0" applyFont="1" applyFill="1" applyBorder="1"/>
    <xf numFmtId="0" fontId="8" fillId="4" borderId="3" xfId="0" applyFont="1" applyFill="1" applyBorder="1"/>
    <xf numFmtId="0" fontId="10" fillId="4" borderId="3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center" vertical="center"/>
    </xf>
    <xf numFmtId="4" fontId="8" fillId="4" borderId="2" xfId="0" applyNumberFormat="1" applyFont="1" applyFill="1" applyBorder="1" applyAlignment="1">
      <alignment horizontal="right" vertical="center" wrapText="1"/>
    </xf>
    <xf numFmtId="0" fontId="8" fillId="4" borderId="3" xfId="0" applyFont="1" applyFill="1" applyBorder="1" applyAlignment="1">
      <alignment horizontal="left"/>
    </xf>
    <xf numFmtId="0" fontId="8" fillId="4" borderId="2" xfId="0" quotePrefix="1" applyFont="1" applyFill="1" applyBorder="1" applyAlignment="1">
      <alignment wrapText="1"/>
    </xf>
    <xf numFmtId="4" fontId="8" fillId="4" borderId="2" xfId="0" applyNumberFormat="1" applyFont="1" applyFill="1" applyBorder="1" applyAlignment="1">
      <alignment horizontal="center" vertical="center"/>
    </xf>
    <xf numFmtId="43" fontId="8" fillId="4" borderId="2" xfId="0" applyNumberFormat="1" applyFont="1" applyFill="1" applyBorder="1" applyAlignment="1">
      <alignment horizontal="center" vertical="center"/>
    </xf>
    <xf numFmtId="0" fontId="6" fillId="4" borderId="0" xfId="0" applyFont="1" applyFill="1" applyAlignment="1">
      <alignment horizontal="left"/>
    </xf>
    <xf numFmtId="0" fontId="2" fillId="4" borderId="0" xfId="0" applyFont="1" applyFill="1" applyAlignment="1">
      <alignment horizontal="center"/>
    </xf>
    <xf numFmtId="0" fontId="2" fillId="4" borderId="0" xfId="0" applyFont="1" applyFill="1"/>
    <xf numFmtId="0" fontId="3" fillId="4" borderId="2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center"/>
    </xf>
    <xf numFmtId="166" fontId="6" fillId="4" borderId="0" xfId="1" applyFont="1" applyFill="1"/>
    <xf numFmtId="0" fontId="39" fillId="4" borderId="0" xfId="0" applyFont="1" applyFill="1"/>
    <xf numFmtId="0" fontId="39" fillId="4" borderId="0" xfId="0" applyFont="1" applyFill="1" applyAlignment="1">
      <alignment vertical="top"/>
    </xf>
    <xf numFmtId="0" fontId="39" fillId="4" borderId="0" xfId="0" applyFont="1" applyFill="1" applyAlignment="1">
      <alignment vertical="top" wrapText="1"/>
    </xf>
    <xf numFmtId="43" fontId="6" fillId="4" borderId="0" xfId="2" applyFont="1" applyFill="1" applyAlignment="1">
      <alignment vertical="center"/>
    </xf>
    <xf numFmtId="0" fontId="39" fillId="4" borderId="0" xfId="0" applyFont="1" applyFill="1" applyAlignment="1">
      <alignment horizontal="left"/>
    </xf>
    <xf numFmtId="166" fontId="39" fillId="4" borderId="0" xfId="1" applyFont="1" applyFill="1"/>
    <xf numFmtId="0" fontId="6" fillId="4" borderId="2" xfId="0" applyFont="1" applyFill="1" applyBorder="1" applyAlignment="1">
      <alignment horizontal="center" vertical="top" wrapText="1"/>
    </xf>
    <xf numFmtId="0" fontId="6" fillId="4" borderId="4" xfId="0" applyFont="1" applyFill="1" applyBorder="1" applyAlignment="1">
      <alignment horizontal="center" vertical="top" wrapText="1"/>
    </xf>
    <xf numFmtId="166" fontId="6" fillId="4" borderId="2" xfId="1" applyFont="1" applyFill="1" applyBorder="1" applyAlignment="1">
      <alignment horizontal="center" vertical="top" wrapText="1"/>
    </xf>
    <xf numFmtId="0" fontId="39" fillId="4" borderId="2" xfId="0" applyFont="1" applyFill="1" applyBorder="1" applyAlignment="1">
      <alignment horizontal="center" vertical="top"/>
    </xf>
    <xf numFmtId="0" fontId="6" fillId="4" borderId="2" xfId="0" applyFont="1" applyFill="1" applyBorder="1" applyAlignment="1">
      <alignment horizontal="center" vertical="top"/>
    </xf>
    <xf numFmtId="0" fontId="6" fillId="4" borderId="4" xfId="0" applyFont="1" applyFill="1" applyBorder="1" applyAlignment="1">
      <alignment horizontal="center" vertical="top"/>
    </xf>
    <xf numFmtId="0" fontId="6" fillId="4" borderId="7" xfId="0" applyFont="1" applyFill="1" applyBorder="1" applyAlignment="1">
      <alignment horizontal="center" vertical="top"/>
    </xf>
    <xf numFmtId="0" fontId="6" fillId="4" borderId="2" xfId="1" applyNumberFormat="1" applyFont="1" applyFill="1" applyBorder="1" applyAlignment="1">
      <alignment horizontal="center" vertical="top"/>
    </xf>
    <xf numFmtId="0" fontId="6" fillId="4" borderId="2" xfId="0" applyFont="1" applyFill="1" applyBorder="1" applyAlignment="1">
      <alignment vertical="top"/>
    </xf>
    <xf numFmtId="0" fontId="40" fillId="4" borderId="2" xfId="0" applyFont="1" applyFill="1" applyBorder="1" applyAlignment="1">
      <alignment vertical="top" wrapText="1"/>
    </xf>
    <xf numFmtId="4" fontId="6" fillId="4" borderId="2" xfId="0" applyNumberFormat="1" applyFont="1" applyFill="1" applyBorder="1" applyAlignment="1">
      <alignment vertical="top"/>
    </xf>
    <xf numFmtId="43" fontId="6" fillId="4" borderId="4" xfId="0" applyNumberFormat="1" applyFont="1" applyFill="1" applyBorder="1" applyAlignment="1">
      <alignment vertical="top"/>
    </xf>
    <xf numFmtId="0" fontId="6" fillId="4" borderId="2" xfId="0" applyFont="1" applyFill="1" applyBorder="1" applyAlignment="1">
      <alignment horizontal="left" vertical="top"/>
    </xf>
    <xf numFmtId="0" fontId="6" fillId="4" borderId="2" xfId="0" applyFont="1" applyFill="1" applyBorder="1" applyAlignment="1">
      <alignment vertical="top" wrapText="1"/>
    </xf>
    <xf numFmtId="0" fontId="6" fillId="4" borderId="2" xfId="0" applyFont="1" applyFill="1" applyBorder="1"/>
    <xf numFmtId="0" fontId="6" fillId="4" borderId="2" xfId="0" applyFont="1" applyFill="1" applyBorder="1" applyAlignment="1">
      <alignment wrapText="1"/>
    </xf>
    <xf numFmtId="0" fontId="6" fillId="4" borderId="2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left"/>
    </xf>
    <xf numFmtId="166" fontId="6" fillId="4" borderId="2" xfId="1" applyFont="1" applyFill="1" applyBorder="1"/>
    <xf numFmtId="43" fontId="39" fillId="4" borderId="4" xfId="0" applyNumberFormat="1" applyFont="1" applyFill="1" applyBorder="1"/>
    <xf numFmtId="166" fontId="6" fillId="4" borderId="2" xfId="1" applyFont="1" applyFill="1" applyBorder="1" applyAlignment="1">
      <alignment vertical="top"/>
    </xf>
    <xf numFmtId="3" fontId="6" fillId="4" borderId="2" xfId="0" applyNumberFormat="1" applyFont="1" applyFill="1" applyBorder="1" applyAlignment="1">
      <alignment horizontal="center" vertical="top"/>
    </xf>
    <xf numFmtId="43" fontId="6" fillId="4" borderId="2" xfId="0" applyNumberFormat="1" applyFont="1" applyFill="1" applyBorder="1" applyAlignment="1">
      <alignment vertical="top"/>
    </xf>
    <xf numFmtId="4" fontId="6" fillId="4" borderId="2" xfId="0" applyNumberFormat="1" applyFont="1" applyFill="1" applyBorder="1" applyAlignment="1">
      <alignment horizontal="center" vertical="top"/>
    </xf>
    <xf numFmtId="167" fontId="6" fillId="4" borderId="2" xfId="1" applyNumberFormat="1" applyFont="1" applyFill="1" applyBorder="1" applyAlignment="1">
      <alignment horizontal="center" vertical="top"/>
    </xf>
    <xf numFmtId="0" fontId="6" fillId="4" borderId="4" xfId="0" applyFont="1" applyFill="1" applyBorder="1" applyAlignment="1">
      <alignment vertical="top"/>
    </xf>
    <xf numFmtId="0" fontId="39" fillId="4" borderId="2" xfId="0" applyFont="1" applyFill="1" applyBorder="1" applyAlignment="1">
      <alignment vertical="top"/>
    </xf>
    <xf numFmtId="0" fontId="6" fillId="4" borderId="2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4" borderId="0" xfId="0" applyFont="1" applyFill="1" applyAlignment="1">
      <alignment wrapText="1"/>
    </xf>
    <xf numFmtId="166" fontId="23" fillId="4" borderId="0" xfId="0" applyNumberFormat="1" applyFont="1" applyFill="1" applyAlignment="1">
      <alignment horizontal="left"/>
    </xf>
    <xf numFmtId="0" fontId="2" fillId="4" borderId="2" xfId="0" applyFont="1" applyFill="1" applyBorder="1" applyAlignment="1">
      <alignment vertical="center" wrapText="1"/>
    </xf>
    <xf numFmtId="0" fontId="15" fillId="4" borderId="3" xfId="0" quotePrefix="1" applyFont="1" applyFill="1" applyBorder="1" applyAlignment="1">
      <alignment vertical="center" wrapText="1"/>
    </xf>
    <xf numFmtId="0" fontId="3" fillId="4" borderId="9" xfId="0" applyFont="1" applyFill="1" applyBorder="1" applyAlignment="1">
      <alignment vertical="center" wrapText="1"/>
    </xf>
    <xf numFmtId="0" fontId="3" fillId="4" borderId="53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vertical="center" wrapText="1"/>
    </xf>
    <xf numFmtId="166" fontId="3" fillId="4" borderId="9" xfId="1" applyFont="1" applyFill="1" applyBorder="1" applyAlignment="1">
      <alignment vertical="center" wrapText="1"/>
    </xf>
    <xf numFmtId="0" fontId="23" fillId="4" borderId="0" xfId="0" applyFont="1" applyFill="1" applyAlignment="1">
      <alignment horizontal="left" vertical="top"/>
    </xf>
    <xf numFmtId="166" fontId="3" fillId="4" borderId="41" xfId="1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 wrapText="1"/>
    </xf>
    <xf numFmtId="166" fontId="3" fillId="4" borderId="3" xfId="1" applyFont="1" applyFill="1" applyBorder="1" applyAlignment="1">
      <alignment horizontal="left" vertical="center"/>
    </xf>
    <xf numFmtId="168" fontId="59" fillId="4" borderId="47" xfId="6" applyNumberFormat="1" applyFont="1" applyFill="1" applyBorder="1" applyAlignment="1">
      <alignment horizontal="left" vertical="top"/>
    </xf>
    <xf numFmtId="0" fontId="47" fillId="4" borderId="0" xfId="0" applyFont="1" applyFill="1" applyAlignment="1">
      <alignment horizontal="center"/>
    </xf>
    <xf numFmtId="168" fontId="59" fillId="4" borderId="47" xfId="7" applyNumberFormat="1" applyFont="1" applyFill="1" applyBorder="1" applyAlignment="1">
      <alignment horizontal="left" vertical="top"/>
    </xf>
    <xf numFmtId="43" fontId="49" fillId="4" borderId="2" xfId="6" applyFont="1" applyFill="1" applyBorder="1" applyAlignment="1">
      <alignment horizontal="left" vertical="justify"/>
    </xf>
    <xf numFmtId="166" fontId="3" fillId="4" borderId="48" xfId="1" applyFont="1" applyFill="1" applyBorder="1" applyAlignment="1">
      <alignment horizontal="left" vertical="center"/>
    </xf>
    <xf numFmtId="166" fontId="6" fillId="4" borderId="0" xfId="1" applyFont="1" applyFill="1" applyAlignment="1">
      <alignment horizontal="left"/>
    </xf>
    <xf numFmtId="0" fontId="6" fillId="4" borderId="0" xfId="0" applyFont="1" applyFill="1" applyAlignment="1">
      <alignment horizontal="left" wrapText="1"/>
    </xf>
    <xf numFmtId="0" fontId="6" fillId="4" borderId="0" xfId="0" applyFont="1" applyFill="1" applyAlignment="1">
      <alignment horizontal="left" vertical="center"/>
    </xf>
    <xf numFmtId="0" fontId="6" fillId="4" borderId="0" xfId="0" applyFont="1" applyFill="1" applyAlignment="1">
      <alignment vertical="center" wrapText="1"/>
    </xf>
    <xf numFmtId="0" fontId="6" fillId="4" borderId="0" xfId="0" applyFont="1" applyFill="1" applyAlignment="1">
      <alignment vertical="center"/>
    </xf>
    <xf numFmtId="0" fontId="39" fillId="4" borderId="2" xfId="0" applyFont="1" applyFill="1" applyBorder="1" applyAlignment="1">
      <alignment horizontal="center" vertical="center" wrapText="1"/>
    </xf>
    <xf numFmtId="0" fontId="39" fillId="4" borderId="4" xfId="0" applyFont="1" applyFill="1" applyBorder="1" applyAlignment="1">
      <alignment horizontal="center" vertical="center" wrapText="1"/>
    </xf>
    <xf numFmtId="43" fontId="39" fillId="4" borderId="2" xfId="2" applyFont="1" applyFill="1" applyBorder="1" applyAlignment="1">
      <alignment horizontal="center" vertical="center" wrapText="1"/>
    </xf>
    <xf numFmtId="0" fontId="39" fillId="4" borderId="2" xfId="0" applyFont="1" applyFill="1" applyBorder="1" applyAlignment="1">
      <alignment horizontal="center" vertical="center"/>
    </xf>
    <xf numFmtId="0" fontId="39" fillId="4" borderId="2" xfId="0" applyFont="1" applyFill="1" applyBorder="1" applyAlignment="1">
      <alignment horizontal="center"/>
    </xf>
    <xf numFmtId="0" fontId="39" fillId="4" borderId="4" xfId="0" applyFont="1" applyFill="1" applyBorder="1" applyAlignment="1">
      <alignment horizontal="center" vertical="center"/>
    </xf>
    <xf numFmtId="0" fontId="39" fillId="4" borderId="7" xfId="0" applyFont="1" applyFill="1" applyBorder="1" applyAlignment="1">
      <alignment horizontal="center" vertical="center"/>
    </xf>
    <xf numFmtId="0" fontId="39" fillId="4" borderId="2" xfId="1" applyNumberFormat="1" applyFont="1" applyFill="1" applyBorder="1" applyAlignment="1">
      <alignment horizontal="center" vertical="center"/>
    </xf>
    <xf numFmtId="0" fontId="39" fillId="4" borderId="2" xfId="0" applyFont="1" applyFill="1" applyBorder="1"/>
    <xf numFmtId="0" fontId="6" fillId="4" borderId="4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4" fontId="6" fillId="4" borderId="2" xfId="0" applyNumberFormat="1" applyFont="1" applyFill="1" applyBorder="1"/>
    <xf numFmtId="0" fontId="6" fillId="4" borderId="2" xfId="0" applyFont="1" applyFill="1" applyBorder="1" applyAlignment="1">
      <alignment horizontal="left" wrapText="1"/>
    </xf>
    <xf numFmtId="0" fontId="39" fillId="4" borderId="4" xfId="0" applyFont="1" applyFill="1" applyBorder="1"/>
    <xf numFmtId="43" fontId="39" fillId="4" borderId="2" xfId="0" applyNumberFormat="1" applyFont="1" applyFill="1" applyBorder="1"/>
    <xf numFmtId="43" fontId="39" fillId="4" borderId="2" xfId="0" applyNumberFormat="1" applyFont="1" applyFill="1" applyBorder="1" applyAlignment="1">
      <alignment wrapText="1"/>
    </xf>
    <xf numFmtId="43" fontId="50" fillId="4" borderId="49" xfId="6" applyFont="1" applyFill="1" applyBorder="1" applyAlignment="1">
      <alignment horizontal="left" vertical="center"/>
    </xf>
    <xf numFmtId="166" fontId="15" fillId="4" borderId="0" xfId="1" applyFont="1" applyFill="1" applyBorder="1" applyAlignment="1">
      <alignment horizontal="center" vertical="center" wrapText="1"/>
    </xf>
    <xf numFmtId="166" fontId="3" fillId="4" borderId="0" xfId="1" applyFont="1" applyFill="1" applyBorder="1" applyAlignment="1">
      <alignment horizontal="left" vertical="center"/>
    </xf>
    <xf numFmtId="43" fontId="2" fillId="4" borderId="0" xfId="0" applyNumberFormat="1" applyFont="1" applyFill="1" applyAlignment="1">
      <alignment horizontal="center"/>
    </xf>
    <xf numFmtId="168" fontId="49" fillId="4" borderId="2" xfId="6" applyNumberFormat="1" applyFont="1" applyFill="1" applyBorder="1" applyAlignment="1">
      <alignment horizontal="left" vertical="top"/>
    </xf>
    <xf numFmtId="168" fontId="49" fillId="4" borderId="2" xfId="7" applyNumberFormat="1" applyFont="1" applyFill="1" applyBorder="1" applyAlignment="1">
      <alignment horizontal="left" vertical="top"/>
    </xf>
    <xf numFmtId="168" fontId="49" fillId="4" borderId="50" xfId="7" applyNumberFormat="1" applyFont="1" applyFill="1" applyBorder="1" applyAlignment="1">
      <alignment horizontal="left" vertical="top"/>
    </xf>
    <xf numFmtId="43" fontId="50" fillId="4" borderId="49" xfId="6" applyFont="1" applyFill="1" applyBorder="1" applyAlignment="1">
      <alignment horizontal="center" vertical="center"/>
    </xf>
    <xf numFmtId="4" fontId="3" fillId="0" borderId="0" xfId="0" applyNumberFormat="1" applyFont="1" applyAlignment="1">
      <alignment wrapText="1"/>
    </xf>
    <xf numFmtId="43" fontId="6" fillId="4" borderId="4" xfId="0" applyNumberFormat="1" applyFont="1" applyFill="1" applyBorder="1"/>
    <xf numFmtId="0" fontId="6" fillId="4" borderId="9" xfId="0" applyFont="1" applyFill="1" applyBorder="1" applyAlignment="1">
      <alignment wrapText="1"/>
    </xf>
    <xf numFmtId="0" fontId="6" fillId="4" borderId="10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4" fontId="6" fillId="4" borderId="9" xfId="0" applyNumberFormat="1" applyFont="1" applyFill="1" applyBorder="1"/>
    <xf numFmtId="43" fontId="39" fillId="4" borderId="10" xfId="0" applyNumberFormat="1" applyFont="1" applyFill="1" applyBorder="1"/>
    <xf numFmtId="0" fontId="39" fillId="4" borderId="9" xfId="0" applyFont="1" applyFill="1" applyBorder="1" applyAlignment="1">
      <alignment wrapText="1"/>
    </xf>
    <xf numFmtId="0" fontId="39" fillId="4" borderId="10" xfId="0" applyFont="1" applyFill="1" applyBorder="1" applyAlignment="1">
      <alignment horizontal="center"/>
    </xf>
    <xf numFmtId="0" fontId="39" fillId="4" borderId="11" xfId="0" applyFont="1" applyFill="1" applyBorder="1" applyAlignment="1">
      <alignment horizontal="center"/>
    </xf>
    <xf numFmtId="166" fontId="39" fillId="4" borderId="9" xfId="1" applyFont="1" applyFill="1" applyBorder="1"/>
    <xf numFmtId="0" fontId="39" fillId="4" borderId="2" xfId="0" applyFont="1" applyFill="1" applyBorder="1" applyAlignment="1">
      <alignment wrapText="1"/>
    </xf>
    <xf numFmtId="166" fontId="3" fillId="0" borderId="0" xfId="1" applyFont="1" applyAlignment="1">
      <alignment wrapText="1"/>
    </xf>
    <xf numFmtId="0" fontId="15" fillId="0" borderId="2" xfId="0" applyFont="1" applyBorder="1" applyAlignment="1">
      <alignment horizontal="center" wrapText="1"/>
    </xf>
    <xf numFmtId="164" fontId="0" fillId="0" borderId="0" xfId="18" applyFont="1"/>
    <xf numFmtId="166" fontId="0" fillId="4" borderId="0" xfId="0" applyNumberFormat="1" applyFill="1"/>
    <xf numFmtId="164" fontId="0" fillId="0" borderId="0" xfId="0" applyNumberFormat="1"/>
    <xf numFmtId="167" fontId="6" fillId="4" borderId="4" xfId="1" applyNumberFormat="1" applyFont="1" applyFill="1" applyBorder="1" applyAlignment="1">
      <alignment horizontal="center" vertical="top"/>
    </xf>
    <xf numFmtId="43" fontId="3" fillId="0" borderId="0" xfId="0" applyNumberFormat="1" applyFont="1" applyAlignment="1">
      <alignment horizontal="center" vertical="center"/>
    </xf>
    <xf numFmtId="43" fontId="2" fillId="0" borderId="0" xfId="0" applyNumberFormat="1" applyFont="1"/>
    <xf numFmtId="0" fontId="60" fillId="0" borderId="0" xfId="0" applyFont="1"/>
    <xf numFmtId="0" fontId="61" fillId="0" borderId="0" xfId="0" applyFont="1"/>
    <xf numFmtId="166" fontId="61" fillId="0" borderId="0" xfId="1" applyFont="1"/>
    <xf numFmtId="0" fontId="61" fillId="0" borderId="0" xfId="0" applyFont="1" applyAlignment="1">
      <alignment wrapText="1"/>
    </xf>
    <xf numFmtId="0" fontId="62" fillId="0" borderId="2" xfId="0" applyFont="1" applyBorder="1" applyAlignment="1">
      <alignment horizontal="center" vertical="center"/>
    </xf>
    <xf numFmtId="0" fontId="0" fillId="0" borderId="2" xfId="0" quotePrefix="1" applyBorder="1"/>
    <xf numFmtId="0" fontId="0" fillId="4" borderId="2" xfId="0" quotePrefix="1" applyFill="1" applyBorder="1"/>
    <xf numFmtId="0" fontId="28" fillId="2" borderId="0" xfId="0" applyFont="1" applyFill="1" applyAlignment="1">
      <alignment horizontal="center"/>
    </xf>
    <xf numFmtId="0" fontId="28" fillId="2" borderId="0" xfId="0" applyFont="1" applyFill="1" applyAlignment="1">
      <alignment horizontal="center" wrapText="1"/>
    </xf>
    <xf numFmtId="0" fontId="16" fillId="2" borderId="0" xfId="0" applyFont="1" applyFill="1" applyAlignment="1">
      <alignment horizontal="center"/>
    </xf>
    <xf numFmtId="0" fontId="39" fillId="2" borderId="0" xfId="0" applyFont="1" applyFill="1" applyAlignment="1">
      <alignment vertical="center"/>
    </xf>
    <xf numFmtId="0" fontId="39" fillId="2" borderId="0" xfId="0" applyFont="1" applyFill="1" applyAlignment="1">
      <alignment vertical="center" wrapText="1"/>
    </xf>
    <xf numFmtId="43" fontId="6" fillId="2" borderId="0" xfId="2" applyFont="1" applyFill="1"/>
    <xf numFmtId="0" fontId="12" fillId="2" borderId="0" xfId="0" applyFont="1" applyFill="1" applyAlignment="1">
      <alignment wrapText="1"/>
    </xf>
    <xf numFmtId="43" fontId="6" fillId="2" borderId="0" xfId="2" applyFont="1" applyFill="1" applyAlignment="1">
      <alignment vertical="center" wrapText="1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12" fillId="2" borderId="0" xfId="0" applyFont="1" applyFill="1"/>
    <xf numFmtId="0" fontId="6" fillId="2" borderId="2" xfId="0" applyFont="1" applyFill="1" applyBorder="1" applyAlignment="1">
      <alignment horizontal="center" vertical="center" wrapText="1"/>
    </xf>
    <xf numFmtId="43" fontId="6" fillId="2" borderId="2" xfId="2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2" xfId="2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left" vertical="center"/>
    </xf>
    <xf numFmtId="0" fontId="24" fillId="2" borderId="2" xfId="0" quotePrefix="1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wrapText="1"/>
    </xf>
    <xf numFmtId="0" fontId="24" fillId="2" borderId="16" xfId="0" applyFont="1" applyFill="1" applyBorder="1" applyAlignment="1">
      <alignment horizontal="left" vertical="center" wrapText="1"/>
    </xf>
    <xf numFmtId="0" fontId="24" fillId="2" borderId="2" xfId="0" applyFont="1" applyFill="1" applyBorder="1" applyAlignment="1">
      <alignment horizontal="left" vertical="center" wrapText="1"/>
    </xf>
    <xf numFmtId="0" fontId="17" fillId="2" borderId="2" xfId="0" applyFont="1" applyFill="1" applyBorder="1"/>
    <xf numFmtId="0" fontId="21" fillId="2" borderId="2" xfId="0" applyFont="1" applyFill="1" applyBorder="1"/>
    <xf numFmtId="0" fontId="7" fillId="2" borderId="4" xfId="0" applyFont="1" applyFill="1" applyBorder="1"/>
    <xf numFmtId="0" fontId="7" fillId="2" borderId="7" xfId="0" applyFont="1" applyFill="1" applyBorder="1"/>
    <xf numFmtId="166" fontId="7" fillId="2" borderId="2" xfId="16" applyFont="1" applyFill="1" applyBorder="1"/>
    <xf numFmtId="0" fontId="12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right" vertical="center"/>
    </xf>
    <xf numFmtId="43" fontId="8" fillId="2" borderId="2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/>
    </xf>
    <xf numFmtId="4" fontId="8" fillId="2" borderId="2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8" fillId="2" borderId="2" xfId="0" quotePrefix="1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vertical="center"/>
    </xf>
    <xf numFmtId="43" fontId="26" fillId="2" borderId="2" xfId="0" applyNumberFormat="1" applyFont="1" applyFill="1" applyBorder="1" applyAlignment="1">
      <alignment vertical="center"/>
    </xf>
    <xf numFmtId="0" fontId="12" fillId="2" borderId="2" xfId="0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left" wrapText="1"/>
    </xf>
    <xf numFmtId="166" fontId="0" fillId="4" borderId="2" xfId="1" applyFont="1" applyFill="1" applyBorder="1" applyAlignment="1">
      <alignment wrapText="1"/>
    </xf>
    <xf numFmtId="166" fontId="0" fillId="0" borderId="2" xfId="1" applyFont="1" applyBorder="1" applyAlignment="1">
      <alignment vertical="center"/>
    </xf>
    <xf numFmtId="43" fontId="0" fillId="0" borderId="2" xfId="0" applyNumberFormat="1" applyBorder="1" applyAlignment="1">
      <alignment wrapText="1"/>
    </xf>
    <xf numFmtId="0" fontId="0" fillId="8" borderId="2" xfId="0" applyFill="1" applyBorder="1"/>
    <xf numFmtId="0" fontId="0" fillId="8" borderId="2" xfId="0" applyFill="1" applyBorder="1" applyAlignment="1">
      <alignment wrapText="1"/>
    </xf>
    <xf numFmtId="166" fontId="0" fillId="8" borderId="2" xfId="1" applyFont="1" applyFill="1" applyBorder="1"/>
    <xf numFmtId="0" fontId="0" fillId="8" borderId="2" xfId="0" quotePrefix="1" applyFill="1" applyBorder="1"/>
    <xf numFmtId="0" fontId="3" fillId="3" borderId="7" xfId="0" applyFont="1" applyFill="1" applyBorder="1" applyAlignment="1">
      <alignment horizontal="center" vertical="center"/>
    </xf>
    <xf numFmtId="0" fontId="0" fillId="4" borderId="2" xfId="0" quotePrefix="1" applyFill="1" applyBorder="1" applyAlignment="1">
      <alignment wrapText="1"/>
    </xf>
    <xf numFmtId="0" fontId="15" fillId="3" borderId="2" xfId="0" applyFont="1" applyFill="1" applyBorder="1" applyAlignment="1">
      <alignment horizontal="left" vertical="center"/>
    </xf>
    <xf numFmtId="0" fontId="0" fillId="8" borderId="9" xfId="0" applyFill="1" applyBorder="1"/>
    <xf numFmtId="166" fontId="0" fillId="8" borderId="9" xfId="1" applyFont="1" applyFill="1" applyBorder="1"/>
    <xf numFmtId="166" fontId="0" fillId="0" borderId="0" xfId="1" applyFont="1" applyBorder="1"/>
    <xf numFmtId="0" fontId="0" fillId="8" borderId="4" xfId="0" applyFill="1" applyBorder="1"/>
    <xf numFmtId="0" fontId="0" fillId="0" borderId="2" xfId="0" applyBorder="1" applyAlignment="1">
      <alignment horizontal="center" wrapText="1"/>
    </xf>
    <xf numFmtId="9" fontId="0" fillId="0" borderId="2" xfId="20" applyFont="1" applyBorder="1"/>
    <xf numFmtId="10" fontId="0" fillId="0" borderId="2" xfId="20" applyNumberFormat="1" applyFont="1" applyBorder="1"/>
    <xf numFmtId="10" fontId="0" fillId="0" borderId="2" xfId="0" applyNumberFormat="1" applyBorder="1"/>
    <xf numFmtId="0" fontId="0" fillId="0" borderId="16" xfId="0" applyBorder="1" applyAlignment="1">
      <alignment horizontal="center"/>
    </xf>
    <xf numFmtId="9" fontId="0" fillId="0" borderId="0" xfId="20" applyFont="1"/>
    <xf numFmtId="0" fontId="3" fillId="0" borderId="3" xfId="0" applyFont="1" applyBorder="1" applyAlignment="1">
      <alignment horizontal="center"/>
    </xf>
    <xf numFmtId="168" fontId="0" fillId="0" borderId="0" xfId="0" applyNumberFormat="1"/>
    <xf numFmtId="0" fontId="3" fillId="0" borderId="15" xfId="0" applyFont="1" applyBorder="1" applyAlignment="1">
      <alignment horizontal="center" vertical="center"/>
    </xf>
    <xf numFmtId="166" fontId="3" fillId="0" borderId="15" xfId="1" applyFont="1" applyFill="1" applyBorder="1" applyAlignment="1">
      <alignment horizontal="left" vertical="center"/>
    </xf>
    <xf numFmtId="168" fontId="56" fillId="0" borderId="2" xfId="6" applyNumberFormat="1" applyFont="1" applyBorder="1" applyAlignment="1">
      <alignment horizontal="left" vertical="top"/>
    </xf>
    <xf numFmtId="168" fontId="57" fillId="0" borderId="2" xfId="6" applyNumberFormat="1" applyFont="1" applyBorder="1" applyAlignment="1">
      <alignment horizontal="left" vertical="top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168" fontId="57" fillId="0" borderId="7" xfId="6" applyNumberFormat="1" applyFont="1" applyBorder="1" applyAlignment="1">
      <alignment horizontal="center" vertical="center"/>
    </xf>
    <xf numFmtId="0" fontId="57" fillId="0" borderId="7" xfId="5" applyFont="1" applyBorder="1" applyAlignment="1">
      <alignment horizontal="center" vertical="center"/>
    </xf>
    <xf numFmtId="168" fontId="57" fillId="3" borderId="2" xfId="6" applyNumberFormat="1" applyFont="1" applyFill="1" applyBorder="1" applyAlignment="1">
      <alignment horizontal="left" vertical="top"/>
    </xf>
    <xf numFmtId="0" fontId="3" fillId="0" borderId="16" xfId="0" quotePrefix="1" applyFont="1" applyBorder="1" applyAlignment="1">
      <alignment horizontal="left" vertical="center" wrapText="1"/>
    </xf>
    <xf numFmtId="166" fontId="3" fillId="0" borderId="16" xfId="1" applyFont="1" applyBorder="1" applyAlignment="1">
      <alignment horizontal="center" vertical="center"/>
    </xf>
    <xf numFmtId="168" fontId="49" fillId="0" borderId="47" xfId="6" applyNumberFormat="1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wrapText="1"/>
    </xf>
    <xf numFmtId="0" fontId="43" fillId="0" borderId="2" xfId="0" applyFont="1" applyBorder="1"/>
    <xf numFmtId="0" fontId="22" fillId="0" borderId="2" xfId="0" applyFont="1" applyBorder="1" applyAlignment="1">
      <alignment vertical="center"/>
    </xf>
    <xf numFmtId="0" fontId="5" fillId="0" borderId="2" xfId="0" applyFont="1" applyBorder="1" applyAlignment="1">
      <alignment wrapText="1"/>
    </xf>
    <xf numFmtId="166" fontId="18" fillId="0" borderId="2" xfId="1" applyFont="1" applyFill="1" applyBorder="1" applyAlignment="1">
      <alignment horizontal="center" vertical="center"/>
    </xf>
    <xf numFmtId="166" fontId="18" fillId="0" borderId="4" xfId="1" applyFont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166" fontId="25" fillId="6" borderId="0" xfId="1" applyFont="1" applyFill="1"/>
    <xf numFmtId="0" fontId="3" fillId="2" borderId="2" xfId="0" applyFont="1" applyFill="1" applyBorder="1" applyAlignment="1">
      <alignment horizontal="left" vertical="center"/>
    </xf>
    <xf numFmtId="0" fontId="3" fillId="2" borderId="4" xfId="0" applyFont="1" applyFill="1" applyBorder="1"/>
    <xf numFmtId="0" fontId="3" fillId="2" borderId="7" xfId="0" applyFont="1" applyFill="1" applyBorder="1" applyAlignment="1">
      <alignment horizontal="center" vertical="center"/>
    </xf>
    <xf numFmtId="43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0" fillId="6" borderId="0" xfId="0" applyFont="1" applyFill="1" applyAlignment="1">
      <alignment vertical="center"/>
    </xf>
    <xf numFmtId="166" fontId="8" fillId="6" borderId="0" xfId="1" applyFont="1" applyFill="1" applyAlignment="1">
      <alignment vertical="center"/>
    </xf>
    <xf numFmtId="0" fontId="10" fillId="6" borderId="0" xfId="0" applyFont="1" applyFill="1" applyAlignment="1">
      <alignment vertical="center" wrapText="1"/>
    </xf>
    <xf numFmtId="43" fontId="3" fillId="6" borderId="0" xfId="2" applyFont="1" applyFill="1" applyAlignment="1"/>
    <xf numFmtId="43" fontId="3" fillId="6" borderId="0" xfId="2" applyFont="1" applyFill="1" applyAlignment="1">
      <alignment vertical="top"/>
    </xf>
    <xf numFmtId="0" fontId="8" fillId="6" borderId="0" xfId="0" applyFont="1" applyFill="1"/>
    <xf numFmtId="0" fontId="3" fillId="6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2" xfId="2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/>
    </xf>
    <xf numFmtId="0" fontId="3" fillId="6" borderId="3" xfId="0" applyFont="1" applyFill="1" applyBorder="1" applyAlignment="1">
      <alignment horizontal="left" vertical="center"/>
    </xf>
    <xf numFmtId="0" fontId="3" fillId="6" borderId="3" xfId="0" applyFont="1" applyFill="1" applyBorder="1" applyAlignment="1">
      <alignment horizontal="left" vertical="center" wrapText="1"/>
    </xf>
    <xf numFmtId="43" fontId="3" fillId="6" borderId="4" xfId="2" applyFont="1" applyFill="1" applyBorder="1" applyAlignment="1">
      <alignment horizontal="center"/>
    </xf>
    <xf numFmtId="0" fontId="16" fillId="6" borderId="12" xfId="0" applyFont="1" applyFill="1" applyBorder="1" applyAlignment="1">
      <alignment vertical="center" wrapText="1"/>
    </xf>
    <xf numFmtId="0" fontId="2" fillId="6" borderId="9" xfId="0" applyFont="1" applyFill="1" applyBorder="1" applyAlignment="1">
      <alignment wrapText="1"/>
    </xf>
    <xf numFmtId="0" fontId="2" fillId="6" borderId="4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left"/>
    </xf>
    <xf numFmtId="43" fontId="2" fillId="6" borderId="9" xfId="0" applyNumberFormat="1" applyFont="1" applyFill="1" applyBorder="1"/>
    <xf numFmtId="0" fontId="2" fillId="6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166" fontId="8" fillId="2" borderId="2" xfId="1" applyFont="1" applyFill="1" applyBorder="1" applyAlignment="1">
      <alignment horizontal="right"/>
    </xf>
    <xf numFmtId="0" fontId="25" fillId="9" borderId="0" xfId="0" applyFont="1" applyFill="1"/>
    <xf numFmtId="43" fontId="25" fillId="9" borderId="0" xfId="0" applyNumberFormat="1" applyFont="1" applyFill="1"/>
    <xf numFmtId="166" fontId="25" fillId="0" borderId="0" xfId="1" applyFont="1"/>
    <xf numFmtId="166" fontId="25" fillId="0" borderId="0" xfId="0" applyNumberFormat="1" applyFont="1"/>
    <xf numFmtId="0" fontId="0" fillId="0" borderId="54" xfId="0" applyBorder="1"/>
    <xf numFmtId="43" fontId="63" fillId="0" borderId="0" xfId="0" applyNumberFormat="1" applyFont="1"/>
    <xf numFmtId="0" fontId="3" fillId="6" borderId="7" xfId="0" applyFont="1" applyFill="1" applyBorder="1" applyAlignment="1">
      <alignment horizontal="center" vertical="center" wrapText="1"/>
    </xf>
    <xf numFmtId="166" fontId="3" fillId="0" borderId="0" xfId="1" applyFont="1" applyAlignment="1">
      <alignment horizontal="center" vertical="center"/>
    </xf>
    <xf numFmtId="43" fontId="2" fillId="0" borderId="10" xfId="0" applyNumberFormat="1" applyFont="1" applyBorder="1"/>
    <xf numFmtId="0" fontId="3" fillId="2" borderId="4" xfId="0" applyFont="1" applyFill="1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right" vertical="center"/>
    </xf>
    <xf numFmtId="43" fontId="2" fillId="2" borderId="4" xfId="0" applyNumberFormat="1" applyFont="1" applyFill="1" applyBorder="1" applyAlignment="1">
      <alignment horizontal="right" vertical="center"/>
    </xf>
    <xf numFmtId="0" fontId="0" fillId="2" borderId="2" xfId="0" applyFill="1" applyBorder="1" applyAlignment="1">
      <alignment wrapText="1"/>
    </xf>
    <xf numFmtId="166" fontId="3" fillId="2" borderId="38" xfId="1" applyFont="1" applyFill="1" applyBorder="1" applyAlignment="1">
      <alignment horizontal="left" vertical="center"/>
    </xf>
    <xf numFmtId="168" fontId="49" fillId="0" borderId="52" xfId="6" applyNumberFormat="1" applyFont="1" applyFill="1" applyBorder="1" applyAlignment="1">
      <alignment horizontal="center" vertical="center"/>
    </xf>
    <xf numFmtId="43" fontId="3" fillId="4" borderId="0" xfId="0" applyNumberFormat="1" applyFont="1" applyFill="1"/>
    <xf numFmtId="0" fontId="15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/>
    <xf numFmtId="0" fontId="23" fillId="2" borderId="0" xfId="0" applyFont="1" applyFill="1" applyAlignment="1">
      <alignment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/>
    <xf numFmtId="0" fontId="23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left"/>
    </xf>
    <xf numFmtId="166" fontId="23" fillId="2" borderId="0" xfId="0" applyNumberFormat="1" applyFont="1" applyFill="1" applyAlignment="1">
      <alignment horizontal="left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15" fillId="2" borderId="2" xfId="1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2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 vertical="center"/>
    </xf>
    <xf numFmtId="166" fontId="15" fillId="2" borderId="2" xfId="1" applyFont="1" applyFill="1" applyBorder="1" applyAlignment="1">
      <alignment horizontal="left" vertical="center" wrapText="1"/>
    </xf>
    <xf numFmtId="166" fontId="3" fillId="2" borderId="4" xfId="1" applyFont="1" applyFill="1" applyBorder="1" applyAlignment="1">
      <alignment horizontal="center" vertical="center"/>
    </xf>
    <xf numFmtId="166" fontId="3" fillId="2" borderId="7" xfId="1" applyFont="1" applyFill="1" applyBorder="1" applyAlignment="1">
      <alignment horizontal="center" vertical="center"/>
    </xf>
    <xf numFmtId="166" fontId="3" fillId="2" borderId="2" xfId="1" applyFont="1" applyFill="1" applyBorder="1" applyAlignment="1">
      <alignment horizontal="left" vertical="center"/>
    </xf>
    <xf numFmtId="166" fontId="3" fillId="2" borderId="4" xfId="1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166" fontId="3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/>
    </xf>
    <xf numFmtId="0" fontId="15" fillId="2" borderId="3" xfId="0" quotePrefix="1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6" fontId="3" fillId="2" borderId="6" xfId="1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center"/>
    </xf>
    <xf numFmtId="166" fontId="3" fillId="2" borderId="9" xfId="1" applyFont="1" applyFill="1" applyBorder="1" applyAlignment="1">
      <alignment horizontal="center" vertical="center"/>
    </xf>
    <xf numFmtId="166" fontId="3" fillId="2" borderId="10" xfId="1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center"/>
    </xf>
    <xf numFmtId="0" fontId="3" fillId="2" borderId="53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/>
    </xf>
    <xf numFmtId="166" fontId="3" fillId="2" borderId="3" xfId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/>
    </xf>
    <xf numFmtId="166" fontId="3" fillId="2" borderId="9" xfId="1" applyFont="1" applyFill="1" applyBorder="1" applyAlignment="1">
      <alignment vertical="center" wrapText="1"/>
    </xf>
    <xf numFmtId="0" fontId="12" fillId="2" borderId="10" xfId="0" applyFont="1" applyFill="1" applyBorder="1" applyAlignment="1">
      <alignment horizontal="center" vertical="center"/>
    </xf>
    <xf numFmtId="166" fontId="3" fillId="2" borderId="11" xfId="1" applyFont="1" applyFill="1" applyBorder="1" applyAlignment="1">
      <alignment horizontal="center" vertical="center"/>
    </xf>
    <xf numFmtId="166" fontId="3" fillId="2" borderId="9" xfId="1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center"/>
    </xf>
    <xf numFmtId="166" fontId="15" fillId="2" borderId="0" xfId="1" applyFont="1" applyFill="1" applyBorder="1" applyAlignment="1">
      <alignment horizontal="center" vertical="center" wrapText="1"/>
    </xf>
    <xf numFmtId="166" fontId="3" fillId="2" borderId="0" xfId="1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/>
    </xf>
    <xf numFmtId="0" fontId="2" fillId="6" borderId="0" xfId="0" applyFont="1" applyFill="1" applyAlignment="1">
      <alignment horizontal="center" wrapText="1"/>
    </xf>
    <xf numFmtId="0" fontId="10" fillId="6" borderId="0" xfId="0" applyFont="1" applyFill="1"/>
    <xf numFmtId="166" fontId="8" fillId="6" borderId="0" xfId="1" applyFont="1" applyFill="1"/>
    <xf numFmtId="0" fontId="47" fillId="6" borderId="0" xfId="0" applyFont="1" applyFill="1" applyAlignment="1">
      <alignment wrapText="1"/>
    </xf>
    <xf numFmtId="0" fontId="10" fillId="6" borderId="0" xfId="0" applyFont="1" applyFill="1" applyAlignment="1">
      <alignment horizontal="left" vertical="center" wrapText="1"/>
    </xf>
    <xf numFmtId="0" fontId="10" fillId="6" borderId="0" xfId="0" applyFont="1" applyFill="1" applyAlignment="1">
      <alignment vertical="top" wrapText="1"/>
    </xf>
    <xf numFmtId="0" fontId="10" fillId="6" borderId="0" xfId="0" applyFont="1" applyFill="1" applyAlignment="1">
      <alignment wrapText="1"/>
    </xf>
    <xf numFmtId="0" fontId="10" fillId="6" borderId="0" xfId="0" applyFont="1" applyFill="1" applyAlignment="1">
      <alignment horizontal="left"/>
    </xf>
    <xf numFmtId="166" fontId="10" fillId="6" borderId="0" xfId="1" applyFont="1" applyFill="1"/>
    <xf numFmtId="0" fontId="15" fillId="6" borderId="9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43" fontId="15" fillId="6" borderId="2" xfId="2" applyFont="1" applyFill="1" applyBorder="1" applyAlignment="1">
      <alignment horizontal="center"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47" fillId="6" borderId="2" xfId="0" applyFont="1" applyFill="1" applyBorder="1" applyAlignment="1">
      <alignment horizontal="center" wrapText="1"/>
    </xf>
    <xf numFmtId="0" fontId="23" fillId="6" borderId="2" xfId="0" applyFont="1" applyFill="1" applyBorder="1" applyAlignment="1">
      <alignment wrapText="1"/>
    </xf>
    <xf numFmtId="43" fontId="2" fillId="6" borderId="2" xfId="2" applyFont="1" applyFill="1" applyBorder="1"/>
    <xf numFmtId="0" fontId="47" fillId="6" borderId="2" xfId="0" applyFont="1" applyFill="1" applyBorder="1" applyAlignment="1">
      <alignment wrapText="1"/>
    </xf>
    <xf numFmtId="0" fontId="15" fillId="6" borderId="2" xfId="0" applyFont="1" applyFill="1" applyBorder="1" applyAlignment="1">
      <alignment vertical="center" wrapText="1"/>
    </xf>
    <xf numFmtId="0" fontId="3" fillId="6" borderId="7" xfId="0" applyFont="1" applyFill="1" applyBorder="1" applyAlignment="1">
      <alignment horizontal="left" vertical="center"/>
    </xf>
    <xf numFmtId="4" fontId="3" fillId="6" borderId="2" xfId="0" applyNumberFormat="1" applyFont="1" applyFill="1" applyBorder="1" applyAlignment="1">
      <alignment vertical="center"/>
    </xf>
    <xf numFmtId="43" fontId="2" fillId="6" borderId="4" xfId="0" applyNumberFormat="1" applyFont="1" applyFill="1" applyBorder="1" applyAlignment="1">
      <alignment vertical="center"/>
    </xf>
    <xf numFmtId="0" fontId="47" fillId="6" borderId="2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horizontal="left" vertical="center" wrapText="1"/>
    </xf>
    <xf numFmtId="4" fontId="3" fillId="6" borderId="2" xfId="0" applyNumberFormat="1" applyFont="1" applyFill="1" applyBorder="1" applyAlignment="1">
      <alignment horizontal="right" vertical="center"/>
    </xf>
    <xf numFmtId="43" fontId="2" fillId="6" borderId="4" xfId="0" applyNumberFormat="1" applyFont="1" applyFill="1" applyBorder="1" applyAlignment="1">
      <alignment horizontal="right" vertical="center"/>
    </xf>
    <xf numFmtId="0" fontId="47" fillId="6" borderId="2" xfId="0" applyFont="1" applyFill="1" applyBorder="1"/>
    <xf numFmtId="0" fontId="3" fillId="6" borderId="2" xfId="0" applyFont="1" applyFill="1" applyBorder="1" applyAlignment="1">
      <alignment horizontal="left" wrapText="1"/>
    </xf>
    <xf numFmtId="0" fontId="15" fillId="6" borderId="2" xfId="0" applyFont="1" applyFill="1" applyBorder="1" applyAlignment="1">
      <alignment wrapText="1"/>
    </xf>
    <xf numFmtId="0" fontId="3" fillId="6" borderId="2" xfId="0" applyFont="1" applyFill="1" applyBorder="1" applyAlignment="1">
      <alignment vertical="center"/>
    </xf>
    <xf numFmtId="4" fontId="3" fillId="6" borderId="9" xfId="0" applyNumberFormat="1" applyFont="1" applyFill="1" applyBorder="1" applyAlignment="1">
      <alignment horizontal="right" vertical="center"/>
    </xf>
    <xf numFmtId="43" fontId="2" fillId="6" borderId="10" xfId="0" applyNumberFormat="1" applyFont="1" applyFill="1" applyBorder="1" applyAlignment="1">
      <alignment horizontal="right" vertical="center"/>
    </xf>
    <xf numFmtId="43" fontId="3" fillId="6" borderId="2" xfId="0" applyNumberFormat="1" applyFont="1" applyFill="1" applyBorder="1" applyAlignment="1">
      <alignment horizontal="right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wrapText="1"/>
    </xf>
    <xf numFmtId="0" fontId="15" fillId="6" borderId="2" xfId="0" applyFont="1" applyFill="1" applyBorder="1"/>
    <xf numFmtId="0" fontId="3" fillId="6" borderId="7" xfId="0" applyFont="1" applyFill="1" applyBorder="1" applyAlignment="1">
      <alignment horizontal="left"/>
    </xf>
    <xf numFmtId="166" fontId="3" fillId="6" borderId="2" xfId="1" applyFont="1" applyFill="1" applyBorder="1" applyAlignment="1">
      <alignment horizontal="right"/>
    </xf>
    <xf numFmtId="166" fontId="3" fillId="6" borderId="2" xfId="1" applyFont="1" applyFill="1" applyBorder="1" applyAlignment="1">
      <alignment horizontal="right" vertical="center"/>
    </xf>
    <xf numFmtId="0" fontId="12" fillId="6" borderId="2" xfId="0" applyFont="1" applyFill="1" applyBorder="1" applyAlignment="1">
      <alignment wrapText="1"/>
    </xf>
    <xf numFmtId="0" fontId="3" fillId="6" borderId="9" xfId="0" applyFont="1" applyFill="1" applyBorder="1" applyAlignment="1">
      <alignment vertical="center" wrapText="1"/>
    </xf>
    <xf numFmtId="0" fontId="15" fillId="6" borderId="9" xfId="0" applyFont="1" applyFill="1" applyBorder="1" applyAlignment="1">
      <alignment wrapText="1"/>
    </xf>
    <xf numFmtId="43" fontId="23" fillId="6" borderId="2" xfId="0" applyNumberFormat="1" applyFont="1" applyFill="1" applyBorder="1"/>
    <xf numFmtId="166" fontId="3" fillId="4" borderId="0" xfId="10" applyFont="1" applyFill="1"/>
    <xf numFmtId="166" fontId="3" fillId="4" borderId="0" xfId="10" applyFont="1" applyFill="1" applyAlignment="1">
      <alignment vertical="center"/>
    </xf>
    <xf numFmtId="166" fontId="2" fillId="4" borderId="2" xfId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12" fillId="4" borderId="2" xfId="0" applyFont="1" applyFill="1" applyBorder="1"/>
    <xf numFmtId="0" fontId="3" fillId="4" borderId="6" xfId="0" applyFont="1" applyFill="1" applyBorder="1" applyAlignment="1">
      <alignment horizontal="left" vertical="center" wrapText="1"/>
    </xf>
    <xf numFmtId="43" fontId="2" fillId="4" borderId="2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left"/>
    </xf>
    <xf numFmtId="166" fontId="3" fillId="4" borderId="2" xfId="1" applyFont="1" applyFill="1" applyBorder="1"/>
    <xf numFmtId="0" fontId="2" fillId="4" borderId="4" xfId="0" applyFont="1" applyFill="1" applyBorder="1"/>
    <xf numFmtId="0" fontId="2" fillId="4" borderId="7" xfId="0" applyFont="1" applyFill="1" applyBorder="1"/>
    <xf numFmtId="166" fontId="2" fillId="4" borderId="2" xfId="1" applyFont="1" applyFill="1" applyBorder="1"/>
    <xf numFmtId="43" fontId="2" fillId="4" borderId="2" xfId="0" applyNumberFormat="1" applyFont="1" applyFill="1" applyBorder="1" applyAlignment="1">
      <alignment horizontal="center"/>
    </xf>
    <xf numFmtId="0" fontId="3" fillId="4" borderId="9" xfId="0" applyFont="1" applyFill="1" applyBorder="1" applyAlignment="1">
      <alignment wrapText="1"/>
    </xf>
    <xf numFmtId="0" fontId="3" fillId="4" borderId="10" xfId="0" applyFont="1" applyFill="1" applyBorder="1" applyAlignment="1">
      <alignment horizontal="center"/>
    </xf>
    <xf numFmtId="166" fontId="3" fillId="4" borderId="9" xfId="1" applyFont="1" applyFill="1" applyBorder="1"/>
    <xf numFmtId="43" fontId="3" fillId="4" borderId="10" xfId="0" applyNumberFormat="1" applyFont="1" applyFill="1" applyBorder="1"/>
    <xf numFmtId="43" fontId="2" fillId="4" borderId="2" xfId="0" applyNumberFormat="1" applyFont="1" applyFill="1" applyBorder="1"/>
    <xf numFmtId="0" fontId="10" fillId="4" borderId="0" xfId="0" applyFont="1" applyFill="1" applyAlignment="1">
      <alignment vertical="center"/>
    </xf>
    <xf numFmtId="0" fontId="8" fillId="4" borderId="0" xfId="0" applyFont="1" applyFill="1" applyAlignment="1">
      <alignment vertical="center" wrapText="1"/>
    </xf>
    <xf numFmtId="43" fontId="3" fillId="4" borderId="0" xfId="2" applyFont="1" applyFill="1" applyAlignment="1"/>
    <xf numFmtId="43" fontId="3" fillId="4" borderId="0" xfId="2" applyFont="1" applyFill="1" applyAlignment="1">
      <alignment vertical="top"/>
    </xf>
    <xf numFmtId="0" fontId="10" fillId="4" borderId="0" xfId="0" applyFont="1" applyFill="1" applyAlignment="1">
      <alignment vertical="center" wrapText="1"/>
    </xf>
    <xf numFmtId="0" fontId="8" fillId="4" borderId="0" xfId="0" applyFont="1" applyFill="1" applyAlignment="1">
      <alignment wrapText="1"/>
    </xf>
    <xf numFmtId="0" fontId="8" fillId="4" borderId="0" xfId="0" applyFont="1" applyFill="1"/>
    <xf numFmtId="0" fontId="3" fillId="4" borderId="4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0" fontId="3" fillId="4" borderId="3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/>
    </xf>
    <xf numFmtId="0" fontId="3" fillId="4" borderId="4" xfId="0" applyFont="1" applyFill="1" applyBorder="1"/>
    <xf numFmtId="43" fontId="3" fillId="4" borderId="2" xfId="2" applyFont="1" applyFill="1" applyBorder="1" applyAlignment="1"/>
    <xf numFmtId="0" fontId="3" fillId="4" borderId="2" xfId="0" quotePrefix="1" applyFont="1" applyFill="1" applyBorder="1"/>
    <xf numFmtId="0" fontId="3" fillId="4" borderId="11" xfId="0" applyFont="1" applyFill="1" applyBorder="1" applyAlignment="1">
      <alignment horizontal="center"/>
    </xf>
    <xf numFmtId="43" fontId="3" fillId="4" borderId="2" xfId="0" applyNumberFormat="1" applyFont="1" applyFill="1" applyBorder="1"/>
    <xf numFmtId="43" fontId="3" fillId="0" borderId="0" xfId="0" applyNumberFormat="1" applyFont="1" applyAlignment="1">
      <alignment horizontal="center"/>
    </xf>
    <xf numFmtId="166" fontId="12" fillId="0" borderId="2" xfId="1" applyFont="1" applyBorder="1" applyAlignment="1">
      <alignment vertical="center" wrapText="1"/>
    </xf>
    <xf numFmtId="166" fontId="11" fillId="0" borderId="2" xfId="1" applyFont="1" applyBorder="1" applyAlignment="1">
      <alignment horizontal="right"/>
    </xf>
    <xf numFmtId="2" fontId="0" fillId="0" borderId="0" xfId="0" applyNumberFormat="1"/>
    <xf numFmtId="171" fontId="25" fillId="9" borderId="0" xfId="0" applyNumberFormat="1" applyFont="1" applyFill="1"/>
    <xf numFmtId="172" fontId="25" fillId="9" borderId="0" xfId="0" applyNumberFormat="1" applyFont="1" applyFill="1"/>
    <xf numFmtId="169" fontId="3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43" fontId="3" fillId="0" borderId="0" xfId="2" applyFont="1" applyFill="1" applyAlignment="1">
      <alignment horizontal="right"/>
    </xf>
    <xf numFmtId="166" fontId="3" fillId="0" borderId="0" xfId="1" applyFont="1" applyFill="1" applyAlignment="1">
      <alignment horizontal="right" vertical="top"/>
    </xf>
    <xf numFmtId="0" fontId="3" fillId="0" borderId="2" xfId="0" applyFont="1" applyBorder="1" applyAlignment="1">
      <alignment horizontal="right" vertical="center" wrapText="1"/>
    </xf>
    <xf numFmtId="0" fontId="2" fillId="0" borderId="2" xfId="2" applyNumberFormat="1" applyFont="1" applyFill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Alignment="1">
      <alignment horizontal="right"/>
    </xf>
    <xf numFmtId="4" fontId="47" fillId="0" borderId="0" xfId="1" applyNumberFormat="1" applyFont="1" applyAlignment="1">
      <alignment horizontal="right"/>
    </xf>
    <xf numFmtId="166" fontId="3" fillId="0" borderId="0" xfId="1" applyFont="1" applyFill="1" applyAlignment="1">
      <alignment horizontal="right"/>
    </xf>
    <xf numFmtId="4" fontId="3" fillId="0" borderId="2" xfId="1" applyNumberFormat="1" applyFont="1" applyFill="1" applyBorder="1" applyAlignment="1">
      <alignment horizontal="right"/>
    </xf>
    <xf numFmtId="4" fontId="3" fillId="0" borderId="2" xfId="2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3" fillId="0" borderId="2" xfId="0" applyFont="1" applyBorder="1" applyAlignment="1">
      <alignment horizontal="right"/>
    </xf>
    <xf numFmtId="4" fontId="3" fillId="0" borderId="7" xfId="2" applyNumberFormat="1" applyFont="1" applyFill="1" applyBorder="1" applyAlignment="1">
      <alignment horizontal="right"/>
    </xf>
    <xf numFmtId="4" fontId="0" fillId="0" borderId="0" xfId="1" applyNumberFormat="1" applyFont="1" applyAlignment="1">
      <alignment horizontal="right"/>
    </xf>
    <xf numFmtId="4" fontId="3" fillId="0" borderId="7" xfId="2" applyNumberFormat="1" applyFont="1" applyFill="1" applyBorder="1" applyAlignment="1">
      <alignment horizontal="right" vertical="center"/>
    </xf>
    <xf numFmtId="4" fontId="8" fillId="0" borderId="2" xfId="2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wrapText="1"/>
    </xf>
    <xf numFmtId="43" fontId="3" fillId="0" borderId="2" xfId="2" applyFont="1" applyFill="1" applyBorder="1" applyAlignment="1">
      <alignment horizontal="right" vertical="center" wrapText="1"/>
    </xf>
    <xf numFmtId="0" fontId="3" fillId="0" borderId="2" xfId="2" applyNumberFormat="1" applyFont="1" applyFill="1" applyBorder="1" applyAlignment="1">
      <alignment horizontal="right" vertical="center" wrapText="1"/>
    </xf>
    <xf numFmtId="43" fontId="8" fillId="0" borderId="2" xfId="2" applyFont="1" applyFill="1" applyBorder="1" applyAlignment="1">
      <alignment horizontal="right"/>
    </xf>
    <xf numFmtId="43" fontId="3" fillId="0" borderId="2" xfId="2" applyFont="1" applyFill="1" applyBorder="1" applyAlignment="1">
      <alignment horizontal="right"/>
    </xf>
    <xf numFmtId="43" fontId="6" fillId="0" borderId="0" xfId="2" applyFont="1" applyFill="1" applyAlignment="1">
      <alignment horizontal="right"/>
    </xf>
    <xf numFmtId="166" fontId="6" fillId="0" borderId="0" xfId="1" applyFont="1" applyFill="1" applyAlignment="1">
      <alignment horizontal="right"/>
    </xf>
    <xf numFmtId="166" fontId="6" fillId="0" borderId="0" xfId="1" applyFont="1" applyFill="1" applyAlignment="1">
      <alignment horizontal="right" vertical="top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wrapText="1"/>
    </xf>
    <xf numFmtId="43" fontId="6" fillId="0" borderId="2" xfId="2" applyFont="1" applyFill="1" applyBorder="1" applyAlignment="1">
      <alignment horizontal="right" vertical="center" wrapText="1"/>
    </xf>
    <xf numFmtId="0" fontId="6" fillId="0" borderId="2" xfId="2" applyNumberFormat="1" applyFont="1" applyFill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/>
    </xf>
    <xf numFmtId="43" fontId="6" fillId="0" borderId="2" xfId="2" applyFont="1" applyFill="1" applyBorder="1" applyAlignment="1">
      <alignment horizontal="right" vertical="center"/>
    </xf>
    <xf numFmtId="43" fontId="6" fillId="0" borderId="2" xfId="2" applyFont="1" applyFill="1" applyBorder="1" applyAlignment="1">
      <alignment horizontal="right"/>
    </xf>
    <xf numFmtId="0" fontId="39" fillId="0" borderId="0" xfId="0" applyFont="1" applyAlignment="1">
      <alignment horizontal="right"/>
    </xf>
    <xf numFmtId="0" fontId="6" fillId="0" borderId="2" xfId="0" applyFont="1" applyBorder="1" applyAlignment="1">
      <alignment horizontal="right" vertical="center" wrapText="1"/>
    </xf>
    <xf numFmtId="0" fontId="39" fillId="0" borderId="2" xfId="2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horizontal="right"/>
    </xf>
    <xf numFmtId="4" fontId="6" fillId="0" borderId="2" xfId="0" applyNumberFormat="1" applyFont="1" applyBorder="1" applyAlignment="1">
      <alignment horizontal="right"/>
    </xf>
    <xf numFmtId="173" fontId="3" fillId="0" borderId="2" xfId="0" applyNumberFormat="1" applyFont="1" applyBorder="1" applyAlignment="1">
      <alignment horizontal="right"/>
    </xf>
    <xf numFmtId="166" fontId="3" fillId="0" borderId="9" xfId="1" applyFont="1" applyFill="1" applyBorder="1" applyAlignment="1">
      <alignment horizontal="right"/>
    </xf>
    <xf numFmtId="0" fontId="2" fillId="4" borderId="0" xfId="0" applyFont="1" applyFill="1" applyAlignment="1">
      <alignment horizontal="right"/>
    </xf>
    <xf numFmtId="166" fontId="3" fillId="4" borderId="0" xfId="1" applyFont="1" applyFill="1" applyAlignment="1">
      <alignment horizontal="right"/>
    </xf>
    <xf numFmtId="166" fontId="3" fillId="4" borderId="0" xfId="1" applyFont="1" applyFill="1" applyAlignment="1">
      <alignment horizontal="right" vertical="top"/>
    </xf>
    <xf numFmtId="0" fontId="10" fillId="4" borderId="0" xfId="0" applyFont="1" applyFill="1" applyAlignment="1">
      <alignment horizontal="right" vertical="center" wrapText="1"/>
    </xf>
    <xf numFmtId="0" fontId="3" fillId="4" borderId="0" xfId="0" applyFont="1" applyFill="1" applyAlignment="1">
      <alignment horizontal="right"/>
    </xf>
    <xf numFmtId="0" fontId="3" fillId="4" borderId="0" xfId="0" applyFont="1" applyFill="1" applyAlignment="1">
      <alignment horizontal="right" wrapText="1"/>
    </xf>
    <xf numFmtId="43" fontId="3" fillId="4" borderId="2" xfId="2" applyFont="1" applyFill="1" applyBorder="1" applyAlignment="1">
      <alignment horizontal="right" vertical="center" wrapText="1"/>
    </xf>
    <xf numFmtId="0" fontId="3" fillId="4" borderId="2" xfId="2" applyNumberFormat="1" applyFont="1" applyFill="1" applyBorder="1" applyAlignment="1">
      <alignment horizontal="right" vertical="center" wrapText="1"/>
    </xf>
    <xf numFmtId="0" fontId="3" fillId="4" borderId="2" xfId="0" applyFont="1" applyFill="1" applyBorder="1" applyAlignment="1">
      <alignment horizontal="right" vertical="center"/>
    </xf>
    <xf numFmtId="43" fontId="3" fillId="4" borderId="2" xfId="2" applyFont="1" applyFill="1" applyBorder="1" applyAlignment="1">
      <alignment horizontal="right"/>
    </xf>
    <xf numFmtId="166" fontId="3" fillId="4" borderId="9" xfId="1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3" fillId="0" borderId="2" xfId="0" applyFont="1" applyBorder="1" applyAlignment="1">
      <alignment horizontal="right" wrapText="1"/>
    </xf>
    <xf numFmtId="166" fontId="3" fillId="2" borderId="2" xfId="1" applyFont="1" applyFill="1" applyBorder="1" applyAlignment="1">
      <alignment horizontal="right"/>
    </xf>
    <xf numFmtId="0" fontId="23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0" fontId="22" fillId="0" borderId="0" xfId="0" applyFont="1" applyAlignment="1">
      <alignment horizontal="right" vertical="top"/>
    </xf>
    <xf numFmtId="166" fontId="15" fillId="0" borderId="2" xfId="1" applyFont="1" applyFill="1" applyBorder="1" applyAlignment="1">
      <alignment horizontal="right" vertical="center" wrapText="1"/>
    </xf>
    <xf numFmtId="0" fontId="3" fillId="0" borderId="2" xfId="2" applyNumberFormat="1" applyFont="1" applyFill="1" applyBorder="1" applyAlignment="1">
      <alignment horizontal="right" vertical="center"/>
    </xf>
    <xf numFmtId="166" fontId="3" fillId="0" borderId="9" xfId="1" applyFont="1" applyFill="1" applyBorder="1" applyAlignment="1">
      <alignment horizontal="right" vertical="center"/>
    </xf>
    <xf numFmtId="166" fontId="3" fillId="0" borderId="18" xfId="1" applyFont="1" applyFill="1" applyBorder="1" applyAlignment="1">
      <alignment horizontal="right" vertical="center"/>
    </xf>
    <xf numFmtId="4" fontId="3" fillId="0" borderId="9" xfId="0" applyNumberFormat="1" applyFont="1" applyBorder="1" applyAlignment="1">
      <alignment horizontal="right"/>
    </xf>
    <xf numFmtId="166" fontId="3" fillId="0" borderId="16" xfId="1" applyFont="1" applyBorder="1" applyAlignment="1">
      <alignment horizontal="right" vertical="center"/>
    </xf>
    <xf numFmtId="166" fontId="15" fillId="0" borderId="0" xfId="1" applyFont="1" applyFill="1" applyBorder="1" applyAlignment="1">
      <alignment horizontal="right" vertical="center" wrapText="1"/>
    </xf>
    <xf numFmtId="43" fontId="3" fillId="0" borderId="0" xfId="2" applyFont="1" applyFill="1" applyAlignment="1">
      <alignment horizontal="right" vertical="center"/>
    </xf>
    <xf numFmtId="0" fontId="3" fillId="0" borderId="0" xfId="0" applyFont="1" applyAlignment="1">
      <alignment horizontal="right" vertical="top" wrapText="1"/>
    </xf>
    <xf numFmtId="166" fontId="3" fillId="0" borderId="2" xfId="1" applyFont="1" applyFill="1" applyBorder="1" applyAlignment="1">
      <alignment horizontal="right" vertical="center" wrapText="1"/>
    </xf>
    <xf numFmtId="0" fontId="3" fillId="0" borderId="2" xfId="1" applyNumberFormat="1" applyFont="1" applyFill="1" applyBorder="1" applyAlignment="1">
      <alignment horizontal="right" vertical="center"/>
    </xf>
    <xf numFmtId="43" fontId="3" fillId="0" borderId="3" xfId="2" applyFont="1" applyFill="1" applyBorder="1" applyAlignment="1">
      <alignment horizontal="right"/>
    </xf>
    <xf numFmtId="43" fontId="3" fillId="0" borderId="9" xfId="2" applyFont="1" applyFill="1" applyBorder="1" applyAlignment="1">
      <alignment horizontal="right"/>
    </xf>
    <xf numFmtId="0" fontId="0" fillId="0" borderId="3" xfId="0" applyBorder="1" applyAlignment="1">
      <alignment horizontal="right"/>
    </xf>
    <xf numFmtId="0" fontId="2" fillId="6" borderId="0" xfId="0" applyFont="1" applyFill="1" applyAlignment="1">
      <alignment horizontal="right"/>
    </xf>
    <xf numFmtId="166" fontId="8" fillId="6" borderId="0" xfId="1" applyFont="1" applyFill="1" applyAlignment="1">
      <alignment horizontal="right" vertical="center"/>
    </xf>
    <xf numFmtId="166" fontId="3" fillId="6" borderId="0" xfId="1" applyFont="1" applyFill="1" applyAlignment="1">
      <alignment horizontal="right"/>
    </xf>
    <xf numFmtId="166" fontId="3" fillId="6" borderId="0" xfId="1" applyFont="1" applyFill="1" applyAlignment="1">
      <alignment horizontal="right" vertical="top"/>
    </xf>
    <xf numFmtId="0" fontId="3" fillId="6" borderId="0" xfId="0" applyFont="1" applyFill="1" applyAlignment="1">
      <alignment horizontal="right"/>
    </xf>
    <xf numFmtId="0" fontId="3" fillId="6" borderId="0" xfId="0" applyFont="1" applyFill="1" applyAlignment="1">
      <alignment horizontal="right" wrapText="1"/>
    </xf>
    <xf numFmtId="43" fontId="3" fillId="6" borderId="2" xfId="2" applyFont="1" applyFill="1" applyBorder="1" applyAlignment="1">
      <alignment horizontal="right" vertical="center" wrapText="1"/>
    </xf>
    <xf numFmtId="0" fontId="3" fillId="6" borderId="2" xfId="2" applyNumberFormat="1" applyFont="1" applyFill="1" applyBorder="1" applyAlignment="1">
      <alignment horizontal="right" vertical="center" wrapText="1"/>
    </xf>
    <xf numFmtId="0" fontId="3" fillId="6" borderId="2" xfId="0" applyFont="1" applyFill="1" applyBorder="1" applyAlignment="1">
      <alignment horizontal="right" vertical="center"/>
    </xf>
    <xf numFmtId="43" fontId="3" fillId="6" borderId="2" xfId="2" applyFont="1" applyFill="1" applyBorder="1" applyAlignment="1">
      <alignment horizontal="right" vertical="center"/>
    </xf>
    <xf numFmtId="43" fontId="6" fillId="6" borderId="2" xfId="2" applyFont="1" applyFill="1" applyBorder="1" applyAlignment="1">
      <alignment horizontal="right" vertical="center"/>
    </xf>
    <xf numFmtId="43" fontId="2" fillId="6" borderId="9" xfId="2" applyFont="1" applyFill="1" applyBorder="1" applyAlignment="1">
      <alignment horizontal="right"/>
    </xf>
    <xf numFmtId="0" fontId="0" fillId="6" borderId="0" xfId="0" applyFill="1" applyAlignment="1">
      <alignment horizontal="right"/>
    </xf>
    <xf numFmtId="166" fontId="8" fillId="0" borderId="0" xfId="1" applyFont="1" applyFill="1" applyAlignment="1">
      <alignment horizontal="right" vertical="center"/>
    </xf>
    <xf numFmtId="4" fontId="3" fillId="0" borderId="2" xfId="0" applyNumberFormat="1" applyFont="1" applyBorder="1" applyAlignment="1">
      <alignment horizontal="right" wrapText="1"/>
    </xf>
    <xf numFmtId="43" fontId="2" fillId="0" borderId="9" xfId="2" applyFont="1" applyFill="1" applyBorder="1" applyAlignment="1">
      <alignment horizontal="right"/>
    </xf>
    <xf numFmtId="0" fontId="2" fillId="0" borderId="0" xfId="0" applyFont="1" applyAlignment="1">
      <alignment horizontal="right" wrapText="1"/>
    </xf>
    <xf numFmtId="166" fontId="2" fillId="0" borderId="0" xfId="1" applyFont="1" applyFill="1" applyAlignment="1">
      <alignment horizontal="right"/>
    </xf>
    <xf numFmtId="0" fontId="2" fillId="0" borderId="0" xfId="0" applyFont="1" applyAlignment="1">
      <alignment horizontal="right" vertical="center" wrapText="1"/>
    </xf>
    <xf numFmtId="4" fontId="3" fillId="0" borderId="2" xfId="2" applyNumberFormat="1" applyFont="1" applyFill="1" applyBorder="1" applyAlignment="1">
      <alignment horizontal="right" vertical="center"/>
    </xf>
    <xf numFmtId="43" fontId="8" fillId="0" borderId="2" xfId="2" applyFont="1" applyFill="1" applyBorder="1" applyAlignment="1">
      <alignment horizontal="right" vertical="center"/>
    </xf>
    <xf numFmtId="43" fontId="8" fillId="0" borderId="9" xfId="1" applyNumberFormat="1" applyFont="1" applyFill="1" applyBorder="1" applyAlignment="1">
      <alignment horizontal="right"/>
    </xf>
    <xf numFmtId="43" fontId="3" fillId="0" borderId="2" xfId="0" applyNumberFormat="1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70" fontId="0" fillId="0" borderId="0" xfId="1" applyNumberFormat="1" applyFont="1"/>
    <xf numFmtId="166" fontId="0" fillId="0" borderId="2" xfId="1" applyFont="1" applyFill="1" applyBorder="1" applyAlignment="1">
      <alignment horizontal="center"/>
    </xf>
    <xf numFmtId="170" fontId="0" fillId="0" borderId="2" xfId="1" applyNumberFormat="1" applyFont="1" applyBorder="1" applyAlignment="1">
      <alignment horizontal="center" vertical="center"/>
    </xf>
    <xf numFmtId="166" fontId="0" fillId="0" borderId="2" xfId="1" applyFont="1" applyFill="1" applyBorder="1" applyAlignment="1">
      <alignment horizontal="center" vertical="center" wrapText="1"/>
    </xf>
    <xf numFmtId="166" fontId="0" fillId="0" borderId="2" xfId="0" applyNumberFormat="1" applyBorder="1"/>
    <xf numFmtId="43" fontId="3" fillId="0" borderId="0" xfId="0" applyNumberFormat="1" applyFont="1" applyAlignment="1">
      <alignment horizontal="right" vertical="center"/>
    </xf>
    <xf numFmtId="166" fontId="0" fillId="4" borderId="2" xfId="0" applyNumberFormat="1" applyFill="1" applyBorder="1"/>
    <xf numFmtId="169" fontId="0" fillId="0" borderId="0" xfId="0" applyNumberFormat="1"/>
    <xf numFmtId="0" fontId="0" fillId="10" borderId="2" xfId="0" quotePrefix="1" applyFill="1" applyBorder="1"/>
    <xf numFmtId="0" fontId="0" fillId="10" borderId="2" xfId="0" applyFill="1" applyBorder="1"/>
    <xf numFmtId="0" fontId="0" fillId="10" borderId="2" xfId="0" applyFill="1" applyBorder="1" applyAlignment="1">
      <alignment wrapText="1"/>
    </xf>
    <xf numFmtId="166" fontId="0" fillId="10" borderId="2" xfId="1" applyFont="1" applyFill="1" applyBorder="1"/>
    <xf numFmtId="166" fontId="0" fillId="10" borderId="2" xfId="0" applyNumberFormat="1" applyFill="1" applyBorder="1"/>
    <xf numFmtId="0" fontId="0" fillId="10" borderId="4" xfId="0" applyFill="1" applyBorder="1"/>
    <xf numFmtId="0" fontId="0" fillId="10" borderId="9" xfId="0" applyFill="1" applyBorder="1"/>
    <xf numFmtId="166" fontId="0" fillId="10" borderId="9" xfId="1" applyFont="1" applyFill="1" applyBorder="1"/>
    <xf numFmtId="0" fontId="0" fillId="11" borderId="2" xfId="0" applyFill="1" applyBorder="1" applyAlignment="1">
      <alignment horizontal="center" vertical="center"/>
    </xf>
    <xf numFmtId="0" fontId="0" fillId="11" borderId="2" xfId="0" applyFill="1" applyBorder="1" applyAlignment="1">
      <alignment vertical="center"/>
    </xf>
    <xf numFmtId="0" fontId="0" fillId="11" borderId="2" xfId="0" applyFill="1" applyBorder="1" applyAlignment="1">
      <alignment vertical="center" wrapText="1"/>
    </xf>
    <xf numFmtId="4" fontId="12" fillId="0" borderId="2" xfId="1" applyNumberFormat="1" applyFont="1" applyFill="1" applyBorder="1" applyAlignment="1">
      <alignment horizontal="right"/>
    </xf>
    <xf numFmtId="166" fontId="3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/>
    </xf>
    <xf numFmtId="0" fontId="3" fillId="4" borderId="2" xfId="0" applyFont="1" applyFill="1" applyBorder="1" applyAlignment="1">
      <alignment horizontal="left" vertical="center"/>
    </xf>
    <xf numFmtId="166" fontId="3" fillId="4" borderId="2" xfId="1" applyFont="1" applyFill="1" applyBorder="1" applyAlignment="1">
      <alignment horizontal="right" vertical="center"/>
    </xf>
    <xf numFmtId="0" fontId="15" fillId="4" borderId="4" xfId="0" applyFont="1" applyFill="1" applyBorder="1" applyAlignment="1">
      <alignment vertical="center" wrapText="1"/>
    </xf>
    <xf numFmtId="43" fontId="3" fillId="4" borderId="7" xfId="2" applyFont="1" applyFill="1" applyBorder="1" applyAlignment="1">
      <alignment horizontal="right" vertical="center"/>
    </xf>
    <xf numFmtId="166" fontId="3" fillId="4" borderId="4" xfId="1" applyFont="1" applyFill="1" applyBorder="1" applyAlignment="1">
      <alignment horizontal="right" vertical="center"/>
    </xf>
    <xf numFmtId="43" fontId="3" fillId="4" borderId="0" xfId="2" applyFont="1" applyFill="1" applyBorder="1" applyAlignment="1">
      <alignment horizontal="right" vertical="center"/>
    </xf>
    <xf numFmtId="166" fontId="3" fillId="4" borderId="0" xfId="1" applyFont="1" applyFill="1" applyBorder="1" applyAlignment="1">
      <alignment horizontal="right" vertical="center"/>
    </xf>
    <xf numFmtId="43" fontId="3" fillId="4" borderId="0" xfId="0" applyNumberFormat="1" applyFont="1" applyFill="1" applyAlignment="1">
      <alignment wrapText="1"/>
    </xf>
    <xf numFmtId="0" fontId="6" fillId="4" borderId="2" xfId="0" applyFont="1" applyFill="1" applyBorder="1" applyAlignment="1">
      <alignment vertical="center" wrapText="1"/>
    </xf>
    <xf numFmtId="0" fontId="6" fillId="4" borderId="2" xfId="0" quotePrefix="1" applyFont="1" applyFill="1" applyBorder="1" applyAlignment="1">
      <alignment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43" fontId="6" fillId="4" borderId="7" xfId="2" applyFont="1" applyFill="1" applyBorder="1" applyAlignment="1">
      <alignment horizontal="right" vertical="center" wrapText="1"/>
    </xf>
    <xf numFmtId="4" fontId="6" fillId="4" borderId="2" xfId="0" applyNumberFormat="1" applyFont="1" applyFill="1" applyBorder="1" applyAlignment="1">
      <alignment horizontal="right" vertical="center" wrapText="1"/>
    </xf>
    <xf numFmtId="4" fontId="0" fillId="4" borderId="0" xfId="0" applyNumberFormat="1" applyFill="1"/>
    <xf numFmtId="0" fontId="8" fillId="4" borderId="2" xfId="0" applyFont="1" applyFill="1" applyBorder="1" applyAlignment="1">
      <alignment wrapText="1"/>
    </xf>
    <xf numFmtId="0" fontId="0" fillId="12" borderId="2" xfId="0" applyFill="1" applyBorder="1"/>
    <xf numFmtId="0" fontId="0" fillId="12" borderId="2" xfId="0" applyFill="1" applyBorder="1" applyAlignment="1">
      <alignment wrapText="1"/>
    </xf>
    <xf numFmtId="166" fontId="0" fillId="12" borderId="2" xfId="1" applyFont="1" applyFill="1" applyBorder="1"/>
    <xf numFmtId="166" fontId="0" fillId="12" borderId="2" xfId="0" applyNumberFormat="1" applyFill="1" applyBorder="1"/>
    <xf numFmtId="43" fontId="0" fillId="12" borderId="0" xfId="0" applyNumberFormat="1" applyFill="1"/>
    <xf numFmtId="0" fontId="0" fillId="12" borderId="0" xfId="0" applyFill="1"/>
    <xf numFmtId="0" fontId="0" fillId="12" borderId="2" xfId="0" quotePrefix="1" applyFill="1" applyBorder="1"/>
    <xf numFmtId="166" fontId="0" fillId="12" borderId="0" xfId="1" applyFont="1" applyFill="1"/>
    <xf numFmtId="0" fontId="6" fillId="4" borderId="7" xfId="0" applyFont="1" applyFill="1" applyBorder="1" applyAlignment="1">
      <alignment horizontal="center" vertical="center"/>
    </xf>
    <xf numFmtId="0" fontId="35" fillId="0" borderId="32" xfId="14" applyFont="1" applyBorder="1" applyAlignment="1">
      <alignment horizontal="right" vertical="center"/>
    </xf>
    <xf numFmtId="0" fontId="35" fillId="0" borderId="33" xfId="14" applyFont="1" applyBorder="1" applyAlignment="1">
      <alignment horizontal="right" vertical="center"/>
    </xf>
    <xf numFmtId="0" fontId="31" fillId="0" borderId="0" xfId="0" applyFont="1" applyAlignment="1">
      <alignment horizontal="center"/>
    </xf>
    <xf numFmtId="0" fontId="35" fillId="0" borderId="29" xfId="14" applyFont="1" applyBorder="1" applyAlignment="1">
      <alignment horizontal="center" vertical="center"/>
    </xf>
    <xf numFmtId="0" fontId="35" fillId="0" borderId="30" xfId="14" applyFont="1" applyBorder="1" applyAlignment="1">
      <alignment horizontal="center" vertical="center"/>
    </xf>
    <xf numFmtId="0" fontId="35" fillId="0" borderId="11" xfId="14" applyFont="1" applyBorder="1" applyAlignment="1">
      <alignment horizontal="center" vertical="center" wrapText="1"/>
    </xf>
    <xf numFmtId="0" fontId="35" fillId="0" borderId="18" xfId="14" applyFont="1" applyBorder="1" applyAlignment="1">
      <alignment horizontal="center" vertical="center" wrapText="1"/>
    </xf>
    <xf numFmtId="0" fontId="35" fillId="0" borderId="28" xfId="14" applyFont="1" applyBorder="1" applyAlignment="1">
      <alignment horizontal="right" vertical="center"/>
    </xf>
    <xf numFmtId="0" fontId="35" fillId="0" borderId="5" xfId="14" applyFont="1" applyBorder="1" applyAlignment="1">
      <alignment horizontal="right" vertical="center"/>
    </xf>
    <xf numFmtId="0" fontId="35" fillId="0" borderId="31" xfId="14" applyFont="1" applyBorder="1" applyAlignment="1">
      <alignment horizontal="center" vertical="center"/>
    </xf>
    <xf numFmtId="0" fontId="35" fillId="0" borderId="27" xfId="14" applyFont="1" applyBorder="1" applyAlignment="1">
      <alignment horizontal="center" vertical="center"/>
    </xf>
    <xf numFmtId="0" fontId="35" fillId="0" borderId="9" xfId="14" applyFont="1" applyBorder="1" applyAlignment="1">
      <alignment horizontal="left" vertical="center" wrapText="1"/>
    </xf>
    <xf numFmtId="0" fontId="35" fillId="0" borderId="3" xfId="14" applyFont="1" applyBorder="1" applyAlignment="1">
      <alignment horizontal="left" vertical="center" wrapText="1"/>
    </xf>
    <xf numFmtId="0" fontId="35" fillId="0" borderId="7" xfId="14" applyFont="1" applyBorder="1" applyAlignment="1">
      <alignment horizontal="right" vertical="center"/>
    </xf>
    <xf numFmtId="0" fontId="35" fillId="0" borderId="0" xfId="14" applyFont="1" applyAlignment="1">
      <alignment horizontal="center"/>
    </xf>
    <xf numFmtId="0" fontId="35" fillId="0" borderId="19" xfId="14" applyFont="1" applyBorder="1" applyAlignment="1">
      <alignment horizontal="center" vertical="center"/>
    </xf>
    <xf numFmtId="0" fontId="35" fillId="0" borderId="25" xfId="14" applyFont="1" applyBorder="1" applyAlignment="1">
      <alignment horizontal="center" vertical="center"/>
    </xf>
    <xf numFmtId="0" fontId="35" fillId="0" borderId="20" xfId="14" applyFont="1" applyBorder="1" applyAlignment="1">
      <alignment horizontal="left" vertical="center" wrapText="1"/>
    </xf>
    <xf numFmtId="0" fontId="35" fillId="0" borderId="16" xfId="14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4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6" fontId="15" fillId="0" borderId="13" xfId="1" applyFont="1" applyFill="1" applyBorder="1" applyAlignment="1">
      <alignment horizontal="center" vertical="center" wrapText="1"/>
    </xf>
    <xf numFmtId="166" fontId="15" fillId="0" borderId="36" xfId="1" applyFont="1" applyFill="1" applyBorder="1" applyAlignment="1">
      <alignment horizontal="center" vertical="center" wrapText="1"/>
    </xf>
    <xf numFmtId="166" fontId="15" fillId="0" borderId="37" xfId="1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166" fontId="15" fillId="0" borderId="44" xfId="1" applyFont="1" applyFill="1" applyBorder="1" applyAlignment="1">
      <alignment horizontal="center" vertical="center" wrapText="1"/>
    </xf>
    <xf numFmtId="166" fontId="15" fillId="0" borderId="45" xfId="1" applyFont="1" applyFill="1" applyBorder="1" applyAlignment="1">
      <alignment horizontal="center" vertical="center" wrapText="1"/>
    </xf>
    <xf numFmtId="166" fontId="15" fillId="0" borderId="46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39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left"/>
    </xf>
    <xf numFmtId="0" fontId="3" fillId="4" borderId="0" xfId="0" applyFont="1" applyFill="1" applyAlignment="1">
      <alignment horizontal="center" vertical="center"/>
    </xf>
    <xf numFmtId="0" fontId="15" fillId="0" borderId="13" xfId="0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15" fillId="0" borderId="46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43" fontId="3" fillId="0" borderId="4" xfId="2" applyFont="1" applyFill="1" applyBorder="1" applyAlignment="1">
      <alignment horizontal="center"/>
    </xf>
    <xf numFmtId="43" fontId="3" fillId="0" borderId="5" xfId="2" applyFont="1" applyFill="1" applyBorder="1" applyAlignment="1">
      <alignment horizontal="center"/>
    </xf>
    <xf numFmtId="43" fontId="3" fillId="0" borderId="7" xfId="2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3" fillId="6" borderId="0" xfId="0" applyFont="1" applyFill="1" applyAlignment="1">
      <alignment horizontal="left"/>
    </xf>
    <xf numFmtId="0" fontId="3" fillId="6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wrapText="1"/>
    </xf>
    <xf numFmtId="0" fontId="2" fillId="6" borderId="5" xfId="0" applyFont="1" applyFill="1" applyBorder="1" applyAlignment="1">
      <alignment horizontal="center" wrapText="1"/>
    </xf>
    <xf numFmtId="0" fontId="2" fillId="6" borderId="7" xfId="0" applyFont="1" applyFill="1" applyBorder="1" applyAlignment="1">
      <alignment horizontal="center" wrapText="1"/>
    </xf>
    <xf numFmtId="0" fontId="3" fillId="6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7" fillId="0" borderId="13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15" fillId="0" borderId="37" xfId="0" applyFont="1" applyBorder="1" applyAlignment="1">
      <alignment horizont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166" fontId="3" fillId="0" borderId="0" xfId="1" applyFont="1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43" fontId="3" fillId="4" borderId="0" xfId="0" applyNumberFormat="1" applyFont="1" applyFill="1" applyAlignment="1">
      <alignment horizontal="center"/>
    </xf>
    <xf numFmtId="0" fontId="15" fillId="4" borderId="0" xfId="0" applyFont="1" applyFill="1" applyAlignment="1">
      <alignment horizont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166" fontId="15" fillId="4" borderId="13" xfId="1" applyFont="1" applyFill="1" applyBorder="1" applyAlignment="1">
      <alignment horizontal="center" vertical="center" wrapText="1"/>
    </xf>
    <xf numFmtId="166" fontId="15" fillId="4" borderId="36" xfId="1" applyFont="1" applyFill="1" applyBorder="1" applyAlignment="1">
      <alignment horizontal="center" vertical="center" wrapText="1"/>
    </xf>
    <xf numFmtId="166" fontId="15" fillId="4" borderId="37" xfId="1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36" xfId="0" applyFont="1" applyFill="1" applyBorder="1" applyAlignment="1">
      <alignment horizontal="center" vertical="center" wrapText="1"/>
    </xf>
    <xf numFmtId="0" fontId="15" fillId="4" borderId="37" xfId="0" applyFont="1" applyFill="1" applyBorder="1" applyAlignment="1">
      <alignment horizontal="center" vertical="center" wrapText="1"/>
    </xf>
    <xf numFmtId="0" fontId="15" fillId="4" borderId="44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/>
    </xf>
    <xf numFmtId="0" fontId="15" fillId="4" borderId="4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2" fontId="7" fillId="0" borderId="13" xfId="0" applyNumberFormat="1" applyFont="1" applyBorder="1" applyAlignment="1">
      <alignment horizontal="center"/>
    </xf>
    <xf numFmtId="2" fontId="7" fillId="0" borderId="36" xfId="0" applyNumberFormat="1" applyFont="1" applyBorder="1" applyAlignment="1">
      <alignment horizontal="center"/>
    </xf>
    <xf numFmtId="2" fontId="7" fillId="0" borderId="37" xfId="0" applyNumberFormat="1" applyFont="1" applyBorder="1" applyAlignment="1">
      <alignment horizontal="center"/>
    </xf>
    <xf numFmtId="43" fontId="7" fillId="0" borderId="2" xfId="2" applyFont="1" applyFill="1" applyBorder="1" applyAlignment="1">
      <alignment horizontal="center"/>
    </xf>
    <xf numFmtId="0" fontId="12" fillId="0" borderId="4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15" fillId="4" borderId="48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2" xfId="0" applyFont="1" applyBorder="1" applyAlignment="1">
      <alignment horizontal="center" wrapText="1"/>
    </xf>
    <xf numFmtId="0" fontId="1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5" fillId="0" borderId="5" xfId="0" applyFont="1" applyBorder="1" applyAlignment="1">
      <alignment horizontal="center" wrapText="1"/>
    </xf>
    <xf numFmtId="0" fontId="15" fillId="0" borderId="7" xfId="0" applyFont="1" applyBorder="1" applyAlignment="1">
      <alignment horizontal="center" wrapText="1"/>
    </xf>
    <xf numFmtId="0" fontId="2" fillId="0" borderId="1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5" fillId="0" borderId="4" xfId="0" applyFont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39" fillId="0" borderId="4" xfId="0" applyFont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0" fontId="23" fillId="0" borderId="3" xfId="0" applyFont="1" applyBorder="1" applyAlignment="1">
      <alignment horizontal="center" wrapText="1"/>
    </xf>
    <xf numFmtId="0" fontId="22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left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39" fillId="0" borderId="0" xfId="0" applyFont="1" applyAlignment="1">
      <alignment horizontal="left" vertical="center" wrapText="1"/>
    </xf>
    <xf numFmtId="0" fontId="3" fillId="7" borderId="0" xfId="0" applyFont="1" applyFill="1" applyAlignment="1">
      <alignment horizontal="center"/>
    </xf>
    <xf numFmtId="0" fontId="28" fillId="4" borderId="0" xfId="0" applyFont="1" applyFill="1" applyAlignment="1">
      <alignment horizontal="center"/>
    </xf>
    <xf numFmtId="0" fontId="6" fillId="4" borderId="0" xfId="0" applyFont="1" applyFill="1" applyAlignment="1">
      <alignment horizontal="left"/>
    </xf>
    <xf numFmtId="0" fontId="6" fillId="4" borderId="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8" fillId="7" borderId="0" xfId="0" applyFont="1" applyFill="1" applyAlignment="1">
      <alignment horizontal="center"/>
    </xf>
    <xf numFmtId="0" fontId="39" fillId="7" borderId="0" xfId="0" applyFont="1" applyFill="1" applyAlignment="1">
      <alignment horizontal="left" vertical="center" wrapText="1"/>
    </xf>
    <xf numFmtId="0" fontId="6" fillId="7" borderId="0" xfId="0" applyFont="1" applyFill="1" applyAlignment="1">
      <alignment horizontal="left"/>
    </xf>
    <xf numFmtId="0" fontId="6" fillId="7" borderId="2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26" fillId="7" borderId="4" xfId="0" applyFont="1" applyFill="1" applyBorder="1" applyAlignment="1">
      <alignment horizontal="center" vertical="center" wrapText="1"/>
    </xf>
    <xf numFmtId="0" fontId="26" fillId="7" borderId="5" xfId="0" applyFont="1" applyFill="1" applyBorder="1" applyAlignment="1">
      <alignment horizontal="center" vertical="center" wrapText="1"/>
    </xf>
    <xf numFmtId="0" fontId="26" fillId="7" borderId="7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4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40" fillId="0" borderId="4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23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wrapText="1"/>
    </xf>
    <xf numFmtId="0" fontId="42" fillId="0" borderId="3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42" fillId="0" borderId="0" xfId="0" applyFont="1" applyAlignment="1">
      <alignment horizontal="center"/>
    </xf>
    <xf numFmtId="0" fontId="39" fillId="4" borderId="0" xfId="0" applyFont="1" applyFill="1" applyAlignment="1">
      <alignment horizontal="left" vertical="center" wrapText="1"/>
    </xf>
    <xf numFmtId="0" fontId="24" fillId="0" borderId="2" xfId="0" applyFont="1" applyBorder="1" applyAlignment="1">
      <alignment horizontal="center" wrapText="1"/>
    </xf>
    <xf numFmtId="0" fontId="26" fillId="0" borderId="0" xfId="0" applyFont="1" applyAlignment="1">
      <alignment horizontal="center"/>
    </xf>
    <xf numFmtId="0" fontId="23" fillId="0" borderId="4" xfId="0" applyFont="1" applyBorder="1" applyAlignment="1">
      <alignment horizontal="center" wrapText="1"/>
    </xf>
    <xf numFmtId="0" fontId="23" fillId="0" borderId="5" xfId="0" applyFont="1" applyBorder="1" applyAlignment="1">
      <alignment horizontal="center" wrapText="1"/>
    </xf>
    <xf numFmtId="0" fontId="23" fillId="0" borderId="7" xfId="0" applyFont="1" applyBorder="1" applyAlignment="1">
      <alignment horizontal="center" wrapText="1"/>
    </xf>
    <xf numFmtId="0" fontId="6" fillId="0" borderId="0" xfId="0" applyFont="1" applyAlignment="1">
      <alignment horizontal="left" vertical="top" wrapText="1"/>
    </xf>
    <xf numFmtId="0" fontId="28" fillId="2" borderId="0" xfId="0" applyFont="1" applyFill="1" applyAlignment="1">
      <alignment horizontal="center"/>
    </xf>
    <xf numFmtId="0" fontId="39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left"/>
    </xf>
    <xf numFmtId="0" fontId="3" fillId="7" borderId="0" xfId="0" applyFont="1" applyFill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15" fillId="6" borderId="4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43" fontId="23" fillId="6" borderId="4" xfId="0" applyNumberFormat="1" applyFont="1" applyFill="1" applyBorder="1" applyAlignment="1">
      <alignment horizontal="center" wrapText="1"/>
    </xf>
    <xf numFmtId="0" fontId="23" fillId="6" borderId="5" xfId="0" applyFont="1" applyFill="1" applyBorder="1" applyAlignment="1">
      <alignment horizontal="center" wrapText="1"/>
    </xf>
    <xf numFmtId="0" fontId="23" fillId="6" borderId="7" xfId="0" applyFont="1" applyFill="1" applyBorder="1" applyAlignment="1">
      <alignment horizontal="center" wrapText="1"/>
    </xf>
    <xf numFmtId="43" fontId="23" fillId="0" borderId="4" xfId="0" applyNumberFormat="1" applyFont="1" applyBorder="1" applyAlignment="1">
      <alignment horizontal="center" wrapText="1"/>
    </xf>
    <xf numFmtId="0" fontId="15" fillId="2" borderId="0" xfId="0" applyFont="1" applyFill="1" applyAlignment="1">
      <alignment horizont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166" fontId="15" fillId="2" borderId="13" xfId="1" applyFont="1" applyFill="1" applyBorder="1" applyAlignment="1">
      <alignment horizontal="center" vertical="center" wrapText="1"/>
    </xf>
    <xf numFmtId="166" fontId="15" fillId="2" borderId="36" xfId="1" applyFont="1" applyFill="1" applyBorder="1" applyAlignment="1">
      <alignment horizontal="center" vertical="center" wrapText="1"/>
    </xf>
    <xf numFmtId="166" fontId="15" fillId="2" borderId="37" xfId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45" fillId="0" borderId="4" xfId="0" applyFont="1" applyBorder="1" applyAlignment="1">
      <alignment horizontal="center"/>
    </xf>
    <xf numFmtId="0" fontId="45" fillId="0" borderId="1" xfId="0" applyFont="1" applyBorder="1" applyAlignment="1">
      <alignment horizontal="center"/>
    </xf>
    <xf numFmtId="0" fontId="45" fillId="0" borderId="7" xfId="0" applyFont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39" fillId="4" borderId="4" xfId="0" applyFont="1" applyFill="1" applyBorder="1" applyAlignment="1">
      <alignment horizontal="center" vertical="center" wrapText="1"/>
    </xf>
    <xf numFmtId="0" fontId="39" fillId="4" borderId="7" xfId="0" applyFont="1" applyFill="1" applyBorder="1" applyAlignment="1">
      <alignment horizontal="center" vertical="center" wrapText="1"/>
    </xf>
    <xf numFmtId="0" fontId="39" fillId="4" borderId="2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39" fillId="4" borderId="0" xfId="0" applyFont="1" applyFill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45" fillId="4" borderId="4" xfId="0" applyFont="1" applyFill="1" applyBorder="1" applyAlignment="1">
      <alignment horizontal="center"/>
    </xf>
    <xf numFmtId="0" fontId="45" fillId="4" borderId="1" xfId="0" applyFont="1" applyFill="1" applyBorder="1" applyAlignment="1">
      <alignment horizontal="center"/>
    </xf>
    <xf numFmtId="0" fontId="45" fillId="4" borderId="7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 vertical="top" wrapText="1"/>
    </xf>
    <xf numFmtId="0" fontId="6" fillId="4" borderId="7" xfId="0" applyFont="1" applyFill="1" applyBorder="1" applyAlignment="1">
      <alignment horizontal="center" vertical="top" wrapText="1"/>
    </xf>
    <xf numFmtId="0" fontId="6" fillId="4" borderId="4" xfId="0" applyFont="1" applyFill="1" applyBorder="1" applyAlignment="1">
      <alignment horizontal="center" vertical="top"/>
    </xf>
    <xf numFmtId="0" fontId="6" fillId="4" borderId="7" xfId="0" applyFont="1" applyFill="1" applyBorder="1" applyAlignment="1">
      <alignment horizontal="center" vertical="top"/>
    </xf>
    <xf numFmtId="0" fontId="6" fillId="4" borderId="5" xfId="0" applyFont="1" applyFill="1" applyBorder="1" applyAlignment="1">
      <alignment horizontal="center" vertical="top" wrapText="1"/>
    </xf>
    <xf numFmtId="0" fontId="2" fillId="6" borderId="0" xfId="0" applyFont="1" applyFill="1" applyAlignment="1">
      <alignment horizontal="left"/>
    </xf>
    <xf numFmtId="0" fontId="2" fillId="6" borderId="4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wrapText="1"/>
    </xf>
    <xf numFmtId="0" fontId="2" fillId="7" borderId="0" xfId="0" applyFont="1" applyFill="1" applyAlignment="1">
      <alignment horizontal="center"/>
    </xf>
    <xf numFmtId="0" fontId="3" fillId="7" borderId="4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wrapText="1"/>
    </xf>
    <xf numFmtId="0" fontId="3" fillId="7" borderId="5" xfId="0" applyFont="1" applyFill="1" applyBorder="1" applyAlignment="1">
      <alignment horizontal="center" wrapText="1"/>
    </xf>
    <xf numFmtId="0" fontId="3" fillId="7" borderId="7" xfId="0" applyFont="1" applyFill="1" applyBorder="1" applyAlignment="1">
      <alignment horizontal="center" wrapText="1"/>
    </xf>
    <xf numFmtId="0" fontId="3" fillId="7" borderId="54" xfId="0" applyFont="1" applyFill="1" applyBorder="1" applyAlignment="1">
      <alignment horizontal="center"/>
    </xf>
    <xf numFmtId="0" fontId="3" fillId="7" borderId="54" xfId="0" applyFont="1" applyFill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62" fillId="0" borderId="2" xfId="0" applyFont="1" applyBorder="1" applyAlignment="1">
      <alignment horizontal="center" vertical="center"/>
    </xf>
    <xf numFmtId="166" fontId="0" fillId="0" borderId="2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/>
    </xf>
    <xf numFmtId="0" fontId="0" fillId="0" borderId="0" xfId="0" applyAlignment="1">
      <alignment horizontal="left"/>
    </xf>
    <xf numFmtId="0" fontId="64" fillId="0" borderId="0" xfId="0" applyFont="1" applyAlignment="1">
      <alignment horizontal="center" vertical="center"/>
    </xf>
    <xf numFmtId="0" fontId="60" fillId="11" borderId="2" xfId="0" applyFont="1" applyFill="1" applyBorder="1" applyAlignment="1">
      <alignment horizontal="center" vertical="center" wrapText="1"/>
    </xf>
    <xf numFmtId="0" fontId="60" fillId="11" borderId="2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66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47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9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66" fontId="0" fillId="0" borderId="4" xfId="1" applyFont="1" applyFill="1" applyBorder="1" applyAlignment="1">
      <alignment horizontal="center"/>
    </xf>
    <xf numFmtId="166" fontId="0" fillId="0" borderId="5" xfId="1" applyFont="1" applyFill="1" applyBorder="1" applyAlignment="1">
      <alignment horizontal="center"/>
    </xf>
    <xf numFmtId="166" fontId="0" fillId="0" borderId="7" xfId="1" applyFont="1" applyFill="1" applyBorder="1" applyAlignment="1">
      <alignment horizontal="center"/>
    </xf>
    <xf numFmtId="166" fontId="0" fillId="0" borderId="9" xfId="1" applyFont="1" applyBorder="1" applyAlignment="1">
      <alignment horizontal="center" vertical="center"/>
    </xf>
    <xf numFmtId="166" fontId="0" fillId="0" borderId="3" xfId="1" applyFont="1" applyBorder="1" applyAlignment="1">
      <alignment horizontal="center" vertical="center"/>
    </xf>
    <xf numFmtId="166" fontId="0" fillId="0" borderId="54" xfId="1" applyFont="1" applyBorder="1" applyAlignment="1">
      <alignment horizontal="center"/>
    </xf>
    <xf numFmtId="166" fontId="0" fillId="0" borderId="0" xfId="1" applyFont="1" applyAlignment="1">
      <alignment horizontal="center"/>
    </xf>
    <xf numFmtId="0" fontId="0" fillId="0" borderId="54" xfId="0" applyBorder="1" applyAlignment="1">
      <alignment horizontal="center"/>
    </xf>
    <xf numFmtId="166" fontId="31" fillId="0" borderId="15" xfId="1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25" fillId="0" borderId="5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0" borderId="0" xfId="0" applyFont="1" applyAlignment="1">
      <alignment horizontal="center" wrapText="1"/>
    </xf>
    <xf numFmtId="0" fontId="25" fillId="0" borderId="0" xfId="0" applyFont="1" applyAlignment="1">
      <alignment horizontal="center"/>
    </xf>
    <xf numFmtId="0" fontId="0" fillId="0" borderId="1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top"/>
    </xf>
    <xf numFmtId="0" fontId="17" fillId="0" borderId="16" xfId="0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7" fillId="0" borderId="9" xfId="0" applyFont="1" applyBorder="1" applyAlignment="1">
      <alignment horizontal="center" vertical="top" wrapText="1"/>
    </xf>
    <xf numFmtId="0" fontId="17" fillId="0" borderId="16" xfId="0" applyFont="1" applyBorder="1" applyAlignment="1">
      <alignment horizontal="center" vertical="top" wrapText="1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51" fillId="0" borderId="9" xfId="0" applyFont="1" applyBorder="1" applyAlignment="1">
      <alignment horizontal="center" vertical="top" wrapText="1"/>
    </xf>
    <xf numFmtId="0" fontId="51" fillId="0" borderId="16" xfId="0" applyFont="1" applyBorder="1" applyAlignment="1">
      <alignment horizontal="center" vertical="top" wrapText="1"/>
    </xf>
    <xf numFmtId="0" fontId="51" fillId="0" borderId="3" xfId="0" applyFont="1" applyBorder="1" applyAlignment="1">
      <alignment horizontal="center" vertical="top" wrapText="1"/>
    </xf>
    <xf numFmtId="0" fontId="33" fillId="0" borderId="9" xfId="0" applyFont="1" applyBorder="1" applyAlignment="1">
      <alignment horizontal="center" vertical="top"/>
    </xf>
    <xf numFmtId="0" fontId="33" fillId="0" borderId="16" xfId="0" applyFont="1" applyBorder="1" applyAlignment="1">
      <alignment horizontal="center" vertical="top"/>
    </xf>
    <xf numFmtId="0" fontId="33" fillId="0" borderId="3" xfId="0" applyFont="1" applyBorder="1" applyAlignment="1">
      <alignment horizontal="center" vertical="top"/>
    </xf>
    <xf numFmtId="0" fontId="33" fillId="0" borderId="9" xfId="0" applyFont="1" applyBorder="1" applyAlignment="1">
      <alignment horizontal="center" vertical="top" wrapText="1"/>
    </xf>
    <xf numFmtId="0" fontId="33" fillId="0" borderId="16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0" fillId="4" borderId="15" xfId="0" applyFill="1" applyBorder="1" applyAlignment="1">
      <alignment horizontal="center"/>
    </xf>
    <xf numFmtId="0" fontId="25" fillId="0" borderId="39" xfId="0" applyFont="1" applyBorder="1" applyAlignment="1">
      <alignment horizontal="center"/>
    </xf>
    <xf numFmtId="0" fontId="25" fillId="0" borderId="23" xfId="0" applyFont="1" applyBorder="1" applyAlignment="1">
      <alignment horizontal="center"/>
    </xf>
    <xf numFmtId="0" fontId="25" fillId="0" borderId="40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5" fillId="0" borderId="36" xfId="0" applyFont="1" applyBorder="1" applyAlignment="1">
      <alignment horizontal="center"/>
    </xf>
    <xf numFmtId="0" fontId="33" fillId="0" borderId="2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31" fillId="0" borderId="9" xfId="0" applyFont="1" applyBorder="1" applyAlignment="1">
      <alignment horizontal="center"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3" xfId="0" applyFont="1" applyBorder="1" applyAlignment="1">
      <alignment horizontal="center" vertical="top" wrapText="1"/>
    </xf>
    <xf numFmtId="0" fontId="34" fillId="0" borderId="0" xfId="0" applyFont="1" applyAlignment="1">
      <alignment horizontal="center"/>
    </xf>
    <xf numFmtId="0" fontId="32" fillId="0" borderId="9" xfId="0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166" fontId="32" fillId="0" borderId="2" xfId="1" applyFont="1" applyBorder="1" applyAlignment="1">
      <alignment horizontal="center" vertical="center"/>
    </xf>
    <xf numFmtId="166" fontId="32" fillId="0" borderId="16" xfId="1" applyFont="1" applyBorder="1" applyAlignment="1">
      <alignment horizontal="center" vertical="center"/>
    </xf>
    <xf numFmtId="166" fontId="32" fillId="0" borderId="3" xfId="1" applyFont="1" applyBorder="1" applyAlignment="1">
      <alignment horizontal="center" vertical="center"/>
    </xf>
    <xf numFmtId="166" fontId="32" fillId="0" borderId="16" xfId="1" applyFont="1" applyBorder="1" applyAlignment="1">
      <alignment horizontal="center" vertical="center" wrapText="1"/>
    </xf>
    <xf numFmtId="166" fontId="32" fillId="0" borderId="3" xfId="1" applyFont="1" applyBorder="1" applyAlignment="1">
      <alignment horizontal="center" vertical="center" wrapText="1"/>
    </xf>
    <xf numFmtId="166" fontId="32" fillId="0" borderId="6" xfId="1" applyFont="1" applyBorder="1" applyAlignment="1">
      <alignment horizontal="center" vertical="center"/>
    </xf>
    <xf numFmtId="166" fontId="32" fillId="0" borderId="8" xfId="1" applyFont="1" applyBorder="1" applyAlignment="1">
      <alignment horizontal="center" vertical="center"/>
    </xf>
    <xf numFmtId="0" fontId="31" fillId="0" borderId="9" xfId="0" applyFont="1" applyBorder="1" applyAlignment="1">
      <alignment horizontal="left" vertical="top" wrapText="1"/>
    </xf>
    <xf numFmtId="0" fontId="31" fillId="0" borderId="16" xfId="0" applyFont="1" applyBorder="1" applyAlignment="1">
      <alignment horizontal="left" vertical="top" wrapText="1"/>
    </xf>
    <xf numFmtId="0" fontId="31" fillId="0" borderId="3" xfId="0" applyFont="1" applyBorder="1" applyAlignment="1">
      <alignment horizontal="left" vertical="top" wrapText="1"/>
    </xf>
    <xf numFmtId="0" fontId="33" fillId="0" borderId="9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5" fillId="0" borderId="9" xfId="0" applyFont="1" applyBorder="1" applyAlignment="1">
      <alignment horizontal="left" vertical="top" wrapText="1"/>
    </xf>
    <xf numFmtId="0" fontId="25" fillId="0" borderId="16" xfId="0" applyFont="1" applyBorder="1" applyAlignment="1">
      <alignment horizontal="left" vertical="top" wrapText="1"/>
    </xf>
    <xf numFmtId="0" fontId="25" fillId="0" borderId="3" xfId="0" applyFont="1" applyBorder="1" applyAlignment="1">
      <alignment horizontal="left" vertical="top" wrapText="1"/>
    </xf>
    <xf numFmtId="0" fontId="31" fillId="0" borderId="9" xfId="0" applyFont="1" applyBorder="1" applyAlignment="1">
      <alignment horizontal="left" vertical="center" wrapText="1"/>
    </xf>
    <xf numFmtId="0" fontId="31" fillId="0" borderId="16" xfId="0" applyFont="1" applyBorder="1" applyAlignment="1">
      <alignment horizontal="left" vertical="center" wrapText="1"/>
    </xf>
    <xf numFmtId="0" fontId="31" fillId="0" borderId="3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/>
    </xf>
    <xf numFmtId="0" fontId="6" fillId="4" borderId="2" xfId="0" quotePrefix="1" applyFont="1" applyFill="1" applyBorder="1"/>
    <xf numFmtId="166" fontId="6" fillId="4" borderId="4" xfId="1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wrapText="1"/>
    </xf>
  </cellXfs>
  <cellStyles count="21">
    <cellStyle name="Comma" xfId="1" builtinId="3"/>
    <cellStyle name="Comma [0]" xfId="18" builtinId="6"/>
    <cellStyle name="Comma [0] 15" xfId="13" xr:uid="{00000000-0005-0000-0000-000002000000}"/>
    <cellStyle name="Comma [0] 2" xfId="11" xr:uid="{00000000-0005-0000-0000-000003000000}"/>
    <cellStyle name="Comma [0] 3" xfId="15" xr:uid="{00000000-0005-0000-0000-000004000000}"/>
    <cellStyle name="Comma 10 2" xfId="2" xr:uid="{00000000-0005-0000-0000-000005000000}"/>
    <cellStyle name="Comma 2" xfId="10" xr:uid="{00000000-0005-0000-0000-000006000000}"/>
    <cellStyle name="Comma 2 2 2" xfId="12" xr:uid="{00000000-0005-0000-0000-000007000000}"/>
    <cellStyle name="Comma 2 2 5" xfId="7" xr:uid="{00000000-0005-0000-0000-000008000000}"/>
    <cellStyle name="Comma 2 9" xfId="6" xr:uid="{00000000-0005-0000-0000-000009000000}"/>
    <cellStyle name="Comma 3 5" xfId="19" xr:uid="{00000000-0005-0000-0000-00000A000000}"/>
    <cellStyle name="Comma 58" xfId="16" xr:uid="{00000000-0005-0000-0000-00000B000000}"/>
    <cellStyle name="Comma 59" xfId="17" xr:uid="{00000000-0005-0000-0000-00000C000000}"/>
    <cellStyle name="Normal" xfId="0" builtinId="0"/>
    <cellStyle name="Normal - Style1 2" xfId="4" xr:uid="{00000000-0005-0000-0000-00000E000000}"/>
    <cellStyle name="Normal 14" xfId="8" xr:uid="{00000000-0005-0000-0000-00000F000000}"/>
    <cellStyle name="Normal 2" xfId="9" xr:uid="{00000000-0005-0000-0000-000010000000}"/>
    <cellStyle name="Normal 2 2" xfId="3" xr:uid="{00000000-0005-0000-0000-000011000000}"/>
    <cellStyle name="Normal 3" xfId="14" xr:uid="{00000000-0005-0000-0000-000012000000}"/>
    <cellStyle name="Normal 3 5" xfId="5" xr:uid="{00000000-0005-0000-0000-000013000000}"/>
    <cellStyle name="Percent" xfId="20" builtinId="5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gis\Documents\New%20Folder\DATA%202022\RKP%20INDUK%20PRI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 UP 2"/>
      <sheetName val="RAB 2"/>
      <sheetName val="DAFTAR RPDK MASUK DESA"/>
      <sheetName val="RPPD"/>
      <sheetName val="BID I"/>
      <sheetName val="BID II"/>
      <sheetName val=" BID III"/>
      <sheetName val="BID IV"/>
      <sheetName val="RKP DESA"/>
      <sheetName val="Daftar Usulan SDGs VI.B"/>
      <sheetName val="PRIORITAS USULAN VI.A"/>
      <sheetName val="KERJA SAMA ANTAR DESA VI.C"/>
      <sheetName val="LPPK"/>
      <sheetName val="KERJASAMA PIHAK KE 3 VI.D"/>
      <sheetName val="RENCANA PEMBIAYAAN DESA"/>
      <sheetName val="DU RKP"/>
      <sheetName val="Sheet2"/>
      <sheetName val="contoh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4">
          <cell r="F14">
            <v>48000000</v>
          </cell>
        </row>
        <row r="42">
          <cell r="F42">
            <v>33600000</v>
          </cell>
        </row>
        <row r="43">
          <cell r="F43">
            <v>172800000</v>
          </cell>
        </row>
        <row r="44">
          <cell r="F44">
            <v>230400000</v>
          </cell>
        </row>
        <row r="81">
          <cell r="F81">
            <v>480000</v>
          </cell>
        </row>
        <row r="83">
          <cell r="F83">
            <v>336000</v>
          </cell>
        </row>
        <row r="84">
          <cell r="F84">
            <v>1994616</v>
          </cell>
        </row>
        <row r="85">
          <cell r="F85">
            <v>2659488</v>
          </cell>
        </row>
      </sheetData>
      <sheetData sheetId="5">
        <row r="398">
          <cell r="F398">
            <v>9812000</v>
          </cell>
        </row>
      </sheetData>
      <sheetData sheetId="6">
        <row r="105">
          <cell r="F105">
            <v>4150000</v>
          </cell>
        </row>
      </sheetData>
      <sheetData sheetId="7">
        <row r="51">
          <cell r="F51">
            <v>84041200</v>
          </cell>
        </row>
      </sheetData>
      <sheetData sheetId="8">
        <row r="12">
          <cell r="L12">
            <v>160400000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"/>
  <sheetViews>
    <sheetView topLeftCell="A11" zoomScale="71" zoomScaleNormal="71" workbookViewId="0">
      <selection activeCell="D14" sqref="D14"/>
    </sheetView>
  </sheetViews>
  <sheetFormatPr defaultRowHeight="15" x14ac:dyDescent="0.25"/>
  <cols>
    <col min="1" max="1" width="4.5703125" customWidth="1"/>
    <col min="2" max="2" width="20.42578125" customWidth="1"/>
    <col min="3" max="3" width="3.5703125" customWidth="1"/>
    <col min="4" max="4" width="24.28515625" customWidth="1"/>
    <col min="5" max="5" width="9.85546875" customWidth="1"/>
    <col min="6" max="6" width="9.5703125" customWidth="1"/>
    <col min="7" max="7" width="18.28515625" customWidth="1"/>
    <col min="8" max="8" width="16.5703125" customWidth="1"/>
    <col min="9" max="9" width="20.7109375" customWidth="1"/>
    <col min="10" max="10" width="14.7109375" customWidth="1"/>
    <col min="12" max="12" width="30.42578125" customWidth="1"/>
  </cols>
  <sheetData>
    <row r="1" spans="1:12" ht="15.75" x14ac:dyDescent="0.25">
      <c r="A1" s="1921" t="s">
        <v>1091</v>
      </c>
      <c r="B1" s="1921"/>
      <c r="C1" s="1921"/>
      <c r="D1" s="1921"/>
      <c r="E1" s="1921"/>
      <c r="F1" s="1921"/>
      <c r="G1" s="1921"/>
      <c r="H1" s="1921"/>
      <c r="I1" s="1921"/>
      <c r="J1" s="1921"/>
    </row>
    <row r="2" spans="1:12" ht="15.75" x14ac:dyDescent="0.25">
      <c r="A2" s="1921" t="s">
        <v>1721</v>
      </c>
      <c r="B2" s="1921"/>
      <c r="C2" s="1921"/>
      <c r="D2" s="1921"/>
      <c r="E2" s="1921"/>
      <c r="F2" s="1921"/>
      <c r="G2" s="1921"/>
      <c r="H2" s="1921"/>
      <c r="I2" s="1921"/>
      <c r="J2" s="1921"/>
    </row>
    <row r="3" spans="1:12" ht="15.75" x14ac:dyDescent="0.25">
      <c r="A3" s="7" t="s">
        <v>1092</v>
      </c>
      <c r="B3" s="36"/>
      <c r="C3" s="37" t="s">
        <v>62</v>
      </c>
      <c r="D3" s="36" t="s">
        <v>1093</v>
      </c>
      <c r="E3" s="36"/>
      <c r="F3" s="36"/>
      <c r="G3" s="36"/>
      <c r="H3" s="36"/>
      <c r="I3" s="36"/>
    </row>
    <row r="4" spans="1:12" ht="15.75" x14ac:dyDescent="0.25">
      <c r="A4" s="7" t="s">
        <v>1094</v>
      </c>
      <c r="B4" s="38"/>
      <c r="C4" s="37" t="s">
        <v>62</v>
      </c>
      <c r="D4" s="36" t="s">
        <v>1095</v>
      </c>
      <c r="E4" s="36"/>
      <c r="F4" s="36"/>
      <c r="G4" s="36"/>
      <c r="H4" s="36"/>
      <c r="I4" s="36"/>
    </row>
    <row r="5" spans="1:12" ht="15.75" x14ac:dyDescent="0.25">
      <c r="A5" s="7" t="s">
        <v>1096</v>
      </c>
      <c r="B5" s="38"/>
      <c r="C5" s="37" t="s">
        <v>62</v>
      </c>
      <c r="D5" s="36" t="s">
        <v>1097</v>
      </c>
      <c r="E5" s="36"/>
      <c r="F5" s="36"/>
      <c r="G5" s="36"/>
      <c r="H5" s="36"/>
      <c r="I5" s="7"/>
    </row>
    <row r="6" spans="1:12" ht="15.75" x14ac:dyDescent="0.25">
      <c r="A6" s="7" t="s">
        <v>1098</v>
      </c>
      <c r="B6" s="38"/>
      <c r="C6" s="37" t="s">
        <v>62</v>
      </c>
      <c r="D6" s="36" t="s">
        <v>1099</v>
      </c>
      <c r="E6" s="36"/>
      <c r="F6" s="36"/>
      <c r="G6" s="36"/>
      <c r="H6" s="36"/>
      <c r="I6" s="7"/>
    </row>
    <row r="7" spans="1:12" ht="16.5" thickBot="1" x14ac:dyDescent="0.3">
      <c r="A7" s="36"/>
      <c r="B7" s="36"/>
      <c r="C7" s="36"/>
      <c r="D7" s="36"/>
      <c r="E7" s="36"/>
      <c r="F7" s="36"/>
      <c r="G7" s="36"/>
      <c r="H7" s="36"/>
      <c r="I7" s="36"/>
    </row>
    <row r="8" spans="1:12" ht="48" thickBot="1" x14ac:dyDescent="0.3">
      <c r="A8" s="39" t="s">
        <v>951</v>
      </c>
      <c r="B8" s="40" t="s">
        <v>994</v>
      </c>
      <c r="C8" s="40"/>
      <c r="D8" s="40" t="s">
        <v>995</v>
      </c>
      <c r="E8" s="41" t="s">
        <v>988</v>
      </c>
      <c r="F8" s="41" t="s">
        <v>512</v>
      </c>
      <c r="G8" s="40" t="s">
        <v>1100</v>
      </c>
      <c r="H8" s="40" t="s">
        <v>1101</v>
      </c>
      <c r="I8" s="42" t="s">
        <v>1102</v>
      </c>
      <c r="J8" s="42" t="s">
        <v>1103</v>
      </c>
    </row>
    <row r="9" spans="1:12" ht="15.75" x14ac:dyDescent="0.25">
      <c r="A9" s="1922">
        <v>1</v>
      </c>
      <c r="B9" s="1924" t="s">
        <v>56</v>
      </c>
      <c r="C9" s="43"/>
      <c r="D9" s="44"/>
      <c r="E9" s="45"/>
      <c r="F9" s="46"/>
      <c r="G9" s="46"/>
      <c r="H9" s="46"/>
      <c r="I9" s="47"/>
      <c r="J9" s="48"/>
    </row>
    <row r="10" spans="1:12" ht="15.75" x14ac:dyDescent="0.25">
      <c r="A10" s="1923"/>
      <c r="B10" s="1925"/>
      <c r="C10" s="49"/>
      <c r="D10" s="50"/>
      <c r="E10" s="51"/>
      <c r="F10" s="51"/>
      <c r="G10" s="52"/>
      <c r="H10" s="52"/>
      <c r="I10" s="53"/>
      <c r="J10" s="54"/>
    </row>
    <row r="11" spans="1:12" ht="15.75" x14ac:dyDescent="0.25">
      <c r="A11" s="1917"/>
      <c r="B11" s="1919"/>
      <c r="C11" s="55"/>
      <c r="D11" s="50"/>
      <c r="E11" s="51"/>
      <c r="F11" s="51"/>
      <c r="G11" s="51"/>
      <c r="H11" s="51"/>
      <c r="I11" s="53"/>
      <c r="J11" s="54"/>
    </row>
    <row r="12" spans="1:12" ht="15.75" x14ac:dyDescent="0.25">
      <c r="A12" s="1914" t="s">
        <v>1017</v>
      </c>
      <c r="B12" s="1915"/>
      <c r="C12" s="1915"/>
      <c r="D12" s="1915"/>
      <c r="E12" s="1915"/>
      <c r="F12" s="1915"/>
      <c r="G12" s="1915"/>
      <c r="H12" s="1920"/>
      <c r="I12" s="53">
        <f>SUM(I9:I11)</f>
        <v>0</v>
      </c>
      <c r="J12" s="54"/>
    </row>
    <row r="13" spans="1:12" ht="120" customHeight="1" x14ac:dyDescent="0.25">
      <c r="A13" s="1910">
        <v>2</v>
      </c>
      <c r="B13" s="1912" t="s">
        <v>763</v>
      </c>
      <c r="C13" s="55"/>
      <c r="D13" s="56" t="s">
        <v>2910</v>
      </c>
      <c r="E13" s="57" t="s">
        <v>1012</v>
      </c>
      <c r="F13" s="58" t="s">
        <v>1104</v>
      </c>
      <c r="G13" s="50" t="s">
        <v>2914</v>
      </c>
      <c r="H13" s="59" t="s">
        <v>1411</v>
      </c>
      <c r="I13" s="53">
        <v>1500000000</v>
      </c>
      <c r="J13" s="60" t="s">
        <v>1105</v>
      </c>
    </row>
    <row r="14" spans="1:12" ht="71.25" customHeight="1" x14ac:dyDescent="0.25">
      <c r="A14" s="1911"/>
      <c r="B14" s="1913"/>
      <c r="C14" s="55"/>
      <c r="D14" s="56" t="s">
        <v>2912</v>
      </c>
      <c r="E14" s="57" t="s">
        <v>1012</v>
      </c>
      <c r="F14" s="58" t="s">
        <v>2913</v>
      </c>
      <c r="G14" s="50" t="s">
        <v>1106</v>
      </c>
      <c r="H14" s="59" t="s">
        <v>1411</v>
      </c>
      <c r="I14" s="53">
        <v>2000000000</v>
      </c>
      <c r="J14" s="60" t="s">
        <v>1105</v>
      </c>
    </row>
    <row r="15" spans="1:12" ht="95.25" customHeight="1" x14ac:dyDescent="0.25">
      <c r="A15" s="1911"/>
      <c r="B15" s="1913"/>
      <c r="C15" s="55"/>
      <c r="D15" s="56" t="s">
        <v>3573</v>
      </c>
      <c r="E15" s="57" t="s">
        <v>1012</v>
      </c>
      <c r="F15" s="58" t="s">
        <v>3574</v>
      </c>
      <c r="G15" s="50" t="s">
        <v>1106</v>
      </c>
      <c r="H15" s="59" t="s">
        <v>1411</v>
      </c>
      <c r="I15" s="53">
        <v>3000000000</v>
      </c>
      <c r="J15" s="60" t="s">
        <v>1105</v>
      </c>
    </row>
    <row r="16" spans="1:12" ht="123.75" customHeight="1" x14ac:dyDescent="0.25">
      <c r="A16" s="1911"/>
      <c r="B16" s="1913"/>
      <c r="C16" s="55"/>
      <c r="D16" s="56" t="s">
        <v>2918</v>
      </c>
      <c r="E16" s="57" t="s">
        <v>1012</v>
      </c>
      <c r="F16" s="58" t="s">
        <v>2919</v>
      </c>
      <c r="G16" s="50" t="s">
        <v>1106</v>
      </c>
      <c r="H16" s="59" t="s">
        <v>2917</v>
      </c>
      <c r="I16" s="53">
        <v>45000000</v>
      </c>
      <c r="J16" s="60" t="s">
        <v>1105</v>
      </c>
      <c r="L16">
        <f>3000000*15</f>
        <v>45000000</v>
      </c>
    </row>
    <row r="17" spans="1:11" ht="89.25" customHeight="1" x14ac:dyDescent="0.25">
      <c r="A17" s="1911"/>
      <c r="B17" s="1913"/>
      <c r="C17" s="55"/>
      <c r="D17" s="56" t="s">
        <v>2911</v>
      </c>
      <c r="E17" s="57" t="s">
        <v>1012</v>
      </c>
      <c r="F17" s="58" t="s">
        <v>2915</v>
      </c>
      <c r="G17" s="50" t="s">
        <v>2916</v>
      </c>
      <c r="H17" s="59" t="s">
        <v>1411</v>
      </c>
      <c r="I17" s="53">
        <v>2540000000</v>
      </c>
      <c r="J17" s="60" t="s">
        <v>1105</v>
      </c>
    </row>
    <row r="18" spans="1:11" ht="15.75" x14ac:dyDescent="0.25">
      <c r="A18" s="1914" t="s">
        <v>1107</v>
      </c>
      <c r="B18" s="1915"/>
      <c r="C18" s="1915"/>
      <c r="D18" s="1915"/>
      <c r="E18" s="1915"/>
      <c r="F18" s="1915"/>
      <c r="G18" s="1915"/>
      <c r="H18" s="1915"/>
      <c r="I18" s="53">
        <f>SUM(I13:I17)</f>
        <v>9085000000</v>
      </c>
      <c r="J18" s="54"/>
    </row>
    <row r="19" spans="1:11" ht="15.75" x14ac:dyDescent="0.25">
      <c r="A19" s="1916">
        <v>3</v>
      </c>
      <c r="B19" s="1918" t="s">
        <v>1019</v>
      </c>
      <c r="C19" s="49"/>
      <c r="D19" s="50"/>
      <c r="E19" s="52"/>
      <c r="F19" s="51"/>
      <c r="G19" s="51"/>
      <c r="H19" s="51"/>
      <c r="I19" s="53"/>
      <c r="J19" s="54"/>
    </row>
    <row r="20" spans="1:11" ht="15.75" x14ac:dyDescent="0.25">
      <c r="A20" s="1917"/>
      <c r="B20" s="1919"/>
      <c r="C20" s="49"/>
      <c r="D20" s="50"/>
      <c r="E20" s="52"/>
      <c r="F20" s="51"/>
      <c r="G20" s="51"/>
      <c r="H20" s="51"/>
      <c r="I20" s="53"/>
      <c r="J20" s="54"/>
    </row>
    <row r="21" spans="1:11" ht="15.75" x14ac:dyDescent="0.25">
      <c r="A21" s="1914" t="s">
        <v>1108</v>
      </c>
      <c r="B21" s="1915"/>
      <c r="C21" s="1915"/>
      <c r="D21" s="1915"/>
      <c r="E21" s="1915"/>
      <c r="F21" s="1915"/>
      <c r="G21" s="1915"/>
      <c r="H21" s="1920"/>
      <c r="I21" s="62">
        <f>SUM(I19:I20)</f>
        <v>0</v>
      </c>
      <c r="J21" s="54"/>
    </row>
    <row r="22" spans="1:11" ht="15.75" x14ac:dyDescent="0.25">
      <c r="A22" s="1916">
        <v>4</v>
      </c>
      <c r="B22" s="1918" t="s">
        <v>1021</v>
      </c>
      <c r="C22" s="49"/>
      <c r="D22" s="58"/>
      <c r="E22" s="58"/>
      <c r="F22" s="58"/>
      <c r="G22" s="58"/>
      <c r="H22" s="61"/>
      <c r="I22" s="62"/>
      <c r="J22" s="54"/>
    </row>
    <row r="23" spans="1:11" ht="15.75" x14ac:dyDescent="0.25">
      <c r="A23" s="1917"/>
      <c r="B23" s="1919"/>
      <c r="C23" s="49"/>
      <c r="D23" s="58"/>
      <c r="E23" s="58"/>
      <c r="F23" s="58"/>
      <c r="G23" s="58"/>
      <c r="H23" s="61"/>
      <c r="I23" s="62"/>
      <c r="J23" s="54"/>
    </row>
    <row r="24" spans="1:11" ht="15.75" x14ac:dyDescent="0.25">
      <c r="A24" s="1914" t="s">
        <v>1109</v>
      </c>
      <c r="B24" s="1915"/>
      <c r="C24" s="1915"/>
      <c r="D24" s="1915"/>
      <c r="E24" s="1915"/>
      <c r="F24" s="1915"/>
      <c r="G24" s="1915"/>
      <c r="H24" s="1920"/>
      <c r="I24" s="62"/>
      <c r="J24" s="54"/>
    </row>
    <row r="25" spans="1:11" ht="15.75" x14ac:dyDescent="0.25">
      <c r="A25" s="1914"/>
      <c r="B25" s="1915"/>
      <c r="C25" s="1915"/>
      <c r="D25" s="1915"/>
      <c r="E25" s="1915"/>
      <c r="F25" s="1915"/>
      <c r="G25" s="1915"/>
      <c r="H25" s="1920"/>
      <c r="I25" s="53"/>
      <c r="J25" s="54"/>
    </row>
    <row r="26" spans="1:11" ht="16.5" thickBot="1" x14ac:dyDescent="0.3">
      <c r="A26" s="1907" t="s">
        <v>1110</v>
      </c>
      <c r="B26" s="1908"/>
      <c r="C26" s="1908"/>
      <c r="D26" s="1908"/>
      <c r="E26" s="1908"/>
      <c r="F26" s="1908"/>
      <c r="G26" s="1908"/>
      <c r="H26" s="1908"/>
      <c r="I26" s="63">
        <f>I12+I18+I21+I24</f>
        <v>9085000000</v>
      </c>
      <c r="J26" s="64"/>
    </row>
    <row r="27" spans="1:11" ht="15.75" x14ac:dyDescent="0.25">
      <c r="A27" s="65"/>
      <c r="B27" s="65"/>
      <c r="C27" s="65"/>
      <c r="D27" s="65"/>
      <c r="E27" s="65"/>
      <c r="F27" s="65"/>
      <c r="G27" s="65"/>
      <c r="H27" s="65"/>
      <c r="I27" s="66"/>
    </row>
    <row r="28" spans="1:11" ht="15.75" x14ac:dyDescent="0.25">
      <c r="A28" s="7"/>
      <c r="B28" s="67"/>
      <c r="C28" s="67"/>
      <c r="D28" s="7"/>
      <c r="E28" s="36"/>
      <c r="F28" s="7"/>
      <c r="G28" s="7"/>
      <c r="H28" s="7"/>
      <c r="I28" s="7"/>
    </row>
    <row r="29" spans="1:11" ht="15.75" x14ac:dyDescent="0.25">
      <c r="A29" s="36"/>
      <c r="B29" s="7"/>
      <c r="C29" s="7"/>
      <c r="D29" s="7"/>
      <c r="E29" s="7"/>
      <c r="F29" s="7"/>
      <c r="G29" s="7"/>
      <c r="H29" s="7" t="s">
        <v>1218</v>
      </c>
      <c r="I29" s="7"/>
      <c r="J29" s="7"/>
      <c r="K29" s="7"/>
    </row>
    <row r="30" spans="1:11" ht="15.75" x14ac:dyDescent="0.25">
      <c r="A30" s="36"/>
      <c r="B30" s="1909" t="s">
        <v>1151</v>
      </c>
      <c r="C30" s="1909"/>
      <c r="D30" s="1909"/>
      <c r="E30" s="7"/>
      <c r="F30" s="7"/>
      <c r="G30" s="7"/>
      <c r="H30" s="7" t="s">
        <v>1023</v>
      </c>
      <c r="I30" s="7"/>
      <c r="J30" s="7"/>
      <c r="K30" s="7"/>
    </row>
    <row r="31" spans="1:11" ht="15.75" x14ac:dyDescent="0.25">
      <c r="A31" s="36"/>
      <c r="B31" s="1909" t="s">
        <v>1219</v>
      </c>
      <c r="C31" s="1909"/>
      <c r="D31" s="1909"/>
      <c r="E31" s="7"/>
      <c r="F31" s="7"/>
      <c r="G31" s="7"/>
      <c r="H31" s="7" t="s">
        <v>1217</v>
      </c>
      <c r="I31" s="7"/>
      <c r="J31" s="7"/>
      <c r="K31" s="7"/>
    </row>
    <row r="32" spans="1:11" ht="15.75" x14ac:dyDescent="0.25">
      <c r="A32" s="36"/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1:11" ht="15.75" x14ac:dyDescent="0.25">
      <c r="A33" s="36"/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1:11" ht="15.75" x14ac:dyDescent="0.25">
      <c r="A34" s="36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ht="15.75" x14ac:dyDescent="0.25">
      <c r="B35" s="1909" t="s">
        <v>1024</v>
      </c>
      <c r="C35" s="1909"/>
      <c r="D35" s="1909"/>
      <c r="E35" s="7"/>
      <c r="F35" s="7"/>
      <c r="G35" s="7"/>
      <c r="H35" s="7" t="s">
        <v>1025</v>
      </c>
      <c r="I35" s="7"/>
      <c r="J35" s="7"/>
      <c r="K35" s="7"/>
    </row>
  </sheetData>
  <mergeCells count="19">
    <mergeCell ref="A1:J1"/>
    <mergeCell ref="A2:J2"/>
    <mergeCell ref="A9:A11"/>
    <mergeCell ref="B9:B11"/>
    <mergeCell ref="A12:H12"/>
    <mergeCell ref="A26:H26"/>
    <mergeCell ref="B30:D30"/>
    <mergeCell ref="B31:D31"/>
    <mergeCell ref="B35:D35"/>
    <mergeCell ref="A13:A17"/>
    <mergeCell ref="B13:B17"/>
    <mergeCell ref="A18:H18"/>
    <mergeCell ref="A19:A20"/>
    <mergeCell ref="B19:B20"/>
    <mergeCell ref="A21:H21"/>
    <mergeCell ref="A22:A23"/>
    <mergeCell ref="B22:B23"/>
    <mergeCell ref="A24:H24"/>
    <mergeCell ref="A25:H25"/>
  </mergeCells>
  <pageMargins left="0.7" right="0.7" top="0.75" bottom="0.75" header="0.3" footer="0.3"/>
  <pageSetup paperSize="5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73F2D-8452-4F47-88D3-49AC2AF49CA1}">
  <sheetPr filterMode="1"/>
  <dimension ref="A1:L276"/>
  <sheetViews>
    <sheetView topLeftCell="A255" workbookViewId="0">
      <selection activeCell="I265" sqref="I265"/>
    </sheetView>
  </sheetViews>
  <sheetFormatPr defaultRowHeight="15" x14ac:dyDescent="0.25"/>
  <cols>
    <col min="1" max="3" width="3.28515625" customWidth="1"/>
    <col min="4" max="4" width="2.5703125" customWidth="1"/>
    <col min="5" max="5" width="3.28515625" customWidth="1"/>
    <col min="6" max="6" width="24.28515625" customWidth="1"/>
    <col min="7" max="7" width="6.85546875" customWidth="1"/>
    <col min="8" max="8" width="7.28515625" customWidth="1"/>
    <col min="9" max="9" width="18.5703125" customWidth="1"/>
    <col min="10" max="10" width="7" customWidth="1"/>
    <col min="11" max="11" width="42.7109375" customWidth="1"/>
  </cols>
  <sheetData>
    <row r="1" spans="1:10" x14ac:dyDescent="0.25">
      <c r="G1" s="68"/>
      <c r="H1" s="5"/>
      <c r="I1" s="68"/>
      <c r="J1" s="5"/>
    </row>
    <row r="2" spans="1:10" x14ac:dyDescent="0.25">
      <c r="A2" s="2213"/>
      <c r="B2" s="2213"/>
      <c r="C2" s="2213"/>
      <c r="D2" s="2213"/>
      <c r="E2" s="2213"/>
      <c r="F2" s="2213"/>
      <c r="G2" s="2213"/>
      <c r="H2" s="2213"/>
      <c r="I2" s="68"/>
      <c r="J2" s="5"/>
    </row>
    <row r="3" spans="1:10" x14ac:dyDescent="0.25">
      <c r="G3" s="1484" t="s">
        <v>3353</v>
      </c>
      <c r="H3" s="1485"/>
      <c r="I3" s="1486"/>
      <c r="J3" s="1487"/>
    </row>
    <row r="4" spans="1:10" x14ac:dyDescent="0.25">
      <c r="G4" s="1484" t="s">
        <v>3354</v>
      </c>
      <c r="H4" s="1485"/>
      <c r="I4" s="1486"/>
      <c r="J4" s="1487"/>
    </row>
    <row r="5" spans="1:10" x14ac:dyDescent="0.25">
      <c r="G5" s="1484" t="s">
        <v>3364</v>
      </c>
      <c r="H5" s="1485"/>
      <c r="I5" s="1486"/>
      <c r="J5" s="1487"/>
    </row>
    <row r="6" spans="1:10" x14ac:dyDescent="0.25">
      <c r="G6" s="1484" t="s">
        <v>3355</v>
      </c>
      <c r="H6" s="1485"/>
      <c r="I6" s="1486"/>
      <c r="J6" s="1487"/>
    </row>
    <row r="7" spans="1:10" x14ac:dyDescent="0.25">
      <c r="G7" s="1484" t="s">
        <v>3356</v>
      </c>
      <c r="H7" s="1485"/>
      <c r="I7" s="1486"/>
      <c r="J7" s="1487"/>
    </row>
    <row r="8" spans="1:10" x14ac:dyDescent="0.25">
      <c r="I8" s="68"/>
      <c r="J8" s="5"/>
    </row>
    <row r="9" spans="1:10" x14ac:dyDescent="0.25">
      <c r="I9" s="68"/>
      <c r="J9" s="5"/>
    </row>
    <row r="10" spans="1:10" x14ac:dyDescent="0.25">
      <c r="I10" s="68"/>
      <c r="J10" s="5"/>
    </row>
    <row r="11" spans="1:10" x14ac:dyDescent="0.25">
      <c r="I11" s="68"/>
      <c r="J11" s="5"/>
    </row>
    <row r="12" spans="1:10" x14ac:dyDescent="0.25">
      <c r="A12" s="2213" t="s">
        <v>3572</v>
      </c>
      <c r="B12" s="2213"/>
      <c r="C12" s="2213"/>
      <c r="D12" s="2213"/>
      <c r="E12" s="2213"/>
      <c r="F12" s="2213"/>
      <c r="G12" s="2213"/>
      <c r="H12" s="2213"/>
      <c r="I12" s="2213"/>
      <c r="J12" s="2213"/>
    </row>
    <row r="13" spans="1:10" x14ac:dyDescent="0.25">
      <c r="A13" s="2213" t="s">
        <v>3358</v>
      </c>
      <c r="B13" s="2213"/>
      <c r="C13" s="2213"/>
      <c r="D13" s="2213"/>
      <c r="E13" s="2213"/>
      <c r="F13" s="2213"/>
      <c r="G13" s="2213"/>
      <c r="H13" s="2213"/>
      <c r="I13" s="2213"/>
      <c r="J13" s="2213"/>
    </row>
    <row r="14" spans="1:10" x14ac:dyDescent="0.25">
      <c r="A14" s="2213" t="s">
        <v>2398</v>
      </c>
      <c r="B14" s="2213"/>
      <c r="C14" s="2213"/>
      <c r="D14" s="2213"/>
      <c r="E14" s="2213"/>
      <c r="F14" s="2213"/>
      <c r="G14" s="2213"/>
      <c r="H14" s="2213"/>
      <c r="I14" s="2213"/>
      <c r="J14" s="2213"/>
    </row>
    <row r="15" spans="1:10" x14ac:dyDescent="0.25">
      <c r="I15" s="68"/>
      <c r="J15" s="5"/>
    </row>
    <row r="16" spans="1:10" x14ac:dyDescent="0.25">
      <c r="A16" s="2212" t="s">
        <v>3359</v>
      </c>
      <c r="B16" s="2212"/>
      <c r="C16" s="2212"/>
      <c r="D16" s="2212"/>
      <c r="E16" s="2212"/>
      <c r="F16" s="2212" t="s">
        <v>11</v>
      </c>
      <c r="G16" s="2217" t="s">
        <v>3360</v>
      </c>
      <c r="H16" s="2218"/>
      <c r="I16" s="2215" t="s">
        <v>3361</v>
      </c>
      <c r="J16" s="2216" t="s">
        <v>3362</v>
      </c>
    </row>
    <row r="17" spans="1:12" x14ac:dyDescent="0.25">
      <c r="A17" s="2212"/>
      <c r="B17" s="2212"/>
      <c r="C17" s="2212"/>
      <c r="D17" s="2212"/>
      <c r="E17" s="2212"/>
      <c r="F17" s="2212"/>
      <c r="G17" s="1488" t="s">
        <v>12</v>
      </c>
      <c r="H17" s="1488" t="s">
        <v>3363</v>
      </c>
      <c r="I17" s="2215"/>
      <c r="J17" s="2216"/>
    </row>
    <row r="18" spans="1:12" x14ac:dyDescent="0.25">
      <c r="A18" s="2212">
        <v>1</v>
      </c>
      <c r="B18" s="2212"/>
      <c r="C18" s="2212"/>
      <c r="D18" s="2212">
        <v>2</v>
      </c>
      <c r="E18" s="2212"/>
      <c r="F18" s="25">
        <v>3</v>
      </c>
      <c r="G18" s="25">
        <v>4</v>
      </c>
      <c r="H18" s="25">
        <v>5</v>
      </c>
      <c r="I18" s="1535">
        <v>6</v>
      </c>
      <c r="J18" s="29">
        <v>7</v>
      </c>
    </row>
    <row r="19" spans="1:12" x14ac:dyDescent="0.25">
      <c r="A19" s="25" t="s">
        <v>998</v>
      </c>
      <c r="B19" s="25" t="s">
        <v>999</v>
      </c>
      <c r="C19" s="25" t="s">
        <v>1000</v>
      </c>
      <c r="D19" s="25" t="s">
        <v>998</v>
      </c>
      <c r="E19" s="25" t="s">
        <v>999</v>
      </c>
      <c r="F19" s="1"/>
      <c r="G19" s="1"/>
      <c r="H19" s="1"/>
      <c r="I19" s="73"/>
      <c r="J19" s="4"/>
    </row>
    <row r="20" spans="1:12" x14ac:dyDescent="0.25">
      <c r="A20" s="1"/>
      <c r="B20" s="1"/>
      <c r="C20" s="1"/>
      <c r="D20" s="4">
        <v>4</v>
      </c>
      <c r="E20" s="4"/>
      <c r="F20" s="4" t="s">
        <v>3365</v>
      </c>
      <c r="G20" s="1"/>
      <c r="H20" s="1"/>
      <c r="I20" s="73"/>
      <c r="J20" s="1"/>
    </row>
    <row r="21" spans="1:12" x14ac:dyDescent="0.25">
      <c r="A21" s="1"/>
      <c r="B21" s="1"/>
      <c r="C21" s="1"/>
      <c r="D21" s="4">
        <v>4</v>
      </c>
      <c r="E21" s="4">
        <v>1</v>
      </c>
      <c r="F21" s="4" t="s">
        <v>1208</v>
      </c>
      <c r="G21" s="1"/>
      <c r="H21" s="1"/>
      <c r="I21" s="73">
        <f>' Hitungan 2026'!L4+' Hitungan 2026'!M4</f>
        <v>507784020</v>
      </c>
      <c r="J21" s="1"/>
    </row>
    <row r="22" spans="1:12" x14ac:dyDescent="0.25">
      <c r="A22" s="1"/>
      <c r="B22" s="1"/>
      <c r="C22" s="1"/>
      <c r="D22" s="4">
        <v>4</v>
      </c>
      <c r="E22" s="4">
        <v>2</v>
      </c>
      <c r="F22" s="4" t="s">
        <v>3370</v>
      </c>
      <c r="G22" s="1"/>
      <c r="H22" s="1"/>
      <c r="I22" s="73">
        <f>' Hitungan 2026'!E4+' Hitungan 2026'!F4+' Hitungan 2026'!G4+' Hitungan 2026'!H4+' Hitungan 2026'!I4+' Hitungan 2026'!J4+' Hitungan 2026'!V4</f>
        <v>10040953978</v>
      </c>
      <c r="J22" s="1"/>
    </row>
    <row r="23" spans="1:12" x14ac:dyDescent="0.25">
      <c r="A23" s="1"/>
      <c r="B23" s="1"/>
      <c r="C23" s="1"/>
      <c r="D23" s="4">
        <v>4</v>
      </c>
      <c r="E23" s="4">
        <v>3</v>
      </c>
      <c r="F23" s="4" t="s">
        <v>3378</v>
      </c>
      <c r="G23" s="1"/>
      <c r="H23" s="1"/>
      <c r="I23" s="73">
        <f>'Penjabaran APBDesa'!K37</f>
        <v>0</v>
      </c>
      <c r="J23" s="1"/>
    </row>
    <row r="24" spans="1:12" x14ac:dyDescent="0.25">
      <c r="A24" s="1"/>
      <c r="B24" s="1"/>
      <c r="C24" s="1"/>
      <c r="D24" s="4">
        <v>4</v>
      </c>
      <c r="E24" s="4">
        <v>3</v>
      </c>
      <c r="F24" s="4" t="s">
        <v>3295</v>
      </c>
      <c r="G24" s="1"/>
      <c r="H24" s="1"/>
      <c r="I24" s="73">
        <f>' Hitungan 2026'!K4</f>
        <v>30422000</v>
      </c>
      <c r="J24" s="1"/>
      <c r="K24" s="139"/>
    </row>
    <row r="25" spans="1:12" x14ac:dyDescent="0.25">
      <c r="A25" s="1"/>
      <c r="B25" s="1"/>
      <c r="C25" s="1"/>
      <c r="D25" s="4"/>
      <c r="E25" s="4"/>
      <c r="F25" s="4"/>
      <c r="G25" s="1"/>
      <c r="H25" s="1"/>
      <c r="I25" s="73">
        <f>'Penjabaran APBDesa'!K40</f>
        <v>0</v>
      </c>
      <c r="J25" s="1"/>
      <c r="K25" s="23"/>
    </row>
    <row r="26" spans="1:12" x14ac:dyDescent="0.25">
      <c r="A26" s="1"/>
      <c r="B26" s="1"/>
      <c r="C26" s="1"/>
      <c r="D26" s="4"/>
      <c r="E26" s="4"/>
      <c r="F26" s="4" t="s">
        <v>3379</v>
      </c>
      <c r="G26" s="1"/>
      <c r="H26" s="1"/>
      <c r="I26" s="73">
        <f>'Penjabaran APBDesa'!K41</f>
        <v>10579159998</v>
      </c>
      <c r="J26" s="1"/>
      <c r="K26" s="68">
        <f>'Penjabaran APBDesa'!K41</f>
        <v>10579159998</v>
      </c>
      <c r="L26" s="23">
        <f>K26-I26</f>
        <v>0</v>
      </c>
    </row>
    <row r="27" spans="1:12" x14ac:dyDescent="0.25">
      <c r="A27" s="1"/>
      <c r="B27" s="1"/>
      <c r="C27" s="1"/>
      <c r="D27" s="4">
        <v>5</v>
      </c>
      <c r="E27" s="4"/>
      <c r="F27" s="4" t="s">
        <v>3380</v>
      </c>
      <c r="G27" s="1"/>
      <c r="H27" s="1"/>
      <c r="I27" s="73">
        <f>'Penjabaran APBDesa'!K42</f>
        <v>0</v>
      </c>
      <c r="J27" s="1"/>
      <c r="L27" s="23"/>
    </row>
    <row r="28" spans="1:12" ht="30" x14ac:dyDescent="0.25">
      <c r="A28" s="1540">
        <v>1</v>
      </c>
      <c r="B28" s="1537"/>
      <c r="C28" s="1537"/>
      <c r="D28" s="1537"/>
      <c r="E28" s="1537"/>
      <c r="F28" s="1538" t="str">
        <f>'BID 1 b'!B5</f>
        <v>: Penyelenggaraan Pemerintahan Desa</v>
      </c>
      <c r="G28" s="1537"/>
      <c r="H28" s="1537"/>
      <c r="I28" s="1539">
        <f>'Penjabaran APBDesa'!K43</f>
        <v>7050427587</v>
      </c>
      <c r="J28" s="1537"/>
      <c r="K28" s="68">
        <f>'Penjabaran APBDesa'!K43</f>
        <v>7050427587</v>
      </c>
      <c r="L28" s="23">
        <f t="shared" ref="L28" si="0">K28-I28</f>
        <v>0</v>
      </c>
    </row>
    <row r="29" spans="1:12" ht="75" x14ac:dyDescent="0.25">
      <c r="A29" s="1490">
        <v>1</v>
      </c>
      <c r="B29" s="1490">
        <v>1</v>
      </c>
      <c r="C29" s="865"/>
      <c r="D29" s="865"/>
      <c r="E29" s="865"/>
      <c r="F29" s="1061" t="str">
        <f>'BID 1 b'!B6</f>
        <v>: Penyelenggaraan Belanja Penghasilan Tetap, Tunjangan dan Operasional Pemerintah Desa ( Maksimal 30% )</v>
      </c>
      <c r="G29" s="865"/>
      <c r="H29" s="865"/>
      <c r="I29" s="1063">
        <f>'Penjabaran APBDesa'!K44</f>
        <v>0</v>
      </c>
      <c r="J29" s="865"/>
    </row>
    <row r="30" spans="1:12" ht="45" x14ac:dyDescent="0.25">
      <c r="A30" s="1490">
        <v>1</v>
      </c>
      <c r="B30" s="1490">
        <v>1</v>
      </c>
      <c r="C30" s="1490" t="s">
        <v>3366</v>
      </c>
      <c r="D30" s="865"/>
      <c r="E30" s="865"/>
      <c r="F30" s="1061" t="str">
        <f>'BID 1 b'!B7</f>
        <v>: Penyediaan Penghasilan tetap dan Tunjangan Perbekel</v>
      </c>
      <c r="G30" s="865"/>
      <c r="H30" s="865"/>
      <c r="I30" s="1063">
        <f>'Penjabaran APBDesa'!K45</f>
        <v>180740000</v>
      </c>
      <c r="J30" s="1061" t="s">
        <v>3387</v>
      </c>
    </row>
    <row r="31" spans="1:12" hidden="1" x14ac:dyDescent="0.25">
      <c r="A31" s="1"/>
      <c r="B31" s="1"/>
      <c r="C31" s="1"/>
      <c r="D31" s="1">
        <v>5</v>
      </c>
      <c r="E31" s="1">
        <v>1</v>
      </c>
      <c r="F31" s="1" t="str">
        <f>'BID 1 b'!B13</f>
        <v xml:space="preserve">Belanja Pegawai </v>
      </c>
      <c r="G31" s="1"/>
      <c r="H31" s="1"/>
      <c r="I31" s="73">
        <f>I30</f>
        <v>180740000</v>
      </c>
      <c r="J31" s="1"/>
    </row>
    <row r="32" spans="1:12" ht="45" x14ac:dyDescent="0.25">
      <c r="A32" s="865">
        <v>1</v>
      </c>
      <c r="B32" s="865">
        <v>1</v>
      </c>
      <c r="C32" s="1490" t="s">
        <v>3386</v>
      </c>
      <c r="D32" s="865"/>
      <c r="E32" s="865"/>
      <c r="F32" s="1061" t="str">
        <f>'BID 1 b'!B36</f>
        <v>: Penyediaan Penghasilan tetap dan Tunjangan Perangkat Desa</v>
      </c>
      <c r="G32" s="865"/>
      <c r="H32" s="865"/>
      <c r="I32" s="1063">
        <f>'Penjabaran APBDesa'!K52</f>
        <v>1049635167</v>
      </c>
      <c r="J32" s="1061" t="s">
        <v>3387</v>
      </c>
    </row>
    <row r="33" spans="1:10" hidden="1" x14ac:dyDescent="0.25">
      <c r="A33" s="1"/>
      <c r="B33" s="1"/>
      <c r="C33" s="1489"/>
      <c r="D33" s="1">
        <v>5</v>
      </c>
      <c r="E33" s="1">
        <v>1</v>
      </c>
      <c r="F33" s="1" t="str">
        <f>'BID 1 b'!B41</f>
        <v xml:space="preserve">Belanja Pegawai </v>
      </c>
      <c r="G33" s="1"/>
      <c r="H33" s="1"/>
      <c r="I33" s="73">
        <f>I32</f>
        <v>1049635167</v>
      </c>
      <c r="J33" s="1"/>
    </row>
    <row r="34" spans="1:10" ht="60" x14ac:dyDescent="0.25">
      <c r="A34" s="865">
        <v>1</v>
      </c>
      <c r="B34" s="865">
        <v>1</v>
      </c>
      <c r="C34" s="1490" t="s">
        <v>3388</v>
      </c>
      <c r="D34" s="865"/>
      <c r="E34" s="865"/>
      <c r="F34" s="1061" t="str">
        <f>'BID 1 b'!B79</f>
        <v>Penyediaan Jaminan Kesehatan dan Ketenaga Kerjaan Bagi Perbekel dan Perangkat Desa</v>
      </c>
      <c r="G34" s="865"/>
      <c r="H34" s="865"/>
      <c r="I34" s="1063">
        <f>'Penjabaran APBDesa'!K57</f>
        <v>77761313</v>
      </c>
      <c r="J34" s="865" t="s">
        <v>1506</v>
      </c>
    </row>
    <row r="35" spans="1:10" hidden="1" x14ac:dyDescent="0.25">
      <c r="A35" s="1"/>
      <c r="B35" s="1"/>
      <c r="C35" s="1"/>
      <c r="D35" s="1">
        <v>5</v>
      </c>
      <c r="E35" s="1">
        <v>1</v>
      </c>
      <c r="F35" s="4" t="str">
        <f>'BID 1 b'!B84</f>
        <v>Belanja Pegawai :</v>
      </c>
      <c r="G35" s="1"/>
      <c r="H35" s="1"/>
      <c r="I35" s="73">
        <f>I34</f>
        <v>77761313</v>
      </c>
      <c r="J35" s="1"/>
    </row>
    <row r="36" spans="1:10" ht="30" x14ac:dyDescent="0.25">
      <c r="A36" s="865">
        <v>1</v>
      </c>
      <c r="B36" s="865">
        <v>1</v>
      </c>
      <c r="C36" s="1490" t="s">
        <v>3389</v>
      </c>
      <c r="D36" s="865"/>
      <c r="E36" s="865"/>
      <c r="F36" s="1061" t="str">
        <f>'BID 1 b'!B113</f>
        <v>: Penyediaan Operasional Pemerintah Desa</v>
      </c>
      <c r="G36" s="865"/>
      <c r="H36" s="865"/>
      <c r="I36" s="1063">
        <f>'Penjabaran APBDesa'!K64</f>
        <v>712389600.84000003</v>
      </c>
      <c r="J36" s="865" t="s">
        <v>1220</v>
      </c>
    </row>
    <row r="37" spans="1:10" hidden="1" x14ac:dyDescent="0.25">
      <c r="A37" s="1"/>
      <c r="B37" s="1"/>
      <c r="C37" s="1"/>
      <c r="D37" s="1">
        <v>5</v>
      </c>
      <c r="E37" s="1">
        <v>2</v>
      </c>
      <c r="F37" s="4" t="str">
        <f>'BID 1 b'!B118</f>
        <v>Belanja Barang Jasa :</v>
      </c>
      <c r="G37" s="1"/>
      <c r="H37" s="1"/>
      <c r="I37" s="73">
        <f>I36</f>
        <v>712389600.84000003</v>
      </c>
      <c r="J37" s="1"/>
    </row>
    <row r="38" spans="1:10" ht="45" x14ac:dyDescent="0.25">
      <c r="A38" s="865">
        <v>1</v>
      </c>
      <c r="B38" s="865">
        <v>1</v>
      </c>
      <c r="C38" s="1490" t="s">
        <v>3389</v>
      </c>
      <c r="D38" s="865"/>
      <c r="E38" s="865"/>
      <c r="F38" s="1061" t="str">
        <f>'BID 1 b'!B318</f>
        <v>: Penyediaan Oprasional Pemerinthanan Desa ( Kegiatan Rapat - Rapat)</v>
      </c>
      <c r="G38" s="865"/>
      <c r="H38" s="865"/>
      <c r="I38" s="1063">
        <f>'Penjabaran APBDesa'!K95</f>
        <v>37980000</v>
      </c>
      <c r="J38" s="865" t="s">
        <v>1506</v>
      </c>
    </row>
    <row r="39" spans="1:10" hidden="1" x14ac:dyDescent="0.25">
      <c r="A39" s="1"/>
      <c r="B39" s="1"/>
      <c r="C39" s="1"/>
      <c r="D39" s="1">
        <v>5</v>
      </c>
      <c r="E39" s="1">
        <v>2</v>
      </c>
      <c r="F39" s="4" t="str">
        <f>'BID 1 b'!B323</f>
        <v>Belanja Barang Jasa :</v>
      </c>
      <c r="G39" s="1"/>
      <c r="H39" s="1"/>
      <c r="I39" s="73">
        <f>I38</f>
        <v>37980000</v>
      </c>
      <c r="J39" s="1"/>
    </row>
    <row r="40" spans="1:10" ht="30" x14ac:dyDescent="0.25">
      <c r="A40" s="865">
        <v>1</v>
      </c>
      <c r="B40" s="865">
        <v>1</v>
      </c>
      <c r="C40" s="1490" t="s">
        <v>3390</v>
      </c>
      <c r="D40" s="865"/>
      <c r="E40" s="865"/>
      <c r="F40" s="1061" t="str">
        <f>'BID 1 b'!B348</f>
        <v>: Penyediaan tunjangan BPD</v>
      </c>
      <c r="G40" s="865"/>
      <c r="H40" s="865"/>
      <c r="I40" s="1063">
        <f>'Penjabaran APBDesa'!K100</f>
        <v>457800000</v>
      </c>
      <c r="J40" s="865" t="s">
        <v>1506</v>
      </c>
    </row>
    <row r="41" spans="1:10" hidden="1" x14ac:dyDescent="0.25">
      <c r="A41" s="1"/>
      <c r="B41" s="1"/>
      <c r="C41" s="1"/>
      <c r="D41" s="1">
        <v>5</v>
      </c>
      <c r="E41" s="1">
        <v>1</v>
      </c>
      <c r="F41" s="1" t="str">
        <f>'BID 1 b'!B354</f>
        <v>Belanja Pegawai</v>
      </c>
      <c r="G41" s="1"/>
      <c r="H41" s="1"/>
      <c r="I41" s="73">
        <f>I40</f>
        <v>457800000</v>
      </c>
      <c r="J41" s="1"/>
    </row>
    <row r="42" spans="1:10" ht="30" x14ac:dyDescent="0.25">
      <c r="A42" s="865">
        <v>1</v>
      </c>
      <c r="B42" s="865">
        <v>1</v>
      </c>
      <c r="C42" s="1490" t="s">
        <v>3391</v>
      </c>
      <c r="D42" s="865"/>
      <c r="E42" s="865"/>
      <c r="F42" s="1061" t="str">
        <f>'BID 1 b'!B391</f>
        <v>: Penyediaan Operasional BPD</v>
      </c>
      <c r="G42" s="865"/>
      <c r="H42" s="865"/>
      <c r="I42" s="1063">
        <f>'Penjabaran APBDesa'!K104</f>
        <v>32282000</v>
      </c>
      <c r="J42" s="865" t="s">
        <v>1506</v>
      </c>
    </row>
    <row r="43" spans="1:10" hidden="1" x14ac:dyDescent="0.25">
      <c r="A43" s="1"/>
      <c r="B43" s="1"/>
      <c r="C43" s="1"/>
      <c r="D43" s="1">
        <v>5</v>
      </c>
      <c r="E43" s="1">
        <v>2</v>
      </c>
      <c r="F43" s="4" t="str">
        <f>'BID 1 b'!B397</f>
        <v>Belanja Barang Jasa :</v>
      </c>
      <c r="G43" s="1"/>
      <c r="H43" s="1"/>
      <c r="I43" s="73">
        <f>I42</f>
        <v>32282000</v>
      </c>
      <c r="J43" s="1"/>
    </row>
    <row r="44" spans="1:10" ht="30" x14ac:dyDescent="0.25">
      <c r="A44" s="865">
        <v>1</v>
      </c>
      <c r="B44" s="865">
        <v>1</v>
      </c>
      <c r="C44" s="1490" t="s">
        <v>3391</v>
      </c>
      <c r="D44" s="865"/>
      <c r="E44" s="865"/>
      <c r="F44" s="1061" t="str">
        <f>'BID 1 b'!B433</f>
        <v>: Penyediaan Operasional BPD (Musyawarah BPD)</v>
      </c>
      <c r="G44" s="865"/>
      <c r="H44" s="865"/>
      <c r="I44" s="1063">
        <f>'Penjabaran APBDesa'!K112</f>
        <v>16400000</v>
      </c>
      <c r="J44" s="865" t="s">
        <v>1506</v>
      </c>
    </row>
    <row r="45" spans="1:10" hidden="1" x14ac:dyDescent="0.25">
      <c r="A45" s="1"/>
      <c r="B45" s="1"/>
      <c r="C45" s="1"/>
      <c r="D45" s="1">
        <v>5</v>
      </c>
      <c r="E45" s="1">
        <v>2</v>
      </c>
      <c r="F45" s="4" t="str">
        <f>'BID 1 b'!B439</f>
        <v>Belanja Barang Jasa</v>
      </c>
      <c r="G45" s="1"/>
      <c r="H45" s="1"/>
      <c r="I45" s="73">
        <f>I44</f>
        <v>16400000</v>
      </c>
      <c r="J45" s="1"/>
    </row>
    <row r="46" spans="1:10" ht="30" x14ac:dyDescent="0.25">
      <c r="A46" s="865">
        <v>1</v>
      </c>
      <c r="B46" s="865">
        <v>1</v>
      </c>
      <c r="C46" s="1490" t="s">
        <v>3391</v>
      </c>
      <c r="D46" s="865"/>
      <c r="E46" s="865"/>
      <c r="F46" s="1061" t="str">
        <f>'BID 1 b'!B470</f>
        <v>: Penyediaan Operasional BPD (Rapat FKAKD)</v>
      </c>
      <c r="G46" s="865"/>
      <c r="H46" s="865"/>
      <c r="I46" s="1063">
        <f>'Penjabaran APBDesa'!K118</f>
        <v>8685000</v>
      </c>
      <c r="J46" s="865" t="s">
        <v>2177</v>
      </c>
    </row>
    <row r="47" spans="1:10" hidden="1" x14ac:dyDescent="0.25">
      <c r="A47" s="1"/>
      <c r="B47" s="1"/>
      <c r="C47" s="1"/>
      <c r="D47" s="1">
        <v>5</v>
      </c>
      <c r="E47" s="1">
        <v>2</v>
      </c>
      <c r="F47" s="4" t="str">
        <f>'BID 1 b'!B476</f>
        <v>Belanja Barang Jasa</v>
      </c>
      <c r="G47" s="1"/>
      <c r="H47" s="1"/>
      <c r="I47" s="73">
        <f>I46</f>
        <v>8685000</v>
      </c>
      <c r="J47" s="1"/>
    </row>
    <row r="48" spans="1:10" ht="30" x14ac:dyDescent="0.25">
      <c r="A48" s="865">
        <v>1</v>
      </c>
      <c r="B48" s="865">
        <v>1</v>
      </c>
      <c r="C48" s="865">
        <v>91</v>
      </c>
      <c r="D48" s="865"/>
      <c r="E48" s="865"/>
      <c r="F48" s="1061" t="str">
        <f>'BID 1 b'!B508</f>
        <v xml:space="preserve">: Penyediaan Penghasilan Staf Desa </v>
      </c>
      <c r="G48" s="865"/>
      <c r="H48" s="865"/>
      <c r="I48" s="1063">
        <f>'Penjabaran APBDesa'!K124</f>
        <v>579582544.32000005</v>
      </c>
      <c r="J48" s="865" t="s">
        <v>1506</v>
      </c>
    </row>
    <row r="49" spans="1:10" hidden="1" x14ac:dyDescent="0.25">
      <c r="A49" s="1"/>
      <c r="B49" s="1"/>
      <c r="C49" s="1"/>
      <c r="D49" s="1">
        <v>5</v>
      </c>
      <c r="E49" s="1">
        <v>2</v>
      </c>
      <c r="F49" s="4" t="str">
        <f>'BID 1 b'!B514</f>
        <v>Belanja Barang Jasa</v>
      </c>
      <c r="G49" s="1"/>
      <c r="H49" s="1"/>
      <c r="I49" s="73">
        <f>I48</f>
        <v>579582544.32000005</v>
      </c>
      <c r="J49" s="1"/>
    </row>
    <row r="50" spans="1:10" ht="45" x14ac:dyDescent="0.25">
      <c r="A50" s="865">
        <v>1</v>
      </c>
      <c r="B50" s="865">
        <v>1</v>
      </c>
      <c r="C50" s="865">
        <v>93</v>
      </c>
      <c r="D50" s="865"/>
      <c r="E50" s="865"/>
      <c r="F50" s="1061" t="str">
        <f>'BID 1 b'!B541</f>
        <v>Penjaringan dan Penyaringan Perangkat Desa/Staf</v>
      </c>
      <c r="G50" s="865"/>
      <c r="H50" s="865"/>
      <c r="I50" s="1063">
        <f>'Penjabaran APBDesa'!K129</f>
        <v>17455000</v>
      </c>
      <c r="J50" s="1061" t="s">
        <v>1775</v>
      </c>
    </row>
    <row r="51" spans="1:10" hidden="1" x14ac:dyDescent="0.25">
      <c r="A51" s="1"/>
      <c r="B51" s="1"/>
      <c r="C51" s="1"/>
      <c r="D51" s="1">
        <v>5</v>
      </c>
      <c r="E51" s="1">
        <v>2</v>
      </c>
      <c r="F51" s="1533" t="str">
        <f>'BID 1 b'!B547</f>
        <v>Belanja Barang Jasa :</v>
      </c>
      <c r="G51" s="1"/>
      <c r="H51" s="1"/>
      <c r="I51" s="73">
        <f>I50</f>
        <v>17455000</v>
      </c>
      <c r="J51" s="1"/>
    </row>
    <row r="52" spans="1:10" ht="45" x14ac:dyDescent="0.25">
      <c r="A52" s="865">
        <v>1</v>
      </c>
      <c r="B52" s="865">
        <v>1</v>
      </c>
      <c r="C52" s="865">
        <v>98</v>
      </c>
      <c r="D52" s="865"/>
      <c r="E52" s="865"/>
      <c r="F52" s="1061" t="str">
        <f>'BID 1 b'!B583</f>
        <v>Penyedian Jaminan Keshatan dan ketenagakerjaan BPD</v>
      </c>
      <c r="G52" s="865"/>
      <c r="H52" s="865"/>
      <c r="I52" s="1063">
        <f>'Penjabaran APBDesa'!K137</f>
        <v>40757410.799999997</v>
      </c>
      <c r="J52" s="865" t="s">
        <v>1506</v>
      </c>
    </row>
    <row r="53" spans="1:10" hidden="1" x14ac:dyDescent="0.25">
      <c r="A53" s="1"/>
      <c r="B53" s="1"/>
      <c r="C53" s="1"/>
      <c r="D53" s="1">
        <v>5</v>
      </c>
      <c r="E53" s="1">
        <v>2</v>
      </c>
      <c r="F53" s="4" t="str">
        <f>'BID 1 b'!B589</f>
        <v>Belanja Barang Jasa</v>
      </c>
      <c r="G53" s="1"/>
      <c r="H53" s="1"/>
      <c r="I53" s="73">
        <f>I52</f>
        <v>40757410.799999997</v>
      </c>
      <c r="J53" s="1"/>
    </row>
    <row r="54" spans="1:10" ht="60" x14ac:dyDescent="0.25">
      <c r="A54" s="865">
        <v>1</v>
      </c>
      <c r="B54" s="865">
        <v>1</v>
      </c>
      <c r="C54" s="865">
        <v>98</v>
      </c>
      <c r="D54" s="865"/>
      <c r="E54" s="865"/>
      <c r="F54" s="1061" t="str">
        <f>'BID 1 b'!B617</f>
        <v>Penyedian Jaminan Keshatan dan ketenagakerjaan Staf Desa</v>
      </c>
      <c r="G54" s="865"/>
      <c r="H54" s="865"/>
      <c r="I54" s="1063">
        <f>'Penjabaran APBDesa'!K142</f>
        <v>28601010</v>
      </c>
      <c r="J54" s="865" t="s">
        <v>1506</v>
      </c>
    </row>
    <row r="55" spans="1:10" hidden="1" x14ac:dyDescent="0.25">
      <c r="A55" s="1"/>
      <c r="B55" s="1"/>
      <c r="C55" s="1"/>
      <c r="D55" s="1">
        <v>5</v>
      </c>
      <c r="E55" s="1">
        <v>2</v>
      </c>
      <c r="F55" s="4" t="str">
        <f>'BID 1 b'!B623</f>
        <v>Belanja Barang Jasa</v>
      </c>
      <c r="G55" s="1"/>
      <c r="H55" s="1"/>
      <c r="I55" s="73">
        <f>I54</f>
        <v>28601010</v>
      </c>
      <c r="J55" s="1"/>
    </row>
    <row r="56" spans="1:10" ht="45" x14ac:dyDescent="0.25">
      <c r="A56" s="865">
        <v>1</v>
      </c>
      <c r="B56" s="865">
        <v>1</v>
      </c>
      <c r="C56" s="865">
        <v>98</v>
      </c>
      <c r="D56" s="865"/>
      <c r="E56" s="865"/>
      <c r="F56" s="1061" t="str">
        <f>'BID 1 b'!B655</f>
        <v>Penyedian Jaminan Ketenagakerjaan Ekosistem Desa</v>
      </c>
      <c r="G56" s="865"/>
      <c r="H56" s="865"/>
      <c r="I56" s="1063">
        <f>'Penjabaran APBDesa'!K147</f>
        <v>53215772.040000007</v>
      </c>
      <c r="J56" s="865" t="s">
        <v>1506</v>
      </c>
    </row>
    <row r="57" spans="1:10" hidden="1" x14ac:dyDescent="0.25">
      <c r="A57" s="1"/>
      <c r="B57" s="1"/>
      <c r="C57" s="1"/>
      <c r="D57" s="1">
        <v>5</v>
      </c>
      <c r="E57" s="1">
        <v>2</v>
      </c>
      <c r="F57" s="4" t="str">
        <f>'BID 1 b'!B661</f>
        <v>Belanja Barang Jasa</v>
      </c>
      <c r="G57" s="1"/>
      <c r="H57" s="1"/>
      <c r="I57" s="73">
        <f>I56</f>
        <v>53215772.040000007</v>
      </c>
      <c r="J57" s="1"/>
    </row>
    <row r="58" spans="1:10" ht="30" x14ac:dyDescent="0.25">
      <c r="A58" s="865">
        <v>1</v>
      </c>
      <c r="B58" s="865">
        <v>1</v>
      </c>
      <c r="C58" s="865">
        <v>95</v>
      </c>
      <c r="D58" s="865"/>
      <c r="E58" s="865"/>
      <c r="F58" s="1061" t="str">
        <f>'BID 1 b'!B691</f>
        <v>: Penyediaan Kegiatan Sosial Desa</v>
      </c>
      <c r="G58" s="865"/>
      <c r="H58" s="865"/>
      <c r="I58" s="1063">
        <f>'Penjabaran APBDesa'!K151</f>
        <v>39032000</v>
      </c>
      <c r="J58" s="865" t="s">
        <v>1223</v>
      </c>
    </row>
    <row r="59" spans="1:10" hidden="1" x14ac:dyDescent="0.25">
      <c r="A59" s="1"/>
      <c r="B59" s="1"/>
      <c r="C59" s="1"/>
      <c r="D59" s="1">
        <v>5</v>
      </c>
      <c r="E59" s="1">
        <v>2</v>
      </c>
      <c r="F59" s="4" t="str">
        <f>'BID 1 b'!B697</f>
        <v>Belanja Barang Jasa</v>
      </c>
      <c r="G59" s="1"/>
      <c r="H59" s="1"/>
      <c r="I59" s="73">
        <f>I58</f>
        <v>39032000</v>
      </c>
      <c r="J59" s="1"/>
    </row>
    <row r="60" spans="1:10" ht="30" x14ac:dyDescent="0.25">
      <c r="A60" s="865">
        <v>1</v>
      </c>
      <c r="B60" s="865">
        <v>1</v>
      </c>
      <c r="C60" s="865">
        <v>96</v>
      </c>
      <c r="D60" s="865"/>
      <c r="E60" s="865"/>
      <c r="F60" s="1061" t="str">
        <f>'BID 1 b'!B752</f>
        <v>: Tambahan  Penghasilan Perbekel dari BKK</v>
      </c>
      <c r="G60" s="865"/>
      <c r="H60" s="865"/>
      <c r="I60" s="1063">
        <f>'Penjabaran APBDesa'!K155</f>
        <v>18000000</v>
      </c>
      <c r="J60" s="1061" t="s">
        <v>1773</v>
      </c>
    </row>
    <row r="61" spans="1:10" hidden="1" x14ac:dyDescent="0.25">
      <c r="A61" s="1"/>
      <c r="B61" s="1"/>
      <c r="C61" s="1"/>
      <c r="D61" s="1">
        <v>5</v>
      </c>
      <c r="E61" s="1">
        <v>1</v>
      </c>
      <c r="F61" s="4" t="str">
        <f>'BID 1 b'!B758</f>
        <v xml:space="preserve">Belanja Pegawai </v>
      </c>
      <c r="G61" s="1"/>
      <c r="H61" s="1"/>
      <c r="I61" s="73">
        <f>I60</f>
        <v>18000000</v>
      </c>
      <c r="J61" s="1"/>
    </row>
    <row r="62" spans="1:10" ht="30" x14ac:dyDescent="0.25">
      <c r="A62" s="865">
        <v>1</v>
      </c>
      <c r="B62" s="865">
        <v>1</v>
      </c>
      <c r="C62" s="865">
        <v>97</v>
      </c>
      <c r="D62" s="865"/>
      <c r="E62" s="865"/>
      <c r="F62" s="1061" t="str">
        <f>'BID 1 b'!B779</f>
        <v>: Tambahan  Penghasilan Perangkat Desa dari BKK</v>
      </c>
      <c r="G62" s="865"/>
      <c r="H62" s="865"/>
      <c r="I62" s="1063">
        <f>'Penjabaran APBDesa'!K159</f>
        <v>56400000</v>
      </c>
      <c r="J62" s="1061" t="s">
        <v>1773</v>
      </c>
    </row>
    <row r="63" spans="1:10" hidden="1" x14ac:dyDescent="0.25">
      <c r="A63" s="1"/>
      <c r="B63" s="1"/>
      <c r="C63" s="1"/>
      <c r="D63" s="1">
        <v>5</v>
      </c>
      <c r="E63" s="1">
        <v>1</v>
      </c>
      <c r="F63" s="4" t="str">
        <f>'BID 1 b'!B785</f>
        <v xml:space="preserve">Belanja Pegawai </v>
      </c>
      <c r="G63" s="1"/>
      <c r="H63" s="1"/>
      <c r="I63" s="73">
        <f>I62</f>
        <v>56400000</v>
      </c>
      <c r="J63" s="1"/>
    </row>
    <row r="64" spans="1:10" ht="30" x14ac:dyDescent="0.25">
      <c r="A64" s="865">
        <v>1</v>
      </c>
      <c r="B64" s="865">
        <v>2</v>
      </c>
      <c r="C64" s="865"/>
      <c r="D64" s="865"/>
      <c r="E64" s="865"/>
      <c r="F64" s="1061" t="s">
        <v>1711</v>
      </c>
      <c r="G64" s="865"/>
      <c r="H64" s="865"/>
      <c r="I64" s="1063">
        <f>'Penjabaran APBDesa'!K163</f>
        <v>0</v>
      </c>
      <c r="J64" s="1061"/>
    </row>
    <row r="65" spans="1:10" ht="30" x14ac:dyDescent="0.25">
      <c r="A65" s="865">
        <v>1</v>
      </c>
      <c r="B65" s="865">
        <v>2</v>
      </c>
      <c r="C65" s="1490" t="s">
        <v>3366</v>
      </c>
      <c r="D65" s="865"/>
      <c r="E65" s="865"/>
      <c r="F65" s="1061" t="str">
        <f>'BID 1 b'!B811</f>
        <v>: Penyediaan Aset Tetap (Prasarana Kantor Desa)</v>
      </c>
      <c r="G65" s="865"/>
      <c r="H65" s="865"/>
      <c r="I65" s="1063">
        <f>'Penjabaran APBDesa'!K164</f>
        <v>3243107999</v>
      </c>
      <c r="J65" s="865"/>
    </row>
    <row r="66" spans="1:10" hidden="1" x14ac:dyDescent="0.25">
      <c r="A66" s="1"/>
      <c r="B66" s="1"/>
      <c r="C66" s="1"/>
      <c r="D66" s="1">
        <v>5</v>
      </c>
      <c r="E66" s="1">
        <v>3</v>
      </c>
      <c r="F66" s="4" t="str">
        <f>'BID 1 b'!B816</f>
        <v>Belanja Modal</v>
      </c>
      <c r="G66" s="1"/>
      <c r="H66" s="1"/>
      <c r="I66" s="73">
        <f>I65</f>
        <v>3243107999</v>
      </c>
      <c r="J66" s="1"/>
    </row>
    <row r="67" spans="1:10" ht="45" x14ac:dyDescent="0.25">
      <c r="A67" s="865">
        <v>1</v>
      </c>
      <c r="B67" s="865">
        <v>2</v>
      </c>
      <c r="C67" s="1490" t="s">
        <v>3386</v>
      </c>
      <c r="D67" s="865"/>
      <c r="E67" s="865"/>
      <c r="F67" s="1061" t="str">
        <f>'BID 1 b'!B862</f>
        <v>Pemeliharaan Gedung/Prasarana Kantor Desa (Ruang Perbekel)</v>
      </c>
      <c r="G67" s="865"/>
      <c r="H67" s="865"/>
      <c r="I67" s="1063">
        <f>'Penjabaran APBDesa'!K177</f>
        <v>27359000</v>
      </c>
      <c r="J67" s="1061" t="s">
        <v>1223</v>
      </c>
    </row>
    <row r="68" spans="1:10" hidden="1" x14ac:dyDescent="0.25">
      <c r="A68" s="1"/>
      <c r="B68" s="1"/>
      <c r="C68" s="1"/>
      <c r="D68" s="1">
        <v>5</v>
      </c>
      <c r="E68" s="1">
        <v>3</v>
      </c>
      <c r="F68" s="4" t="str">
        <f>'BID 1 b'!B869</f>
        <v xml:space="preserve">Belanja Modal </v>
      </c>
      <c r="G68" s="1"/>
      <c r="H68" s="1"/>
      <c r="I68" s="73">
        <f>I67</f>
        <v>27359000</v>
      </c>
      <c r="J68" s="1"/>
    </row>
    <row r="69" spans="1:10" ht="60" x14ac:dyDescent="0.25">
      <c r="A69" s="865">
        <v>1</v>
      </c>
      <c r="B69" s="865">
        <v>2</v>
      </c>
      <c r="C69" s="1490" t="s">
        <v>3386</v>
      </c>
      <c r="D69" s="865"/>
      <c r="E69" s="865"/>
      <c r="F69" s="1061" t="str">
        <f>'BID 1 b'!B911</f>
        <v>Pemeliharaan Gedung/Prasarana Kantor Desa (Ruang Pelayanan Umum)</v>
      </c>
      <c r="G69" s="865"/>
      <c r="H69" s="865"/>
      <c r="I69" s="1063">
        <f>'Penjabaran APBDesa'!K183</f>
        <v>4305420</v>
      </c>
      <c r="J69" s="1061" t="s">
        <v>1223</v>
      </c>
    </row>
    <row r="70" spans="1:10" hidden="1" x14ac:dyDescent="0.25">
      <c r="A70" s="1"/>
      <c r="B70" s="1"/>
      <c r="C70" s="1"/>
      <c r="D70" s="1">
        <v>5</v>
      </c>
      <c r="E70" s="1">
        <v>3</v>
      </c>
      <c r="F70" s="4" t="str">
        <f>'BID 1 b'!B918</f>
        <v xml:space="preserve">Belanja Modal </v>
      </c>
      <c r="G70" s="1"/>
      <c r="H70" s="1"/>
      <c r="I70" s="73">
        <f>I69</f>
        <v>4305420</v>
      </c>
      <c r="J70" s="1"/>
    </row>
    <row r="71" spans="1:10" ht="60" x14ac:dyDescent="0.25">
      <c r="A71" s="865">
        <v>1</v>
      </c>
      <c r="B71" s="865">
        <v>2</v>
      </c>
      <c r="C71" s="1490" t="s">
        <v>3386</v>
      </c>
      <c r="D71" s="865"/>
      <c r="E71" s="865"/>
      <c r="F71" s="1061" t="str">
        <f>'BID 1 b'!B948</f>
        <v>Pemeliharaan Gedung/Prasarana Kantor Desa Ruang (Kepala Dusun)</v>
      </c>
      <c r="G71" s="865"/>
      <c r="H71" s="865"/>
      <c r="I71" s="1063">
        <f>'Penjabaran APBDesa'!K189</f>
        <v>15798000</v>
      </c>
      <c r="J71" s="1061" t="s">
        <v>1223</v>
      </c>
    </row>
    <row r="72" spans="1:10" hidden="1" x14ac:dyDescent="0.25">
      <c r="A72" s="1"/>
      <c r="B72" s="1"/>
      <c r="C72" s="1"/>
      <c r="D72" s="1">
        <v>5</v>
      </c>
      <c r="E72" s="1">
        <v>3</v>
      </c>
      <c r="F72" s="4" t="str">
        <f>'BID 1 b'!B955</f>
        <v xml:space="preserve">Belanja Modal </v>
      </c>
      <c r="G72" s="1"/>
      <c r="H72" s="1"/>
      <c r="I72" s="73">
        <f>I71</f>
        <v>15798000</v>
      </c>
      <c r="J72" s="1"/>
    </row>
    <row r="73" spans="1:10" ht="45" x14ac:dyDescent="0.25">
      <c r="A73" s="865">
        <v>1</v>
      </c>
      <c r="B73" s="865">
        <v>2</v>
      </c>
      <c r="C73" s="1490" t="s">
        <v>3386</v>
      </c>
      <c r="D73" s="865"/>
      <c r="E73" s="865"/>
      <c r="F73" s="1061" t="str">
        <f>'BID 1 b'!B995</f>
        <v>Pemeliharaan Gedung/Prasarana Kantor Desa Ruang Kasi Kaur</v>
      </c>
      <c r="G73" s="865"/>
      <c r="H73" s="865"/>
      <c r="I73" s="1063">
        <f>'Penjabaran APBDesa'!K195</f>
        <v>20497000</v>
      </c>
      <c r="J73" s="1061" t="s">
        <v>1223</v>
      </c>
    </row>
    <row r="74" spans="1:10" hidden="1" x14ac:dyDescent="0.25">
      <c r="A74" s="1"/>
      <c r="B74" s="1"/>
      <c r="C74" s="1"/>
      <c r="D74" s="1">
        <v>5</v>
      </c>
      <c r="E74" s="1">
        <v>3</v>
      </c>
      <c r="F74" s="4" t="str">
        <f>'BID 1 b'!B1002</f>
        <v xml:space="preserve">Belanja Modal </v>
      </c>
      <c r="G74" s="1"/>
      <c r="H74" s="1"/>
      <c r="I74" s="73">
        <f>I73</f>
        <v>20497000</v>
      </c>
      <c r="J74" s="1"/>
    </row>
    <row r="75" spans="1:10" ht="42" customHeight="1" x14ac:dyDescent="0.25">
      <c r="A75" s="865">
        <v>1</v>
      </c>
      <c r="B75" s="865">
        <v>2</v>
      </c>
      <c r="C75" s="1490" t="s">
        <v>3386</v>
      </c>
      <c r="D75" s="865"/>
      <c r="E75" s="865"/>
      <c r="F75" s="1061" t="str">
        <f>'BID 1 b'!B1042</f>
        <v>Pemeliharaan Gedung/Prasarana Gudang</v>
      </c>
      <c r="G75" s="865"/>
      <c r="H75" s="865"/>
      <c r="I75" s="1063">
        <f>'Penjabaran APBDesa'!K201</f>
        <v>81599000</v>
      </c>
      <c r="J75" s="1061" t="s">
        <v>1506</v>
      </c>
    </row>
    <row r="76" spans="1:10" hidden="1" x14ac:dyDescent="0.25">
      <c r="A76" s="1"/>
      <c r="B76" s="1"/>
      <c r="C76" s="1"/>
      <c r="D76" s="1">
        <v>5</v>
      </c>
      <c r="E76" s="1">
        <v>3</v>
      </c>
      <c r="F76" s="4" t="str">
        <f>'BID 1 b'!B1049</f>
        <v xml:space="preserve">Belanja Modal </v>
      </c>
      <c r="G76" s="1"/>
      <c r="H76" s="1"/>
      <c r="I76" s="73">
        <f>I75</f>
        <v>81599000</v>
      </c>
      <c r="J76" s="4"/>
    </row>
    <row r="77" spans="1:10" ht="90" x14ac:dyDescent="0.25">
      <c r="A77" s="865">
        <v>1</v>
      </c>
      <c r="B77" s="865">
        <v>2</v>
      </c>
      <c r="C77" s="1490" t="s">
        <v>3386</v>
      </c>
      <c r="D77" s="865"/>
      <c r="E77" s="865"/>
      <c r="F77" s="1061" t="str">
        <f>'BID 1 b'!B1080</f>
        <v>Pemeliharaan/ Rehabilitasi/ Peningkatan Gedung/ Prasarana Kantor Desa (Penataan Kebun dan Vertical Garden)</v>
      </c>
      <c r="G77" s="865"/>
      <c r="H77" s="865"/>
      <c r="I77" s="1063">
        <f>'Penjabaran APBDesa'!K207</f>
        <v>8177600</v>
      </c>
      <c r="J77" s="1061" t="s">
        <v>1223</v>
      </c>
    </row>
    <row r="78" spans="1:10" hidden="1" x14ac:dyDescent="0.25">
      <c r="A78" s="1"/>
      <c r="B78" s="1"/>
      <c r="C78" s="1"/>
      <c r="D78" s="1">
        <v>5</v>
      </c>
      <c r="E78" s="1">
        <v>3</v>
      </c>
      <c r="F78" s="4" t="str">
        <f>'BID 1 b'!B1087</f>
        <v>Belanja Modal</v>
      </c>
      <c r="G78" s="1"/>
      <c r="H78" s="1"/>
      <c r="I78" s="73">
        <f>I77</f>
        <v>8177600</v>
      </c>
      <c r="J78" s="4"/>
    </row>
    <row r="79" spans="1:10" ht="105" x14ac:dyDescent="0.25">
      <c r="A79" s="865">
        <v>1</v>
      </c>
      <c r="B79" s="865">
        <v>2</v>
      </c>
      <c r="C79" s="865">
        <v>90</v>
      </c>
      <c r="D79" s="865"/>
      <c r="E79" s="865"/>
      <c r="F79" s="1061" t="str">
        <f>'BID 1 b'!B1116</f>
        <v>Perencanaan Pembangunan Geduk/Prasarana Kantor Desa (Perencanaan/ Penggkajian Pembangunan Desa Wisata)</v>
      </c>
      <c r="G79" s="865"/>
      <c r="H79" s="865"/>
      <c r="I79" s="1063">
        <f>'Penjabaran APBDesa'!K213</f>
        <v>50750000</v>
      </c>
      <c r="J79" s="1061" t="s">
        <v>1223</v>
      </c>
    </row>
    <row r="80" spans="1:10" hidden="1" x14ac:dyDescent="0.25">
      <c r="A80" s="1"/>
      <c r="B80" s="1"/>
      <c r="C80" s="1"/>
      <c r="D80" s="1">
        <v>5</v>
      </c>
      <c r="E80" s="1">
        <v>2</v>
      </c>
      <c r="F80" s="4" t="str">
        <f>'BID 1 b'!B1123</f>
        <v>Belanja Barang Jasa</v>
      </c>
      <c r="G80" s="1"/>
      <c r="H80" s="1"/>
      <c r="I80" s="73">
        <f>I79</f>
        <v>50750000</v>
      </c>
      <c r="J80" s="4"/>
    </row>
    <row r="81" spans="1:10" ht="60" x14ac:dyDescent="0.25">
      <c r="A81" s="865">
        <v>1</v>
      </c>
      <c r="B81" s="865">
        <v>3</v>
      </c>
      <c r="C81" s="865"/>
      <c r="D81" s="865"/>
      <c r="E81" s="865"/>
      <c r="F81" s="1061" t="str">
        <f>'BID 1 b'!B1149</f>
        <v>: Administrasi Kependudukan, Pencatatan Sipil, Statistik Dan Kearsipan</v>
      </c>
      <c r="G81" s="865"/>
      <c r="H81" s="865"/>
      <c r="I81" s="1063">
        <f>'Penjabaran APBDesa'!K218</f>
        <v>0</v>
      </c>
      <c r="J81" s="1061"/>
    </row>
    <row r="82" spans="1:10" ht="45" x14ac:dyDescent="0.25">
      <c r="A82" s="865">
        <v>1</v>
      </c>
      <c r="B82" s="865">
        <v>3</v>
      </c>
      <c r="C82" s="865">
        <v>92</v>
      </c>
      <c r="D82" s="865"/>
      <c r="E82" s="865"/>
      <c r="F82" s="1061" t="str">
        <f>'BID 1 b'!B1150</f>
        <v>: Penyusunan/ Pendataan/PemuktahiranSDGS</v>
      </c>
      <c r="G82" s="865"/>
      <c r="H82" s="865"/>
      <c r="I82" s="1063">
        <f>'Penjabaran APBDesa'!K219</f>
        <v>5800000</v>
      </c>
      <c r="J82" s="1061" t="s">
        <v>1220</v>
      </c>
    </row>
    <row r="83" spans="1:10" hidden="1" x14ac:dyDescent="0.25">
      <c r="A83" s="1"/>
      <c r="B83" s="1"/>
      <c r="C83" s="1"/>
      <c r="D83" s="1"/>
      <c r="E83" s="1"/>
      <c r="F83" s="4" t="str">
        <f>'BID 1 b'!B1155</f>
        <v>Pelatihan</v>
      </c>
      <c r="G83" s="1"/>
      <c r="H83" s="1"/>
      <c r="I83" s="73">
        <f>I82</f>
        <v>5800000</v>
      </c>
      <c r="J83" s="4"/>
    </row>
    <row r="84" spans="1:10" ht="45" x14ac:dyDescent="0.25">
      <c r="A84" s="865">
        <v>1</v>
      </c>
      <c r="B84" s="865">
        <v>3</v>
      </c>
      <c r="C84" s="1490" t="s">
        <v>3386</v>
      </c>
      <c r="D84" s="865"/>
      <c r="E84" s="865"/>
      <c r="F84" s="1061" t="str">
        <f>'BID 1 b'!B1182</f>
        <v>: Penyusunan/ Pendataan/Pemuktahiran Profil Desa (Indek Desa)</v>
      </c>
      <c r="G84" s="865"/>
      <c r="H84" s="865"/>
      <c r="I84" s="1063">
        <f>'Penjabaran APBDesa'!K226</f>
        <v>1900000</v>
      </c>
      <c r="J84" s="1061" t="s">
        <v>1220</v>
      </c>
    </row>
    <row r="85" spans="1:10" hidden="1" x14ac:dyDescent="0.25">
      <c r="A85" s="1"/>
      <c r="B85" s="1"/>
      <c r="C85" s="1"/>
      <c r="D85" s="1">
        <v>5</v>
      </c>
      <c r="E85" s="1">
        <v>2</v>
      </c>
      <c r="F85" s="4" t="str">
        <f>'BID 1 b'!B1188</f>
        <v>Belanja Barang Jasa</v>
      </c>
      <c r="G85" s="1"/>
      <c r="H85" s="1"/>
      <c r="I85" s="73">
        <f>I84</f>
        <v>1900000</v>
      </c>
      <c r="J85" s="1"/>
    </row>
    <row r="86" spans="1:10" ht="75" x14ac:dyDescent="0.25">
      <c r="A86" s="865">
        <v>1</v>
      </c>
      <c r="B86" s="865">
        <v>3</v>
      </c>
      <c r="C86" s="865">
        <v>90</v>
      </c>
      <c r="D86" s="865"/>
      <c r="E86" s="865"/>
      <c r="F86" s="1061" t="str">
        <f>'BID 1 b'!B1251</f>
        <v>: Pendataan Administrasi Penduduk Non Permanen (Penertiban Penduduk Pendatang dan Sidak Dialogis)</v>
      </c>
      <c r="G86" s="865"/>
      <c r="H86" s="865"/>
      <c r="I86" s="1063">
        <f>'Penjabaran APBDesa'!K232</f>
        <v>40260000</v>
      </c>
      <c r="J86" s="865" t="s">
        <v>1506</v>
      </c>
    </row>
    <row r="87" spans="1:10" hidden="1" x14ac:dyDescent="0.25">
      <c r="A87" s="1"/>
      <c r="B87" s="1"/>
      <c r="C87" s="1"/>
      <c r="D87" s="1">
        <v>5</v>
      </c>
      <c r="E87" s="1">
        <v>2</v>
      </c>
      <c r="F87" s="4" t="str">
        <f>'BID 1 b'!B1257</f>
        <v>Belanja Barang dan Jasa</v>
      </c>
      <c r="G87" s="1"/>
      <c r="H87" s="1"/>
      <c r="I87" s="73">
        <f>I86</f>
        <v>40260000</v>
      </c>
      <c r="J87" s="1"/>
    </row>
    <row r="88" spans="1:10" ht="45" x14ac:dyDescent="0.25">
      <c r="A88" s="865">
        <v>1</v>
      </c>
      <c r="B88" s="865">
        <v>4</v>
      </c>
      <c r="C88" s="865"/>
      <c r="D88" s="865"/>
      <c r="E88" s="865"/>
      <c r="F88" s="1061" t="str">
        <f>'BID 1 b'!B1289</f>
        <v>Tata Praja Pemerintahan, Perencanaan, Keuangan, dan Pelaporan</v>
      </c>
      <c r="G88" s="865"/>
      <c r="H88" s="865"/>
      <c r="I88" s="1063">
        <f>'Penjabaran APBDesa'!K239</f>
        <v>0</v>
      </c>
      <c r="J88" s="865"/>
    </row>
    <row r="89" spans="1:10" ht="60" x14ac:dyDescent="0.25">
      <c r="A89" s="865">
        <v>1</v>
      </c>
      <c r="B89" s="865">
        <v>4</v>
      </c>
      <c r="C89" s="1490" t="s">
        <v>3366</v>
      </c>
      <c r="D89" s="865"/>
      <c r="E89" s="865"/>
      <c r="F89" s="1061" t="str">
        <f>'BID 1 b'!B1290</f>
        <v>Penyelenggaraan Musyawarah Desa/ Pembahasan APBDes (Musrenbangdes)</v>
      </c>
      <c r="G89" s="865"/>
      <c r="H89" s="865"/>
      <c r="I89" s="1063">
        <f>'Penjabaran APBDesa'!K240</f>
        <v>35400000</v>
      </c>
      <c r="J89" s="1061" t="s">
        <v>1506</v>
      </c>
    </row>
    <row r="90" spans="1:10" hidden="1" x14ac:dyDescent="0.25">
      <c r="A90" s="1"/>
      <c r="B90" s="1"/>
      <c r="C90" s="1"/>
      <c r="D90" s="1">
        <v>5</v>
      </c>
      <c r="E90" s="1">
        <v>2</v>
      </c>
      <c r="F90" s="4" t="str">
        <f>'BID 1 b'!B1296</f>
        <v>Belanja Barang Jasa</v>
      </c>
      <c r="G90" s="1"/>
      <c r="H90" s="1"/>
      <c r="I90" s="73">
        <f>I89</f>
        <v>35400000</v>
      </c>
      <c r="J90" s="1"/>
    </row>
    <row r="91" spans="1:10" ht="105" x14ac:dyDescent="0.25">
      <c r="A91" s="865">
        <v>1</v>
      </c>
      <c r="B91" s="865">
        <v>4</v>
      </c>
      <c r="C91" s="1490" t="s">
        <v>3366</v>
      </c>
      <c r="D91" s="865"/>
      <c r="E91" s="865"/>
      <c r="F91" s="1061" t="str">
        <f>'BID 1 b'!B1333</f>
        <v>Penyelenggaraan Musyawarah Desa/ Pembahasan APBDes (Musdes, Musrenbangdes/pra musrenbangdes, dll yang bersifat reguler )</v>
      </c>
      <c r="G91" s="865"/>
      <c r="H91" s="865"/>
      <c r="I91" s="1063">
        <f>'Penjabaran APBDesa'!K250</f>
        <v>33176000</v>
      </c>
      <c r="J91" s="865" t="s">
        <v>1506</v>
      </c>
    </row>
    <row r="92" spans="1:10" hidden="1" x14ac:dyDescent="0.25">
      <c r="A92" s="1"/>
      <c r="B92" s="1"/>
      <c r="C92" s="1"/>
      <c r="D92" s="1">
        <v>5</v>
      </c>
      <c r="E92" s="1">
        <v>2</v>
      </c>
      <c r="F92" s="4" t="str">
        <f>'BID 1 b'!B1339</f>
        <v>Belanja Barang Jasa</v>
      </c>
      <c r="G92" s="1"/>
      <c r="H92" s="1"/>
      <c r="I92" s="73">
        <f>I91</f>
        <v>33176000</v>
      </c>
      <c r="J92" s="1"/>
    </row>
    <row r="93" spans="1:10" ht="60" x14ac:dyDescent="0.25">
      <c r="A93" s="865">
        <v>1</v>
      </c>
      <c r="B93" s="865">
        <v>4</v>
      </c>
      <c r="C93" s="1490" t="s">
        <v>3386</v>
      </c>
      <c r="D93" s="865"/>
      <c r="E93" s="865"/>
      <c r="F93" s="1061" t="str">
        <f>'BID 1 b'!B1376</f>
        <v>: Penyelenggaraan Musyawarah Desa lainya (yang bersifat non reguler )</v>
      </c>
      <c r="G93" s="865"/>
      <c r="H93" s="865"/>
      <c r="I93" s="1063">
        <f>'Penjabaran APBDesa'!K260</f>
        <v>24160000</v>
      </c>
      <c r="J93" s="865" t="s">
        <v>1220</v>
      </c>
    </row>
    <row r="94" spans="1:10" hidden="1" x14ac:dyDescent="0.25">
      <c r="A94" s="1"/>
      <c r="B94" s="1"/>
      <c r="C94" s="1"/>
      <c r="D94" s="1">
        <v>5</v>
      </c>
      <c r="E94" s="1">
        <v>2</v>
      </c>
      <c r="F94" s="4" t="str">
        <f>'BID 1 b'!B1382</f>
        <v>Belanja Barang Jasa</v>
      </c>
      <c r="G94" s="1"/>
      <c r="H94" s="1"/>
      <c r="I94" s="73">
        <f>I93</f>
        <v>24160000</v>
      </c>
      <c r="J94" s="1"/>
    </row>
    <row r="95" spans="1:10" ht="45" x14ac:dyDescent="0.25">
      <c r="A95" s="865">
        <v>1</v>
      </c>
      <c r="B95" s="865">
        <v>4</v>
      </c>
      <c r="C95" s="1490" t="s">
        <v>3388</v>
      </c>
      <c r="D95" s="865"/>
      <c r="E95" s="865"/>
      <c r="F95" s="1061" t="str">
        <f>'BID 1 b'!B1416</f>
        <v>Penyusunan Dokumen Perencanaan Desa (RKP Desa 2027)</v>
      </c>
      <c r="G95" s="865"/>
      <c r="H95" s="865"/>
      <c r="I95" s="1063">
        <f>'Penjabaran APBDesa'!K270</f>
        <v>34540000</v>
      </c>
      <c r="J95" s="1061" t="s">
        <v>1220</v>
      </c>
    </row>
    <row r="96" spans="1:10" hidden="1" x14ac:dyDescent="0.25">
      <c r="A96" s="1"/>
      <c r="B96" s="1"/>
      <c r="C96" s="1"/>
      <c r="D96" s="1">
        <v>5</v>
      </c>
      <c r="E96" s="1">
        <v>2</v>
      </c>
      <c r="F96" s="4" t="str">
        <f>'BID 1 b'!B1421</f>
        <v>Belanja Barang Jasa</v>
      </c>
      <c r="G96" s="1"/>
      <c r="H96" s="1"/>
      <c r="I96" s="73">
        <f>I95</f>
        <v>34540000</v>
      </c>
      <c r="J96" s="1"/>
    </row>
    <row r="97" spans="1:12" ht="45" x14ac:dyDescent="0.25">
      <c r="A97" s="865">
        <v>1</v>
      </c>
      <c r="B97" s="865">
        <v>4</v>
      </c>
      <c r="C97" s="1490" t="s">
        <v>3389</v>
      </c>
      <c r="D97" s="865"/>
      <c r="E97" s="865"/>
      <c r="F97" s="1061" t="str">
        <f>'BID 1 b'!B1457</f>
        <v>: Penyusunan dokumen keuangan Desa (APBDesa 2027 )</v>
      </c>
      <c r="G97" s="865"/>
      <c r="H97" s="865"/>
      <c r="I97" s="1063">
        <f>'Penjabaran APBDesa'!K277</f>
        <v>6105000</v>
      </c>
      <c r="J97" s="865" t="s">
        <v>1220</v>
      </c>
    </row>
    <row r="98" spans="1:12" hidden="1" x14ac:dyDescent="0.25">
      <c r="A98" s="1"/>
      <c r="B98" s="1"/>
      <c r="C98" s="1"/>
      <c r="D98" s="1">
        <v>5</v>
      </c>
      <c r="E98" s="1">
        <v>2</v>
      </c>
      <c r="F98" s="4" t="str">
        <f>'BID 1 b'!B1463</f>
        <v>Belanja Barang Jasa :</v>
      </c>
      <c r="G98" s="1"/>
      <c r="H98" s="1"/>
      <c r="I98" s="73">
        <f>I97</f>
        <v>6105000</v>
      </c>
      <c r="J98" s="1"/>
    </row>
    <row r="99" spans="1:12" ht="45" x14ac:dyDescent="0.25">
      <c r="A99" s="865">
        <v>1</v>
      </c>
      <c r="B99" s="865">
        <v>4</v>
      </c>
      <c r="C99" s="1490" t="s">
        <v>3389</v>
      </c>
      <c r="D99" s="865"/>
      <c r="E99" s="865"/>
      <c r="F99" s="1061" t="str">
        <f>'BID 1 b'!B1488</f>
        <v>: Penyusunan dokumen keuangan Desa (APBDesa Perubahan 2026)</v>
      </c>
      <c r="G99" s="865"/>
      <c r="H99" s="865"/>
      <c r="I99" s="1063">
        <f>'Penjabaran APBDesa'!K282</f>
        <v>7615000</v>
      </c>
      <c r="J99" s="1061" t="s">
        <v>3295</v>
      </c>
    </row>
    <row r="100" spans="1:12" hidden="1" x14ac:dyDescent="0.25">
      <c r="A100" s="1"/>
      <c r="B100" s="1"/>
      <c r="C100" s="1"/>
      <c r="D100" s="1">
        <v>5</v>
      </c>
      <c r="E100" s="1">
        <v>2</v>
      </c>
      <c r="F100" s="4" t="str">
        <f>'BID 1 b'!B1494</f>
        <v>Belanja Barang Jasa :</v>
      </c>
      <c r="G100" s="1"/>
      <c r="H100" s="1"/>
      <c r="I100" s="73">
        <f>I99</f>
        <v>7615000</v>
      </c>
      <c r="J100" s="4"/>
    </row>
    <row r="101" spans="1:12" ht="45" x14ac:dyDescent="0.25">
      <c r="A101" s="865">
        <v>1</v>
      </c>
      <c r="B101" s="865">
        <v>4</v>
      </c>
      <c r="C101" s="1490" t="s">
        <v>3389</v>
      </c>
      <c r="D101" s="865"/>
      <c r="E101" s="865"/>
      <c r="F101" s="1061" t="str">
        <f>'BID 1 b'!B1518</f>
        <v>: Penyusunan dokumen keuangan Desa ( LPJ APBDesa 2025).</v>
      </c>
      <c r="G101" s="865"/>
      <c r="H101" s="865"/>
      <c r="I101" s="1063">
        <f>'Penjabaran APBDesa'!K287</f>
        <v>1660750</v>
      </c>
      <c r="J101" s="1061" t="s">
        <v>1775</v>
      </c>
    </row>
    <row r="102" spans="1:12" hidden="1" x14ac:dyDescent="0.25">
      <c r="A102" s="1"/>
      <c r="B102" s="1"/>
      <c r="C102" s="1"/>
      <c r="D102" s="1">
        <v>5</v>
      </c>
      <c r="E102" s="1">
        <v>2</v>
      </c>
      <c r="F102" s="4" t="str">
        <f>'BID 1 b'!B1524</f>
        <v>Belanja Barang Jasa :</v>
      </c>
      <c r="G102" s="1"/>
      <c r="H102" s="1"/>
      <c r="I102" s="73">
        <f>I101</f>
        <v>1660750</v>
      </c>
      <c r="J102" s="1"/>
    </row>
    <row r="103" spans="1:12" ht="90" x14ac:dyDescent="0.25">
      <c r="A103" s="865">
        <v>1</v>
      </c>
      <c r="B103" s="865">
        <v>4</v>
      </c>
      <c r="C103" s="1490" t="s">
        <v>3392</v>
      </c>
      <c r="D103" s="865"/>
      <c r="E103" s="865"/>
      <c r="F103" s="1061" t="str">
        <f>'BID 1 b'!B1546</f>
        <v>: Penyusunan laporan Kepala Desa/ Penyelenggaraan Pemerintah Desa (Laporan akhir tahun anggaran )</v>
      </c>
      <c r="G103" s="865"/>
      <c r="H103" s="865"/>
      <c r="I103" s="1063">
        <f>'Penjabaran APBDesa'!K291</f>
        <v>1500000</v>
      </c>
      <c r="J103" s="865" t="s">
        <v>1506</v>
      </c>
    </row>
    <row r="104" spans="1:12" hidden="1" x14ac:dyDescent="0.25">
      <c r="A104" s="1"/>
      <c r="B104" s="1"/>
      <c r="C104" s="1"/>
      <c r="D104" s="1">
        <v>5</v>
      </c>
      <c r="E104" s="1">
        <v>2</v>
      </c>
      <c r="F104" s="4" t="str">
        <f>'BID 1 b'!B1552</f>
        <v>Belanja Barang Jasa :</v>
      </c>
      <c r="G104" s="1"/>
      <c r="H104" s="1"/>
      <c r="I104" s="73">
        <f>I103</f>
        <v>1500000</v>
      </c>
      <c r="J104" s="1"/>
    </row>
    <row r="105" spans="1:12" ht="30" hidden="1" x14ac:dyDescent="0.25">
      <c r="A105" s="1537">
        <v>2</v>
      </c>
      <c r="B105" s="1537"/>
      <c r="C105" s="1537"/>
      <c r="D105" s="1537"/>
      <c r="E105" s="1537"/>
      <c r="F105" s="1538" t="str">
        <f>'Bid 2b'!B5</f>
        <v>Pelaksanaan Pembangunan Desa</v>
      </c>
      <c r="G105" s="1537"/>
      <c r="H105" s="1537"/>
      <c r="I105" s="1539">
        <f>'Penjabaran APBDesa'!K295</f>
        <v>3312223224.1999998</v>
      </c>
      <c r="J105" s="1537"/>
      <c r="K105" s="68">
        <f>'Penjabaran APBDesa'!K295</f>
        <v>3312223224.1999998</v>
      </c>
      <c r="L105" s="23">
        <f t="shared" ref="L105" si="1">K105-I105</f>
        <v>0</v>
      </c>
    </row>
    <row r="106" spans="1:12" ht="18" customHeight="1" x14ac:dyDescent="0.25">
      <c r="A106" s="865">
        <v>2</v>
      </c>
      <c r="B106" s="865">
        <v>1</v>
      </c>
      <c r="C106" s="865"/>
      <c r="D106" s="865"/>
      <c r="E106" s="865"/>
      <c r="F106" s="865" t="str">
        <f>'Bid 2b'!B6</f>
        <v>Pendidikan</v>
      </c>
      <c r="G106" s="865"/>
      <c r="H106" s="865"/>
      <c r="I106" s="1063">
        <f>'Penjabaran APBDesa'!K296</f>
        <v>0</v>
      </c>
      <c r="J106" s="865"/>
    </row>
    <row r="107" spans="1:12" ht="90" x14ac:dyDescent="0.25">
      <c r="A107" s="865">
        <v>2</v>
      </c>
      <c r="B107" s="865">
        <v>1</v>
      </c>
      <c r="C107" s="1490" t="s">
        <v>3366</v>
      </c>
      <c r="D107" s="865"/>
      <c r="E107" s="865"/>
      <c r="F107" s="1061" t="str">
        <f>'Bid 2b'!B7</f>
        <v>Penyelenggaraan PAUD/TK/TKA/ Madrasah Non Formal Milik Desa (Pengelolaan Taman Kanak - kanak  TK Kumara Sari VI )</v>
      </c>
      <c r="G107" s="865"/>
      <c r="H107" s="865"/>
      <c r="I107" s="1063">
        <f>'Penjabaran APBDesa'!K297</f>
        <v>276660000</v>
      </c>
      <c r="J107" s="865"/>
    </row>
    <row r="108" spans="1:12" hidden="1" x14ac:dyDescent="0.25">
      <c r="A108" s="1"/>
      <c r="B108" s="1"/>
      <c r="C108" s="1"/>
      <c r="D108" s="1">
        <v>5</v>
      </c>
      <c r="E108" s="1">
        <v>2</v>
      </c>
      <c r="F108" s="4" t="str">
        <f>'Bid 2b'!B12</f>
        <v>Belanja Barang Jasa :</v>
      </c>
      <c r="G108" s="1"/>
      <c r="H108" s="1"/>
      <c r="I108" s="73">
        <f>I107</f>
        <v>276660000</v>
      </c>
      <c r="J108" s="1"/>
    </row>
    <row r="109" spans="1:12" ht="90" x14ac:dyDescent="0.25">
      <c r="A109" s="865">
        <v>2</v>
      </c>
      <c r="B109" s="865">
        <v>1</v>
      </c>
      <c r="C109" s="1490" t="s">
        <v>3388</v>
      </c>
      <c r="D109" s="865"/>
      <c r="E109" s="865"/>
      <c r="F109" s="1061" t="str">
        <f>'Bid 2b'!B160</f>
        <v>: Pembinaan atau Pelatihan Kelompok Belajar Widya Kumara Bhuwana ( Pelatihan Bahasa dan Aksara Bali Untuk Anak-Anak )</v>
      </c>
      <c r="G109" s="865"/>
      <c r="H109" s="865"/>
      <c r="I109" s="1063">
        <f>'Penjabaran APBDesa'!K322</f>
        <v>18008000</v>
      </c>
      <c r="J109" s="865" t="s">
        <v>1506</v>
      </c>
    </row>
    <row r="110" spans="1:12" hidden="1" x14ac:dyDescent="0.25">
      <c r="A110" s="1"/>
      <c r="B110" s="1"/>
      <c r="C110" s="1"/>
      <c r="D110" s="1">
        <v>5</v>
      </c>
      <c r="E110" s="1">
        <v>2</v>
      </c>
      <c r="F110" s="4" t="str">
        <f>'Bid 2b'!B167</f>
        <v>Belanja Barang Jasa</v>
      </c>
      <c r="G110" s="1"/>
      <c r="H110" s="1"/>
      <c r="I110" s="73">
        <f>I109</f>
        <v>18008000</v>
      </c>
      <c r="J110" s="1"/>
    </row>
    <row r="111" spans="1:12" ht="105" x14ac:dyDescent="0.25">
      <c r="A111" s="865">
        <v>2</v>
      </c>
      <c r="B111" s="865">
        <v>1</v>
      </c>
      <c r="C111" s="1490" t="s">
        <v>3392</v>
      </c>
      <c r="D111" s="865"/>
      <c r="E111" s="865"/>
      <c r="F111" s="1061" t="str">
        <f>'Bid 2b'!B204</f>
        <v>:Peningkatan Sarana Prasarana Perpustakaan/Taman Bacaan Desa/ Sanggar Belajar Milik Desa (Perpustakaan Digital dan keliling)</v>
      </c>
      <c r="G111" s="865"/>
      <c r="H111" s="865"/>
      <c r="I111" s="1063">
        <f>'Penjabaran APBDesa'!K332</f>
        <v>6979246</v>
      </c>
      <c r="J111" s="1061" t="s">
        <v>2177</v>
      </c>
    </row>
    <row r="112" spans="1:12" hidden="1" x14ac:dyDescent="0.25">
      <c r="A112" s="1"/>
      <c r="B112" s="1"/>
      <c r="C112" s="1"/>
      <c r="D112" s="1">
        <v>5</v>
      </c>
      <c r="E112" s="1">
        <v>2</v>
      </c>
      <c r="F112" s="4" t="str">
        <f>'Bid 2b'!B211</f>
        <v>Belanja Barang Jasa</v>
      </c>
      <c r="G112" s="1"/>
      <c r="H112" s="1"/>
      <c r="I112" s="73">
        <f>I111</f>
        <v>6979246</v>
      </c>
      <c r="J112" s="4"/>
    </row>
    <row r="113" spans="1:10" x14ac:dyDescent="0.25">
      <c r="A113" s="865">
        <v>2</v>
      </c>
      <c r="B113" s="865">
        <v>2</v>
      </c>
      <c r="C113" s="865"/>
      <c r="D113" s="865"/>
      <c r="E113" s="865"/>
      <c r="F113" s="865" t="str">
        <f>'Bid 2b'!B229</f>
        <v>: Kesehatan</v>
      </c>
      <c r="G113" s="865"/>
      <c r="H113" s="865"/>
      <c r="I113" s="1063">
        <f>'Penjabaran APBDesa'!K338</f>
        <v>0</v>
      </c>
      <c r="J113" s="1061"/>
    </row>
    <row r="114" spans="1:10" ht="60" x14ac:dyDescent="0.25">
      <c r="A114" s="865">
        <v>2</v>
      </c>
      <c r="B114" s="865">
        <v>2</v>
      </c>
      <c r="C114" s="1490" t="s">
        <v>3386</v>
      </c>
      <c r="D114" s="865"/>
      <c r="E114" s="865"/>
      <c r="F114" s="1061" t="str">
        <f>'Bid 2b'!B230</f>
        <v>: Penyelenggaraan Posyandu (Penyelenggaraan Posyandu ILP)</v>
      </c>
      <c r="G114" s="865"/>
      <c r="H114" s="865"/>
      <c r="I114" s="1063">
        <f>'Penjabaran APBDesa'!K339</f>
        <v>883933100</v>
      </c>
      <c r="J114" s="865"/>
    </row>
    <row r="115" spans="1:10" hidden="1" x14ac:dyDescent="0.25">
      <c r="A115" s="1"/>
      <c r="B115" s="1"/>
      <c r="C115" s="1"/>
      <c r="D115" s="1">
        <v>5</v>
      </c>
      <c r="E115" s="1">
        <v>2</v>
      </c>
      <c r="F115" s="4" t="str">
        <f>'Bid 2b'!B235</f>
        <v>Belanja Barang dan Jasa</v>
      </c>
      <c r="G115" s="1"/>
      <c r="H115" s="1"/>
      <c r="I115" s="73">
        <f>I114</f>
        <v>883933100</v>
      </c>
      <c r="J115" s="1"/>
    </row>
    <row r="116" spans="1:10" ht="45" x14ac:dyDescent="0.25">
      <c r="A116" s="865">
        <v>2</v>
      </c>
      <c r="B116" s="865">
        <v>2</v>
      </c>
      <c r="C116" s="1490" t="s">
        <v>3386</v>
      </c>
      <c r="D116" s="865"/>
      <c r="E116" s="865"/>
      <c r="F116" s="1061" t="str">
        <f>'Bid 2b'!B281</f>
        <v>: Penyelenggaraan POSyandu (Pos Gizi dan Ibu Hamil)</v>
      </c>
      <c r="G116" s="865"/>
      <c r="H116" s="865"/>
      <c r="I116" s="1063">
        <f>'Penjabaran APBDesa'!K350</f>
        <v>3095000</v>
      </c>
      <c r="J116" s="1061" t="s">
        <v>3295</v>
      </c>
    </row>
    <row r="117" spans="1:10" hidden="1" x14ac:dyDescent="0.25">
      <c r="A117" s="1"/>
      <c r="B117" s="1"/>
      <c r="C117" s="1"/>
      <c r="D117" s="1">
        <v>5</v>
      </c>
      <c r="E117" s="1">
        <v>2</v>
      </c>
      <c r="F117" s="4" t="str">
        <f>'Bid 2b'!B288</f>
        <v>Belanja Barang Jasa</v>
      </c>
      <c r="G117" s="1"/>
      <c r="H117" s="1"/>
      <c r="I117" s="73">
        <f>I116</f>
        <v>3095000</v>
      </c>
      <c r="J117" s="1"/>
    </row>
    <row r="118" spans="1:10" x14ac:dyDescent="0.25">
      <c r="A118" s="1061">
        <v>2</v>
      </c>
      <c r="B118" s="1061">
        <v>2</v>
      </c>
      <c r="C118" s="1542" t="s">
        <v>3388</v>
      </c>
      <c r="D118" s="1061"/>
      <c r="E118" s="1061"/>
      <c r="F118" s="1061" t="str">
        <f>'Bid 2b'!B369</f>
        <v>: Penyuluhan dan Pelatihan Bidang Kesehatan (Pembinaan Kader POSyandu terintegrasi/ILP)</v>
      </c>
      <c r="G118" s="1061"/>
      <c r="H118" s="1061"/>
      <c r="I118" s="1063">
        <f>'Penjabaran APBDesa'!K358</f>
        <v>8410000</v>
      </c>
      <c r="J118" s="1061" t="s">
        <v>1410</v>
      </c>
    </row>
    <row r="119" spans="1:10" hidden="1" x14ac:dyDescent="0.25">
      <c r="A119" s="1"/>
      <c r="B119" s="1"/>
      <c r="C119" s="1"/>
      <c r="D119" s="1">
        <v>5</v>
      </c>
      <c r="E119" s="1">
        <v>2</v>
      </c>
      <c r="F119" s="1" t="str">
        <f>'Bid 2b'!B374</f>
        <v>Belanja Barang dan Jasa</v>
      </c>
      <c r="G119" s="1"/>
      <c r="H119" s="1"/>
      <c r="I119" s="73">
        <f>I118</f>
        <v>8410000</v>
      </c>
      <c r="J119" s="1"/>
    </row>
    <row r="120" spans="1:10" ht="75" x14ac:dyDescent="0.25">
      <c r="A120" s="865">
        <v>2</v>
      </c>
      <c r="B120" s="865">
        <v>2</v>
      </c>
      <c r="C120" s="1490" t="s">
        <v>3388</v>
      </c>
      <c r="D120" s="865"/>
      <c r="E120" s="865"/>
      <c r="F120" s="1061" t="str">
        <f>'Bid 2b'!B403</f>
        <v xml:space="preserve"> : Penyuluhan dan Pelatihan Bidang Kesehatan (Pendampingan calon pengantin)</v>
      </c>
      <c r="G120" s="865"/>
      <c r="H120" s="865"/>
      <c r="I120" s="1063">
        <f>'Penjabaran APBDesa'!K365</f>
        <v>11814900</v>
      </c>
      <c r="J120" s="1061" t="s">
        <v>2179</v>
      </c>
    </row>
    <row r="121" spans="1:10" hidden="1" x14ac:dyDescent="0.25">
      <c r="A121" s="1"/>
      <c r="B121" s="1"/>
      <c r="C121" s="1"/>
      <c r="D121" s="1">
        <v>5</v>
      </c>
      <c r="E121" s="1">
        <v>2</v>
      </c>
      <c r="F121" s="4" t="str">
        <f>'Bid 2b'!B410</f>
        <v>Belanja Barang Jasa</v>
      </c>
      <c r="G121" s="1"/>
      <c r="H121" s="1"/>
      <c r="I121" s="73">
        <f>I120</f>
        <v>11814900</v>
      </c>
      <c r="J121" s="1"/>
    </row>
    <row r="122" spans="1:10" ht="90" x14ac:dyDescent="0.25">
      <c r="A122" s="865">
        <v>2</v>
      </c>
      <c r="B122" s="865">
        <v>2</v>
      </c>
      <c r="C122" s="1490" t="s">
        <v>3388</v>
      </c>
      <c r="D122" s="865"/>
      <c r="E122" s="865"/>
      <c r="F122" s="1061" t="str">
        <f>'Bid 2b'!B442</f>
        <v>: Penyuluhan dan Pelatihan Bidang Kesehatan untuk Masyarakat (Pembinaan Kampung Keluarga Berkualitas)</v>
      </c>
      <c r="G122" s="865"/>
      <c r="H122" s="865"/>
      <c r="I122" s="1063">
        <f>'Penjabaran APBDesa'!K374</f>
        <v>3757000</v>
      </c>
      <c r="J122" s="1061" t="s">
        <v>2179</v>
      </c>
    </row>
    <row r="123" spans="1:10" hidden="1" x14ac:dyDescent="0.25">
      <c r="A123" s="1"/>
      <c r="B123" s="1"/>
      <c r="C123" s="1"/>
      <c r="D123" s="1">
        <v>5</v>
      </c>
      <c r="E123" s="1">
        <v>2</v>
      </c>
      <c r="F123" s="4" t="str">
        <f>'Bid 2b'!B448</f>
        <v>Belanja Barang Jasa</v>
      </c>
      <c r="G123" s="1"/>
      <c r="H123" s="1"/>
      <c r="I123" s="73">
        <f>I122</f>
        <v>3757000</v>
      </c>
      <c r="J123" s="1"/>
    </row>
    <row r="124" spans="1:10" ht="75" x14ac:dyDescent="0.25">
      <c r="A124" s="865">
        <v>2</v>
      </c>
      <c r="B124" s="865">
        <v>2</v>
      </c>
      <c r="C124" s="1490" t="s">
        <v>3388</v>
      </c>
      <c r="D124" s="865"/>
      <c r="E124" s="865"/>
      <c r="F124" s="1061" t="str">
        <f>'Bid 2b'!B479</f>
        <v>Penyuluhan dan Pelatihan Bidang Kesehatan (PHBS : Sostaliasasi AIDS, Tuber Colosis, Malaria)</v>
      </c>
      <c r="G124" s="865"/>
      <c r="H124" s="865"/>
      <c r="I124" s="1063">
        <f>'Penjabaran APBDesa'!K383</f>
        <v>19592000</v>
      </c>
      <c r="J124" s="1061" t="s">
        <v>3295</v>
      </c>
    </row>
    <row r="125" spans="1:10" hidden="1" x14ac:dyDescent="0.25">
      <c r="A125" s="1"/>
      <c r="B125" s="1"/>
      <c r="C125" s="1"/>
      <c r="D125" s="1">
        <v>5</v>
      </c>
      <c r="E125" s="1">
        <v>2</v>
      </c>
      <c r="F125" s="4" t="str">
        <f>'Bid 2b'!B484</f>
        <v>Belanja Barang Jasa :</v>
      </c>
      <c r="G125" s="1"/>
      <c r="H125" s="1"/>
      <c r="I125" s="73">
        <f>I124</f>
        <v>19592000</v>
      </c>
      <c r="J125" s="4"/>
    </row>
    <row r="126" spans="1:10" ht="60" x14ac:dyDescent="0.25">
      <c r="A126" s="865">
        <v>2</v>
      </c>
      <c r="B126" s="865">
        <v>2</v>
      </c>
      <c r="C126" s="1490" t="s">
        <v>3388</v>
      </c>
      <c r="D126" s="865"/>
      <c r="E126" s="865"/>
      <c r="F126" s="1061" t="str">
        <f>'Bid 2b'!B521</f>
        <v>: Penyuluhan dan Pelatihan Bidang Kesehatan (Penyuluhan Narkoba dan HIV/AIDS)</v>
      </c>
      <c r="G126" s="865"/>
      <c r="H126" s="865"/>
      <c r="I126" s="1063">
        <f>'Penjabaran APBDesa'!K395</f>
        <v>25440000</v>
      </c>
      <c r="J126" s="1061" t="s">
        <v>1777</v>
      </c>
    </row>
    <row r="127" spans="1:10" hidden="1" x14ac:dyDescent="0.25">
      <c r="A127" s="1"/>
      <c r="B127" s="1"/>
      <c r="C127" s="1"/>
      <c r="D127" s="1">
        <v>5</v>
      </c>
      <c r="E127" s="1">
        <v>2</v>
      </c>
      <c r="F127" s="4" t="str">
        <f>'Bid 2b'!B527</f>
        <v>Belanja Barang Jasa</v>
      </c>
      <c r="G127" s="1"/>
      <c r="H127" s="1"/>
      <c r="I127" s="73">
        <f>I126</f>
        <v>25440000</v>
      </c>
      <c r="J127" s="1"/>
    </row>
    <row r="128" spans="1:10" ht="60" x14ac:dyDescent="0.25">
      <c r="A128" s="865">
        <v>2</v>
      </c>
      <c r="B128" s="865">
        <v>2</v>
      </c>
      <c r="C128" s="1490" t="s">
        <v>3388</v>
      </c>
      <c r="D128" s="865"/>
      <c r="E128" s="865"/>
      <c r="F128" s="1061" t="str">
        <f>'Bid 2b'!B569</f>
        <v>: Penyuluhan dan Pelatihan Bidang Kesehatan ( Penyuluhan KB )</v>
      </c>
      <c r="G128" s="865"/>
      <c r="H128" s="865"/>
      <c r="I128" s="1063">
        <f>'Penjabaran APBDesa'!K405</f>
        <v>25990000</v>
      </c>
      <c r="J128" s="1061" t="s">
        <v>2179</v>
      </c>
    </row>
    <row r="129" spans="1:10" hidden="1" x14ac:dyDescent="0.25">
      <c r="A129" s="1"/>
      <c r="B129" s="1"/>
      <c r="C129" s="1"/>
      <c r="D129" s="1">
        <v>5</v>
      </c>
      <c r="E129" s="1">
        <v>2</v>
      </c>
      <c r="F129" s="4" t="str">
        <f>'Bid 2b'!B575</f>
        <v>Belanja Barang Jasa</v>
      </c>
      <c r="G129" s="1"/>
      <c r="H129" s="1"/>
      <c r="I129" s="73">
        <f>I128</f>
        <v>25990000</v>
      </c>
      <c r="J129" s="1"/>
    </row>
    <row r="130" spans="1:10" ht="105" x14ac:dyDescent="0.25">
      <c r="A130" s="865">
        <v>2</v>
      </c>
      <c r="B130" s="865">
        <v>2</v>
      </c>
      <c r="C130" s="1490" t="s">
        <v>3388</v>
      </c>
      <c r="D130" s="865"/>
      <c r="E130" s="865"/>
      <c r="F130" s="1061" t="str">
        <f>'Bid 2b'!B613</f>
        <v>:Penyuluhan dan Pelatihan Bidang Kesehatan Untuk Masyarakat (Penyelenggaraan Pembinaan dan Lomba PMT)</v>
      </c>
      <c r="G130" s="865"/>
      <c r="H130" s="865"/>
      <c r="I130" s="1063">
        <f>'Penjabaran APBDesa'!K417</f>
        <v>10261000</v>
      </c>
      <c r="J130" s="1061" t="s">
        <v>1775</v>
      </c>
    </row>
    <row r="131" spans="1:10" hidden="1" x14ac:dyDescent="0.25">
      <c r="A131" s="1"/>
      <c r="B131" s="1"/>
      <c r="C131" s="1"/>
      <c r="D131" s="1">
        <v>5</v>
      </c>
      <c r="E131" s="1">
        <v>2</v>
      </c>
      <c r="F131" s="4" t="str">
        <f>'Bid 2b'!B619</f>
        <v>Belanja Barang Jasa :</v>
      </c>
      <c r="G131" s="1"/>
      <c r="H131" s="1"/>
      <c r="I131" s="73">
        <f>I130</f>
        <v>10261000</v>
      </c>
      <c r="J131" s="1"/>
    </row>
    <row r="132" spans="1:10" ht="120" x14ac:dyDescent="0.25">
      <c r="A132" s="865">
        <v>2</v>
      </c>
      <c r="B132" s="865">
        <v>2</v>
      </c>
      <c r="C132" s="1490" t="s">
        <v>3388</v>
      </c>
      <c r="D132" s="865"/>
      <c r="E132" s="865"/>
      <c r="F132" s="1061" t="str">
        <f>'Bid 2b'!B676</f>
        <v>: Penyuluhan dan Pelatihan Bidang Kesehatan untuk Masyarakat (Penyuluhan kesehatan Organ Reproduksi dan Penyelenggaraan Papsmear)</v>
      </c>
      <c r="G132" s="865"/>
      <c r="H132" s="865"/>
      <c r="I132" s="1063">
        <f>'Penjabaran APBDesa'!K433</f>
        <v>8585000</v>
      </c>
      <c r="J132" s="865" t="s">
        <v>2177</v>
      </c>
    </row>
    <row r="133" spans="1:10" hidden="1" x14ac:dyDescent="0.25">
      <c r="A133" s="1"/>
      <c r="B133" s="1"/>
      <c r="C133" s="1"/>
      <c r="D133" s="1">
        <v>5</v>
      </c>
      <c r="E133" s="1">
        <v>2</v>
      </c>
      <c r="F133" s="4" t="str">
        <f>'Bid 2b'!B683</f>
        <v>Belanja Barang Jasa</v>
      </c>
      <c r="G133" s="1"/>
      <c r="H133" s="1"/>
      <c r="I133" s="73">
        <f>I132</f>
        <v>8585000</v>
      </c>
      <c r="J133" s="1"/>
    </row>
    <row r="134" spans="1:10" ht="75" x14ac:dyDescent="0.25">
      <c r="A134" s="865">
        <v>2</v>
      </c>
      <c r="B134" s="865">
        <v>2</v>
      </c>
      <c r="C134" s="1490" t="s">
        <v>3388</v>
      </c>
      <c r="D134" s="865"/>
      <c r="E134" s="865"/>
      <c r="F134" s="1061" t="str">
        <f>'Bid 2b'!B724</f>
        <v>: Penyuluhan dan Pelatihan Bidang Kesehatan untuk Masyarakat  (Pembinaan Rumah Dataku)</v>
      </c>
      <c r="G134" s="865"/>
      <c r="H134" s="865"/>
      <c r="I134" s="1063">
        <f>'Penjabaran APBDesa'!K447</f>
        <v>1550000</v>
      </c>
      <c r="J134" s="865" t="s">
        <v>2177</v>
      </c>
    </row>
    <row r="135" spans="1:10" hidden="1" x14ac:dyDescent="0.25">
      <c r="A135" s="1"/>
      <c r="B135" s="1"/>
      <c r="C135" s="1"/>
      <c r="D135" s="1">
        <v>5</v>
      </c>
      <c r="E135" s="1">
        <v>2</v>
      </c>
      <c r="F135" s="4" t="str">
        <f>'Bid 2b'!B730</f>
        <v>Belanja Barang Jasa</v>
      </c>
      <c r="G135" s="1"/>
      <c r="H135" s="1"/>
      <c r="I135" s="73">
        <f>I134</f>
        <v>1550000</v>
      </c>
      <c r="J135" s="1"/>
    </row>
    <row r="136" spans="1:10" ht="75" x14ac:dyDescent="0.25">
      <c r="A136" s="865">
        <v>2</v>
      </c>
      <c r="B136" s="865">
        <v>2</v>
      </c>
      <c r="C136" s="1490" t="s">
        <v>3388</v>
      </c>
      <c r="D136" s="865"/>
      <c r="E136" s="865"/>
      <c r="F136" s="1061" t="str">
        <f>'Bid 2b'!B766</f>
        <v>: Penyuluhan dan Pelatihan Bidang Kesehatan Untuk Masyarakat  (Sosialisasi Sanitasi pedagang )</v>
      </c>
      <c r="G136" s="865"/>
      <c r="H136" s="865"/>
      <c r="I136" s="1063">
        <f>'Penjabaran APBDesa'!K455</f>
        <v>4593200</v>
      </c>
      <c r="J136" s="1061" t="s">
        <v>2179</v>
      </c>
    </row>
    <row r="137" spans="1:10" hidden="1" x14ac:dyDescent="0.25">
      <c r="A137" s="1"/>
      <c r="B137" s="1"/>
      <c r="C137" s="1"/>
      <c r="D137" s="1">
        <v>5</v>
      </c>
      <c r="E137" s="1">
        <v>2</v>
      </c>
      <c r="F137" s="4" t="str">
        <f>'Bid 2b'!B773</f>
        <v xml:space="preserve">Belanja Barang dan Jasa </v>
      </c>
      <c r="G137" s="1"/>
      <c r="H137" s="1"/>
      <c r="I137" s="73">
        <f>I136</f>
        <v>4593200</v>
      </c>
      <c r="J137" s="4"/>
    </row>
    <row r="138" spans="1:10" ht="90" x14ac:dyDescent="0.25">
      <c r="A138" s="865">
        <v>2</v>
      </c>
      <c r="B138" s="865">
        <v>2</v>
      </c>
      <c r="C138" s="1490" t="s">
        <v>3388</v>
      </c>
      <c r="D138" s="865"/>
      <c r="E138" s="865"/>
      <c r="F138" s="1061" t="str">
        <f>'Bid 2b'!B805</f>
        <v>: Penyuluhan dan Pelatihan Bidang Kesehatan Untuk Masyarakat  (Senam Untuk Kesehatan Perempuan)</v>
      </c>
      <c r="G138" s="865"/>
      <c r="H138" s="865"/>
      <c r="I138" s="1063">
        <f>'Penjabaran APBDesa'!K463</f>
        <v>4800000</v>
      </c>
      <c r="J138" s="865" t="s">
        <v>1506</v>
      </c>
    </row>
    <row r="139" spans="1:10" hidden="1" x14ac:dyDescent="0.25">
      <c r="A139" s="1"/>
      <c r="B139" s="1"/>
      <c r="C139" s="1"/>
      <c r="D139" s="1">
        <v>5</v>
      </c>
      <c r="E139" s="1">
        <v>2</v>
      </c>
      <c r="F139" s="4" t="str">
        <f>'Bid 2b'!B812</f>
        <v xml:space="preserve">Belanja Barang dan Jasa </v>
      </c>
      <c r="G139" s="1"/>
      <c r="H139" s="1"/>
      <c r="I139" s="73">
        <f>I138</f>
        <v>4800000</v>
      </c>
      <c r="J139" s="1"/>
    </row>
    <row r="140" spans="1:10" ht="30" x14ac:dyDescent="0.25">
      <c r="A140" s="865">
        <v>2</v>
      </c>
      <c r="B140" s="865">
        <v>2</v>
      </c>
      <c r="C140" s="1490" t="s">
        <v>3389</v>
      </c>
      <c r="D140" s="865"/>
      <c r="E140" s="865"/>
      <c r="F140" s="1061" t="str">
        <f>'Bid 2b'!B834</f>
        <v>: Penyelenggaraan  (Desa Siaga Kesehatan)</v>
      </c>
      <c r="G140" s="865"/>
      <c r="H140" s="865"/>
      <c r="I140" s="1063">
        <f>'Penjabaran APBDesa'!K467</f>
        <v>1802000</v>
      </c>
      <c r="J140" s="865" t="s">
        <v>2177</v>
      </c>
    </row>
    <row r="141" spans="1:10" hidden="1" x14ac:dyDescent="0.25">
      <c r="A141" s="1"/>
      <c r="B141" s="1"/>
      <c r="C141" s="1"/>
      <c r="D141" s="1">
        <v>5</v>
      </c>
      <c r="E141" s="1">
        <v>2</v>
      </c>
      <c r="F141" s="4" t="str">
        <f>'Bid 2b'!B840</f>
        <v>Belanja Barang Jasa</v>
      </c>
      <c r="G141" s="1"/>
      <c r="H141" s="1"/>
      <c r="I141" s="73">
        <f>I140</f>
        <v>1802000</v>
      </c>
      <c r="J141" s="1"/>
    </row>
    <row r="142" spans="1:10" ht="45" x14ac:dyDescent="0.25">
      <c r="A142" s="865">
        <v>2</v>
      </c>
      <c r="B142" s="865">
        <v>2</v>
      </c>
      <c r="C142" s="1490" t="s">
        <v>3389</v>
      </c>
      <c r="D142" s="865"/>
      <c r="E142" s="865"/>
      <c r="F142" s="1061" t="str">
        <f>'Bid 2b'!B879</f>
        <v>: Penyelenggaraan Desa Siaga Kesehatan( Sosialisasi anjing rabies)</v>
      </c>
      <c r="G142" s="865"/>
      <c r="H142" s="865"/>
      <c r="I142" s="1063">
        <f>'Penjabaran APBDesa'!K476</f>
        <v>1095000</v>
      </c>
      <c r="J142" s="865" t="s">
        <v>2177</v>
      </c>
    </row>
    <row r="143" spans="1:10" hidden="1" x14ac:dyDescent="0.25">
      <c r="A143" s="1"/>
      <c r="B143" s="1"/>
      <c r="C143" s="1"/>
      <c r="D143" s="1">
        <v>5</v>
      </c>
      <c r="E143" s="1">
        <v>2</v>
      </c>
      <c r="F143" s="4" t="str">
        <f>'Bid 2b'!B885</f>
        <v>Belanja Barang Jasa</v>
      </c>
      <c r="G143" s="1"/>
      <c r="H143" s="1"/>
      <c r="I143" s="73">
        <f>I142</f>
        <v>1095000</v>
      </c>
      <c r="J143" s="1"/>
    </row>
    <row r="144" spans="1:10" ht="60" x14ac:dyDescent="0.25">
      <c r="A144" s="865">
        <v>2</v>
      </c>
      <c r="B144" s="865">
        <v>2</v>
      </c>
      <c r="C144" s="865">
        <v>90</v>
      </c>
      <c r="D144" s="865"/>
      <c r="E144" s="865"/>
      <c r="F144" s="1061" t="str">
        <f>'Bid 2b'!B915</f>
        <v>: Penyelenggaraan Pembinaan dan Lomba Balita Sehat ( Kategori Baduta dan Balita)</v>
      </c>
      <c r="G144" s="865"/>
      <c r="H144" s="865"/>
      <c r="I144" s="1063">
        <f>'Penjabaran APBDesa'!K484</f>
        <v>19845000</v>
      </c>
      <c r="J144" s="1061" t="s">
        <v>2253</v>
      </c>
    </row>
    <row r="145" spans="1:10" hidden="1" x14ac:dyDescent="0.25">
      <c r="A145" s="1"/>
      <c r="B145" s="1"/>
      <c r="C145" s="1"/>
      <c r="D145" s="1">
        <v>5</v>
      </c>
      <c r="E145" s="1">
        <v>2</v>
      </c>
      <c r="F145" s="4" t="str">
        <f>'Bid 2b'!B923</f>
        <v>Belanja Barang Jasa :</v>
      </c>
      <c r="G145" s="1"/>
      <c r="H145" s="1"/>
      <c r="I145" s="73">
        <f>I144</f>
        <v>19845000</v>
      </c>
      <c r="J145" s="4"/>
    </row>
    <row r="146" spans="1:10" ht="30" x14ac:dyDescent="0.25">
      <c r="A146" s="865">
        <v>2</v>
      </c>
      <c r="B146" s="865">
        <v>2</v>
      </c>
      <c r="C146" s="865">
        <v>91</v>
      </c>
      <c r="D146" s="865"/>
      <c r="E146" s="865"/>
      <c r="F146" s="865" t="str">
        <f>'Bid 2b'!B980</f>
        <v>:  Foging Fokus</v>
      </c>
      <c r="G146" s="865"/>
      <c r="H146" s="865"/>
      <c r="I146" s="1063">
        <f>'Penjabaran APBDesa'!K501</f>
        <v>17529943</v>
      </c>
      <c r="J146" s="1061" t="s">
        <v>1777</v>
      </c>
    </row>
    <row r="147" spans="1:10" hidden="1" x14ac:dyDescent="0.25">
      <c r="A147" s="1"/>
      <c r="B147" s="1"/>
      <c r="C147" s="1"/>
      <c r="D147" s="1">
        <v>5</v>
      </c>
      <c r="E147" s="1">
        <v>2</v>
      </c>
      <c r="F147" s="4" t="str">
        <f>'Bid 2b'!B987</f>
        <v xml:space="preserve">Belanja Barang dan Jasa </v>
      </c>
      <c r="G147" s="1"/>
      <c r="H147" s="1"/>
      <c r="I147" s="73">
        <f>I146</f>
        <v>17529943</v>
      </c>
      <c r="J147" s="4"/>
    </row>
    <row r="148" spans="1:10" ht="30" x14ac:dyDescent="0.25">
      <c r="A148" s="865">
        <v>2</v>
      </c>
      <c r="B148" s="865">
        <v>2</v>
      </c>
      <c r="C148" s="865">
        <v>92</v>
      </c>
      <c r="D148" s="865"/>
      <c r="E148" s="865"/>
      <c r="F148" s="1061" t="str">
        <f>'Bid 2b'!B1023</f>
        <v>: Gerakan Serentak PSN dan Lomba PSN</v>
      </c>
      <c r="G148" s="865"/>
      <c r="H148" s="865"/>
      <c r="I148" s="1063">
        <f>'Penjabaran APBDesa'!K511</f>
        <v>51996000</v>
      </c>
      <c r="J148" s="865"/>
    </row>
    <row r="149" spans="1:10" hidden="1" x14ac:dyDescent="0.25">
      <c r="A149" s="1"/>
      <c r="B149" s="1"/>
      <c r="C149" s="1"/>
      <c r="D149" s="1">
        <v>5</v>
      </c>
      <c r="E149" s="1">
        <v>2</v>
      </c>
      <c r="F149" s="4" t="str">
        <f>'Bid 2b'!B1030</f>
        <v xml:space="preserve">Belanja Barang dan Jasa </v>
      </c>
      <c r="G149" s="1"/>
      <c r="H149" s="1"/>
      <c r="I149" s="73">
        <f>I148</f>
        <v>51996000</v>
      </c>
      <c r="J149" s="1"/>
    </row>
    <row r="150" spans="1:10" ht="30" x14ac:dyDescent="0.25">
      <c r="A150" s="865">
        <v>2</v>
      </c>
      <c r="B150" s="865">
        <v>2</v>
      </c>
      <c r="C150" s="865">
        <v>93</v>
      </c>
      <c r="D150" s="865"/>
      <c r="E150" s="865"/>
      <c r="F150" s="1061" t="str">
        <f>'Bid 2b'!B1074</f>
        <v>Penyelengggaraan Rumah Desa Sehat ( TPPS Desa )</v>
      </c>
      <c r="G150" s="865"/>
      <c r="H150" s="865"/>
      <c r="I150" s="1063">
        <f>'Penjabaran APBDesa'!K527</f>
        <v>5985000</v>
      </c>
      <c r="J150" s="1061" t="s">
        <v>2179</v>
      </c>
    </row>
    <row r="151" spans="1:10" hidden="1" x14ac:dyDescent="0.25">
      <c r="A151" s="1"/>
      <c r="B151" s="1"/>
      <c r="C151" s="1"/>
      <c r="D151" s="1">
        <v>5</v>
      </c>
      <c r="E151" s="1">
        <v>2</v>
      </c>
      <c r="F151" s="4" t="str">
        <f>'Bid 2b'!B1079</f>
        <v>Belanja Barang Jasa :</v>
      </c>
      <c r="G151" s="1"/>
      <c r="H151" s="1"/>
      <c r="I151" s="73">
        <f>I150</f>
        <v>5985000</v>
      </c>
      <c r="J151" s="4"/>
    </row>
    <row r="152" spans="1:10" ht="45" x14ac:dyDescent="0.25">
      <c r="A152" s="865">
        <v>2</v>
      </c>
      <c r="B152" s="865">
        <v>2</v>
      </c>
      <c r="C152" s="865">
        <v>93</v>
      </c>
      <c r="D152" s="865"/>
      <c r="E152" s="865"/>
      <c r="F152" s="1061" t="str">
        <f>'Bid 2b'!B1109</f>
        <v>: Penyelengggaraan Rumah Desa Sehat (Rembuk Stunting)</v>
      </c>
      <c r="G152" s="865"/>
      <c r="H152" s="865"/>
      <c r="I152" s="1063">
        <f>'Penjabaran APBDesa'!K534</f>
        <v>4990000</v>
      </c>
      <c r="J152" s="1061" t="s">
        <v>2179</v>
      </c>
    </row>
    <row r="153" spans="1:10" hidden="1" x14ac:dyDescent="0.25">
      <c r="A153" s="1"/>
      <c r="B153" s="1"/>
      <c r="C153" s="1"/>
      <c r="D153" s="1">
        <v>5</v>
      </c>
      <c r="E153" s="1">
        <v>2</v>
      </c>
      <c r="F153" s="4" t="str">
        <f>'Bid 2b'!B1112</f>
        <v>Belanja Barang Jasa</v>
      </c>
      <c r="G153" s="1"/>
      <c r="H153" s="1"/>
      <c r="I153" s="73">
        <f>I152</f>
        <v>4990000</v>
      </c>
      <c r="J153" s="4"/>
    </row>
    <row r="154" spans="1:10" ht="30" x14ac:dyDescent="0.25">
      <c r="A154" s="865">
        <v>2</v>
      </c>
      <c r="B154" s="865">
        <v>3</v>
      </c>
      <c r="C154" s="865"/>
      <c r="D154" s="865"/>
      <c r="E154" s="865"/>
      <c r="F154" s="1061" t="s">
        <v>3418</v>
      </c>
      <c r="G154" s="865"/>
      <c r="H154" s="865"/>
      <c r="I154" s="1063">
        <f>'Penjabaran APBDesa'!K542</f>
        <v>0</v>
      </c>
      <c r="J154" s="1061"/>
    </row>
    <row r="155" spans="1:10" ht="60" x14ac:dyDescent="0.25">
      <c r="A155" s="865">
        <v>2</v>
      </c>
      <c r="B155" s="865">
        <v>3</v>
      </c>
      <c r="C155" s="1490" t="s">
        <v>3386</v>
      </c>
      <c r="D155" s="865"/>
      <c r="E155" s="865"/>
      <c r="F155" s="1061" t="str">
        <f>'Bid 2b'!B1143</f>
        <v>Pemeliharaan Jalan Lingkungan Permukiman /Gang Pura Tegal Lantang (Pemavingan)</v>
      </c>
      <c r="G155" s="865" t="s">
        <v>3563</v>
      </c>
      <c r="H155" s="865" t="s">
        <v>1275</v>
      </c>
      <c r="I155" s="1063">
        <f>'Penjabaran APBDesa'!K543</f>
        <v>35582000</v>
      </c>
      <c r="J155" s="865" t="s">
        <v>1506</v>
      </c>
    </row>
    <row r="156" spans="1:10" hidden="1" x14ac:dyDescent="0.25">
      <c r="A156" s="1"/>
      <c r="B156" s="1"/>
      <c r="C156" s="1"/>
      <c r="D156" s="1">
        <v>5</v>
      </c>
      <c r="E156" s="1">
        <v>3</v>
      </c>
      <c r="F156" s="4" t="str">
        <f>'Bid 2b'!B1150</f>
        <v xml:space="preserve">Belanja Modal </v>
      </c>
      <c r="G156" s="1"/>
      <c r="H156" s="1"/>
      <c r="I156" s="73">
        <f>I155</f>
        <v>35582000</v>
      </c>
      <c r="J156" s="1"/>
    </row>
    <row r="157" spans="1:10" ht="60" x14ac:dyDescent="0.25">
      <c r="A157" s="865">
        <v>2</v>
      </c>
      <c r="B157" s="865">
        <v>3</v>
      </c>
      <c r="C157" s="1490" t="s">
        <v>3386</v>
      </c>
      <c r="D157" s="865"/>
      <c r="E157" s="865"/>
      <c r="F157" s="1061" t="str">
        <f>'Bid 2b'!B1707</f>
        <v>Pemeliharaan Jalan Lingkungan Permukiman Gang Nusa Indah IV Carik (Pemavingan)</v>
      </c>
      <c r="G157" s="865">
        <v>499</v>
      </c>
      <c r="H157" s="865" t="s">
        <v>1275</v>
      </c>
      <c r="I157" s="1063">
        <f>'Penjabaran APBDesa'!K549</f>
        <v>152489000</v>
      </c>
      <c r="J157" s="865" t="s">
        <v>1506</v>
      </c>
    </row>
    <row r="158" spans="1:10" hidden="1" x14ac:dyDescent="0.25">
      <c r="A158" s="1"/>
      <c r="B158" s="1"/>
      <c r="C158" s="1"/>
      <c r="D158" s="1">
        <v>5</v>
      </c>
      <c r="E158" s="1">
        <v>3</v>
      </c>
      <c r="F158" s="4" t="str">
        <f>'Bid 2b'!B1714</f>
        <v xml:space="preserve">Belanja Modal </v>
      </c>
      <c r="G158" s="1"/>
      <c r="H158" s="1"/>
      <c r="I158" s="73">
        <f>I157</f>
        <v>152489000</v>
      </c>
      <c r="J158" s="1"/>
    </row>
    <row r="159" spans="1:10" ht="105" x14ac:dyDescent="0.25">
      <c r="A159" s="865">
        <v>2</v>
      </c>
      <c r="B159" s="865">
        <v>3</v>
      </c>
      <c r="C159" s="1490" t="s">
        <v>3388</v>
      </c>
      <c r="D159" s="865"/>
      <c r="E159" s="865"/>
      <c r="F159" s="1061" t="str">
        <f>'Bid 2b'!B1908</f>
        <v>: Pemeliharaan Prasarana Jalan Desa (Pembersihan saluran air untuk kelancaran pertanian dan gorong-gorong (PKTD MURNI Ketahanan Pangan)</v>
      </c>
      <c r="G159" s="865"/>
      <c r="H159" s="865"/>
      <c r="I159" s="1063">
        <f>'Penjabaran APBDesa'!K555</f>
        <v>11550000</v>
      </c>
      <c r="J159" s="1061" t="s">
        <v>2179</v>
      </c>
    </row>
    <row r="160" spans="1:10" hidden="1" x14ac:dyDescent="0.25">
      <c r="A160" s="1"/>
      <c r="B160" s="1"/>
      <c r="C160" s="1"/>
      <c r="D160" s="1">
        <v>5</v>
      </c>
      <c r="E160" s="1">
        <v>3</v>
      </c>
      <c r="F160" s="1" t="str">
        <f>'Bid 2b'!B1914</f>
        <v>Belanja Modal</v>
      </c>
      <c r="G160" s="1"/>
      <c r="H160" s="1"/>
      <c r="I160" s="73">
        <f>I159</f>
        <v>11550000</v>
      </c>
      <c r="J160" s="4"/>
    </row>
    <row r="161" spans="1:10" x14ac:dyDescent="0.25">
      <c r="A161" s="865">
        <v>2</v>
      </c>
      <c r="B161" s="865">
        <v>4</v>
      </c>
      <c r="C161" s="865"/>
      <c r="D161" s="865"/>
      <c r="E161" s="865"/>
      <c r="F161" s="865" t="str">
        <f>'Bid 2b'!B2179</f>
        <v>: Kawasan Pemukiman</v>
      </c>
      <c r="G161" s="865"/>
      <c r="H161" s="865"/>
      <c r="I161" s="1063">
        <f>'Penjabaran APBDesa'!K559</f>
        <v>0</v>
      </c>
      <c r="J161" s="865"/>
    </row>
    <row r="162" spans="1:10" ht="30" x14ac:dyDescent="0.25">
      <c r="A162" s="865">
        <v>2</v>
      </c>
      <c r="B162" s="865">
        <v>4</v>
      </c>
      <c r="C162" s="1490" t="s">
        <v>3392</v>
      </c>
      <c r="D162" s="865"/>
      <c r="E162" s="865"/>
      <c r="F162" s="1061" t="str">
        <f>'Bid 2b'!B2180</f>
        <v>: Kegiatan Pengelolaan Sampah Tingkat Desa</v>
      </c>
      <c r="G162" s="865"/>
      <c r="H162" s="865"/>
      <c r="I162" s="1063">
        <f>'Penjabaran APBDesa'!K560</f>
        <v>650876535.20000005</v>
      </c>
      <c r="J162" s="865"/>
    </row>
    <row r="163" spans="1:10" hidden="1" x14ac:dyDescent="0.25">
      <c r="A163" s="1"/>
      <c r="B163" s="1"/>
      <c r="C163" s="1489"/>
      <c r="D163" s="1">
        <v>5</v>
      </c>
      <c r="E163" s="1">
        <v>2</v>
      </c>
      <c r="F163" s="4" t="s">
        <v>3571</v>
      </c>
      <c r="G163" s="1"/>
      <c r="H163" s="1"/>
      <c r="I163" s="73">
        <f>I162</f>
        <v>650876535.20000005</v>
      </c>
      <c r="J163" s="1"/>
    </row>
    <row r="164" spans="1:10" ht="45" x14ac:dyDescent="0.25">
      <c r="A164" s="865">
        <v>2</v>
      </c>
      <c r="B164" s="865">
        <v>4</v>
      </c>
      <c r="C164" s="1490" t="s">
        <v>3392</v>
      </c>
      <c r="D164" s="865"/>
      <c r="E164" s="865"/>
      <c r="F164" s="1061" t="str">
        <f>'Bid 2b'!B2250</f>
        <v>: Kegiatan Pengelolaan Sampah Tingkat Desa (Oprasional TPS3R)</v>
      </c>
      <c r="G164" s="865"/>
      <c r="H164" s="865"/>
      <c r="I164" s="1063">
        <f>'Penjabaran APBDesa'!K577</f>
        <v>268499300</v>
      </c>
      <c r="J164" s="865"/>
    </row>
    <row r="165" spans="1:10" hidden="1" x14ac:dyDescent="0.25">
      <c r="A165" s="1"/>
      <c r="B165" s="1"/>
      <c r="C165" s="1"/>
      <c r="D165" s="1">
        <v>5</v>
      </c>
      <c r="E165" s="1">
        <v>2</v>
      </c>
      <c r="F165" s="4" t="str">
        <f>'Bid 2b'!B2255</f>
        <v>Belanja Barang Jasa</v>
      </c>
      <c r="G165" s="1"/>
      <c r="H165" s="1"/>
      <c r="I165" s="73">
        <f>I164</f>
        <v>268499300</v>
      </c>
      <c r="J165" s="1"/>
    </row>
    <row r="166" spans="1:10" ht="75" x14ac:dyDescent="0.25">
      <c r="A166" s="865">
        <v>2</v>
      </c>
      <c r="B166" s="865">
        <v>4</v>
      </c>
      <c r="C166" s="1490" t="s">
        <v>3392</v>
      </c>
      <c r="D166" s="865"/>
      <c r="E166" s="865"/>
      <c r="F166" s="1061" t="str">
        <f>'Bid 2b'!B2340</f>
        <v>: Pemeiliharaan Fasilitas Pengelolaan Sampah Desa/ Pemukiman (Operasional Kegiatan Bank Sampah Desa)</v>
      </c>
      <c r="G166" s="865"/>
      <c r="H166" s="865"/>
      <c r="I166" s="1063">
        <f>'Penjabaran APBDesa'!K597</f>
        <v>45256000</v>
      </c>
      <c r="J166" s="865" t="s">
        <v>1220</v>
      </c>
    </row>
    <row r="167" spans="1:10" hidden="1" x14ac:dyDescent="0.25">
      <c r="A167" s="1"/>
      <c r="B167" s="1"/>
      <c r="C167" s="1"/>
      <c r="D167" s="1">
        <v>5</v>
      </c>
      <c r="E167" s="1">
        <v>2</v>
      </c>
      <c r="F167" s="4" t="str">
        <f>'Bid 2b'!B2345</f>
        <v>Belanja Barang Jasa :</v>
      </c>
      <c r="G167" s="1"/>
      <c r="H167" s="1"/>
      <c r="I167" s="73">
        <f>I166</f>
        <v>45256000</v>
      </c>
      <c r="J167" s="1"/>
    </row>
    <row r="168" spans="1:10" ht="30" x14ac:dyDescent="0.25">
      <c r="A168" s="865">
        <v>2</v>
      </c>
      <c r="B168" s="865">
        <v>4</v>
      </c>
      <c r="C168" s="1490" t="s">
        <v>3392</v>
      </c>
      <c r="D168" s="865"/>
      <c r="E168" s="865"/>
      <c r="F168" s="1061" t="str">
        <f>'Bid 2b'!B2389</f>
        <v>: Operasional Tim Kebersihan Lingkungan</v>
      </c>
      <c r="G168" s="865"/>
      <c r="H168" s="865"/>
      <c r="I168" s="1063">
        <f>'Penjabaran APBDesa'!K606</f>
        <v>111982000</v>
      </c>
      <c r="J168" s="865"/>
    </row>
    <row r="169" spans="1:10" hidden="1" x14ac:dyDescent="0.25">
      <c r="A169" s="1"/>
      <c r="B169" s="1"/>
      <c r="C169" s="1"/>
      <c r="D169" s="1">
        <v>5</v>
      </c>
      <c r="E169" s="1">
        <v>2</v>
      </c>
      <c r="F169" s="4" t="str">
        <f>'Bid 2b'!B2393</f>
        <v>Belanja Barang dan Jasa :</v>
      </c>
      <c r="G169" s="1"/>
      <c r="H169" s="1"/>
      <c r="I169" s="73">
        <f>I168</f>
        <v>111982000</v>
      </c>
      <c r="J169" s="1"/>
    </row>
    <row r="170" spans="1:10" x14ac:dyDescent="0.25">
      <c r="A170" s="865">
        <v>2</v>
      </c>
      <c r="B170" s="865">
        <v>4</v>
      </c>
      <c r="C170" s="1490" t="s">
        <v>3392</v>
      </c>
      <c r="D170" s="865"/>
      <c r="E170" s="865"/>
      <c r="F170" s="865" t="str">
        <f>'Bid 2b'!B2441</f>
        <v>: TIM KEBERSIHAN SUNGAI</v>
      </c>
      <c r="G170" s="865"/>
      <c r="H170" s="865"/>
      <c r="I170" s="1063">
        <f>'Penjabaran APBDesa'!K617</f>
        <v>122284000</v>
      </c>
      <c r="J170" s="865" t="s">
        <v>1506</v>
      </c>
    </row>
    <row r="171" spans="1:10" hidden="1" x14ac:dyDescent="0.25">
      <c r="A171" s="1"/>
      <c r="B171" s="1"/>
      <c r="C171" s="1"/>
      <c r="D171" s="1">
        <v>5</v>
      </c>
      <c r="E171" s="1">
        <v>2</v>
      </c>
      <c r="F171" s="1" t="str">
        <f>'Bid 2b'!B2446</f>
        <v>Belanja Barang dan Jasa :</v>
      </c>
      <c r="G171" s="1"/>
      <c r="H171" s="1"/>
      <c r="I171" s="73">
        <f>I170</f>
        <v>122284000</v>
      </c>
      <c r="J171" s="1"/>
    </row>
    <row r="172" spans="1:10" ht="75" x14ac:dyDescent="0.25">
      <c r="A172" s="865">
        <v>2</v>
      </c>
      <c r="B172" s="865">
        <v>4</v>
      </c>
      <c r="C172" s="1490">
        <v>10</v>
      </c>
      <c r="D172" s="865"/>
      <c r="E172" s="865"/>
      <c r="F172" s="1061" t="str">
        <f>'Bid 2b'!B2477</f>
        <v>: Pembangunan/Rehabilitasi/Peningkatan Sumur Resapan (Teba Moderen dan Tong Komposter)</v>
      </c>
      <c r="G172" s="865"/>
      <c r="H172" s="865"/>
      <c r="I172" s="1063">
        <f>'Penjabaran APBDesa'!K624</f>
        <v>379000000</v>
      </c>
      <c r="J172" s="865" t="s">
        <v>1506</v>
      </c>
    </row>
    <row r="173" spans="1:10" hidden="1" x14ac:dyDescent="0.25">
      <c r="A173" s="1"/>
      <c r="B173" s="1"/>
      <c r="C173" s="1"/>
      <c r="D173" s="1">
        <v>5</v>
      </c>
      <c r="E173" s="1">
        <v>2</v>
      </c>
      <c r="F173" s="4" t="str">
        <f>'Bid 2b'!B2481</f>
        <v>Belanja Barang Jasa</v>
      </c>
      <c r="G173" s="1"/>
      <c r="H173" s="1"/>
      <c r="I173" s="73">
        <f>I172</f>
        <v>379000000</v>
      </c>
      <c r="J173" s="1"/>
    </row>
    <row r="174" spans="1:10" ht="30" x14ac:dyDescent="0.25">
      <c r="A174" s="865">
        <v>2</v>
      </c>
      <c r="B174" s="865">
        <v>5</v>
      </c>
      <c r="C174" s="865"/>
      <c r="D174" s="865"/>
      <c r="E174" s="865"/>
      <c r="F174" s="1061" t="s">
        <v>3421</v>
      </c>
      <c r="G174" s="865"/>
      <c r="H174" s="865"/>
      <c r="I174" s="1063">
        <f>'Penjabaran APBDesa'!K629</f>
        <v>0</v>
      </c>
      <c r="J174" s="865"/>
    </row>
    <row r="175" spans="1:10" ht="75" x14ac:dyDescent="0.25">
      <c r="A175" s="865">
        <v>2</v>
      </c>
      <c r="B175" s="865">
        <v>5</v>
      </c>
      <c r="C175" s="1490" t="s">
        <v>3388</v>
      </c>
      <c r="D175" s="865"/>
      <c r="E175" s="865"/>
      <c r="F175" s="1061" t="str">
        <f>'Bid 2b'!B2506</f>
        <v>: Sosialisasi tentang Lingkungan Hidup dan Kehutanan (Sosialisasi Pemilihan Sampah Rumah Tangga)</v>
      </c>
      <c r="G175" s="865"/>
      <c r="H175" s="865"/>
      <c r="I175" s="1063">
        <f>'Penjabaran APBDesa'!K630</f>
        <v>50115000</v>
      </c>
      <c r="J175" s="865" t="s">
        <v>1220</v>
      </c>
    </row>
    <row r="176" spans="1:10" hidden="1" x14ac:dyDescent="0.25">
      <c r="A176" s="1"/>
      <c r="B176" s="1"/>
      <c r="C176" s="1"/>
      <c r="D176" s="1">
        <v>5</v>
      </c>
      <c r="E176" s="1">
        <v>2</v>
      </c>
      <c r="F176" s="4" t="str">
        <f>'Bid 2b'!B2512</f>
        <v>Belanja Barang Dan Jasa</v>
      </c>
      <c r="G176" s="1"/>
      <c r="H176" s="1"/>
      <c r="I176" s="73">
        <f>I175</f>
        <v>50115000</v>
      </c>
      <c r="J176" s="1"/>
    </row>
    <row r="177" spans="1:12" ht="45" x14ac:dyDescent="0.25">
      <c r="A177" s="865">
        <v>2</v>
      </c>
      <c r="B177" s="865">
        <v>6</v>
      </c>
      <c r="C177" s="865"/>
      <c r="D177" s="865"/>
      <c r="E177" s="865"/>
      <c r="F177" s="1061" t="s">
        <v>3422</v>
      </c>
      <c r="G177" s="865"/>
      <c r="H177" s="865"/>
      <c r="I177" s="1063">
        <f>'Penjabaran APBDesa'!K643</f>
        <v>0</v>
      </c>
      <c r="J177" s="1061"/>
    </row>
    <row r="178" spans="1:12" ht="75" x14ac:dyDescent="0.25">
      <c r="A178" s="865">
        <v>2</v>
      </c>
      <c r="B178" s="865">
        <v>6</v>
      </c>
      <c r="C178" s="1490" t="s">
        <v>3386</v>
      </c>
      <c r="D178" s="865"/>
      <c r="E178" s="865"/>
      <c r="F178" s="1061" t="str">
        <f>'Bid 2b'!B2551</f>
        <v>: Penyelenggaraan Informasi Publik Desa ( Pembuatan dan Pemasangan Baliho APBDesa )</v>
      </c>
      <c r="G178" s="865"/>
      <c r="H178" s="865"/>
      <c r="I178" s="1063">
        <f>'Penjabaran APBDesa'!K644</f>
        <v>4986000</v>
      </c>
      <c r="J178" s="865" t="s">
        <v>1506</v>
      </c>
    </row>
    <row r="179" spans="1:12" hidden="1" x14ac:dyDescent="0.25">
      <c r="A179" s="1"/>
      <c r="B179" s="1"/>
      <c r="C179" s="1"/>
      <c r="D179" s="1">
        <v>5</v>
      </c>
      <c r="E179" s="1">
        <v>2</v>
      </c>
      <c r="F179" s="4" t="str">
        <f>'Bid 2b'!B2557</f>
        <v>Belanja Barang Jasa</v>
      </c>
      <c r="G179" s="1"/>
      <c r="H179" s="1"/>
      <c r="I179" s="73">
        <f>I178</f>
        <v>4986000</v>
      </c>
      <c r="J179" s="1"/>
    </row>
    <row r="180" spans="1:12" x14ac:dyDescent="0.25">
      <c r="A180" s="865">
        <v>2</v>
      </c>
      <c r="B180" s="865">
        <v>8</v>
      </c>
      <c r="C180" s="865"/>
      <c r="D180" s="865"/>
      <c r="E180" s="865"/>
      <c r="F180" s="1061" t="str">
        <f>'Bid 2b'!B2574</f>
        <v>: Bidang Pariwisata</v>
      </c>
      <c r="G180" s="865"/>
      <c r="H180" s="865"/>
      <c r="I180" s="1063">
        <f>'Penjabaran APBDesa'!K648</f>
        <v>0</v>
      </c>
      <c r="J180" s="865"/>
    </row>
    <row r="181" spans="1:12" ht="45" x14ac:dyDescent="0.25">
      <c r="A181" s="865">
        <v>2</v>
      </c>
      <c r="B181" s="865">
        <v>8</v>
      </c>
      <c r="C181" s="1490" t="s">
        <v>3388</v>
      </c>
      <c r="D181" s="865"/>
      <c r="E181" s="865"/>
      <c r="F181" s="1061" t="str">
        <f>'Bid 2b'!B2575</f>
        <v>: Pengembangan Pariwisata Tingkat Desa (Pelatihan POKDARWIS)</v>
      </c>
      <c r="G181" s="865"/>
      <c r="H181" s="865"/>
      <c r="I181" s="1063">
        <f>'Penjabaran APBDesa'!K649</f>
        <v>62892000</v>
      </c>
      <c r="J181" s="865" t="s">
        <v>1220</v>
      </c>
    </row>
    <row r="182" spans="1:12" hidden="1" x14ac:dyDescent="0.25">
      <c r="A182" s="1"/>
      <c r="B182" s="1"/>
      <c r="C182" s="1"/>
      <c r="D182" s="1">
        <v>5</v>
      </c>
      <c r="E182" s="1">
        <v>2</v>
      </c>
      <c r="F182" s="4" t="str">
        <f>'Bid 2b'!B2581</f>
        <v>Belanja Barang Dan Jasa</v>
      </c>
      <c r="G182" s="1"/>
      <c r="H182" s="1"/>
      <c r="I182" s="73">
        <f>I181</f>
        <v>62892000</v>
      </c>
      <c r="J182" s="1"/>
    </row>
    <row r="183" spans="1:12" ht="30" hidden="1" x14ac:dyDescent="0.25">
      <c r="A183" s="1537">
        <v>3</v>
      </c>
      <c r="B183" s="1537"/>
      <c r="C183" s="1537"/>
      <c r="D183" s="1537"/>
      <c r="E183" s="1537"/>
      <c r="F183" s="1538" t="str">
        <f>'Bid 3b'!B5</f>
        <v>: Pembinaan Kemasyarakatan Desa</v>
      </c>
      <c r="G183" s="1537"/>
      <c r="H183" s="1537"/>
      <c r="I183" s="1539">
        <f>'Penjabaran APBDesa'!K661</f>
        <v>3777466716.8400002</v>
      </c>
      <c r="J183" s="1537"/>
      <c r="K183" s="68">
        <f>'Penjabaran APBDesa'!K661</f>
        <v>3777466716.8400002</v>
      </c>
      <c r="L183" s="23">
        <f t="shared" ref="L183" si="2">K183-I183</f>
        <v>0</v>
      </c>
    </row>
    <row r="184" spans="1:12" ht="45" x14ac:dyDescent="0.25">
      <c r="A184" s="865">
        <v>3</v>
      </c>
      <c r="B184" s="865">
        <v>1</v>
      </c>
      <c r="C184" s="865"/>
      <c r="D184" s="865"/>
      <c r="E184" s="865"/>
      <c r="F184" s="1061" t="str">
        <f>'Bid 3b'!B6</f>
        <v>: Ketentraman, Ketertiban Umum, dan Perlindungan Masyarakat</v>
      </c>
      <c r="G184" s="865"/>
      <c r="H184" s="865"/>
      <c r="I184" s="1063">
        <f>'Penjabaran APBDesa'!K662</f>
        <v>0</v>
      </c>
      <c r="J184" s="865"/>
    </row>
    <row r="185" spans="1:12" ht="75" x14ac:dyDescent="0.25">
      <c r="A185" s="865">
        <v>3</v>
      </c>
      <c r="B185" s="865">
        <v>1</v>
      </c>
      <c r="C185" s="1490" t="s">
        <v>3388</v>
      </c>
      <c r="D185" s="865"/>
      <c r="E185" s="865"/>
      <c r="F185" s="1061" t="str">
        <f>'Bid 3b'!B7</f>
        <v>:Koordinasi Pembinaan Ketentraman, Ketertiban, dan Perlindungan Masyarakat (Pengamanan Pengerupukan)</v>
      </c>
      <c r="G185" s="865"/>
      <c r="H185" s="865"/>
      <c r="I185" s="1063">
        <f>'Penjabaran APBDesa'!K663</f>
        <v>7825000</v>
      </c>
      <c r="J185" s="1061" t="s">
        <v>1220</v>
      </c>
    </row>
    <row r="186" spans="1:12" hidden="1" x14ac:dyDescent="0.25">
      <c r="A186" s="1"/>
      <c r="B186" s="1"/>
      <c r="C186" s="1"/>
      <c r="D186" s="1">
        <v>5</v>
      </c>
      <c r="E186" s="1">
        <v>2</v>
      </c>
      <c r="F186" s="4" t="str">
        <f>'Bid 3b'!B13</f>
        <v>Belanja Barang dan Jasa</v>
      </c>
      <c r="G186" s="1"/>
      <c r="H186" s="1"/>
      <c r="I186" s="73">
        <f>I185</f>
        <v>7825000</v>
      </c>
      <c r="J186" s="4"/>
    </row>
    <row r="187" spans="1:12" ht="75" x14ac:dyDescent="0.25">
      <c r="A187" s="865">
        <v>3</v>
      </c>
      <c r="B187" s="865">
        <v>1</v>
      </c>
      <c r="C187" s="1490" t="s">
        <v>3388</v>
      </c>
      <c r="D187" s="865"/>
      <c r="E187" s="865"/>
      <c r="F187" s="1061" t="str">
        <f>'Bid 3b'!B40</f>
        <v>: Koordinasi Pembinaan Ketentraman, Ketertiban, dan Perlindungan Masyarakat (Pengamanan Tahun Baru)</v>
      </c>
      <c r="G187" s="865"/>
      <c r="H187" s="865"/>
      <c r="I187" s="1063">
        <f>'Penjabaran APBDesa'!K671</f>
        <v>9720132.1799999997</v>
      </c>
      <c r="J187" s="1061" t="s">
        <v>2253</v>
      </c>
    </row>
    <row r="188" spans="1:12" hidden="1" x14ac:dyDescent="0.25">
      <c r="A188" s="1"/>
      <c r="B188" s="1"/>
      <c r="C188" s="1"/>
      <c r="D188" s="1">
        <v>5</v>
      </c>
      <c r="E188" s="1">
        <v>2</v>
      </c>
      <c r="F188" s="4" t="str">
        <f>'Bid 3b'!B46</f>
        <v>Belanja Barang dan Jasa</v>
      </c>
      <c r="G188" s="1"/>
      <c r="H188" s="1"/>
      <c r="I188" s="73">
        <f>I187</f>
        <v>9720132.1799999997</v>
      </c>
      <c r="J188" s="1"/>
    </row>
    <row r="189" spans="1:12" ht="75" x14ac:dyDescent="0.25">
      <c r="A189" s="865">
        <v>3</v>
      </c>
      <c r="B189" s="865">
        <v>1</v>
      </c>
      <c r="C189" s="1490" t="s">
        <v>3388</v>
      </c>
      <c r="D189" s="865"/>
      <c r="E189" s="865"/>
      <c r="F189" s="1061" t="str">
        <f>'Bid 3b'!B74</f>
        <v>:Koordinasi Pembinaan Ketentraman, Ketertiban, dan Perlindungan Masyarakat (Penjagaan Linmas Desa)</v>
      </c>
      <c r="G189" s="865"/>
      <c r="H189" s="865"/>
      <c r="I189" s="1063">
        <f>'Penjabaran APBDesa'!K679</f>
        <v>317636000</v>
      </c>
      <c r="J189" s="865"/>
    </row>
    <row r="190" spans="1:12" hidden="1" x14ac:dyDescent="0.25">
      <c r="A190" s="1"/>
      <c r="B190" s="1"/>
      <c r="C190" s="1"/>
      <c r="D190" s="1">
        <v>5</v>
      </c>
      <c r="E190" s="1">
        <v>2</v>
      </c>
      <c r="F190" s="4" t="str">
        <f>'Bid 3b'!B79</f>
        <v>Belanja Barang Dan Jasa</v>
      </c>
      <c r="G190" s="1"/>
      <c r="H190" s="1"/>
      <c r="I190" s="73">
        <f>I189</f>
        <v>317636000</v>
      </c>
      <c r="J190" s="1"/>
    </row>
    <row r="191" spans="1:12" ht="75" x14ac:dyDescent="0.25">
      <c r="A191" s="865">
        <v>3</v>
      </c>
      <c r="B191" s="865">
        <v>1</v>
      </c>
      <c r="C191" s="1490" t="s">
        <v>3389</v>
      </c>
      <c r="D191" s="865"/>
      <c r="E191" s="865"/>
      <c r="F191" s="1061" t="str">
        <f>'Bid 3b'!B115</f>
        <v>: Pelatihan Kesiapsiagaan/Tanggap Bencana Skala Lokal Desa ( Pelatihan Tanggap Darurat Bencana )</v>
      </c>
      <c r="G191" s="865"/>
      <c r="H191" s="865"/>
      <c r="I191" s="1063">
        <f>'Penjabaran APBDesa'!K689</f>
        <v>34770000</v>
      </c>
      <c r="J191" s="865" t="s">
        <v>1506</v>
      </c>
    </row>
    <row r="192" spans="1:12" hidden="1" x14ac:dyDescent="0.25">
      <c r="A192" s="1"/>
      <c r="B192" s="1"/>
      <c r="C192" s="1"/>
      <c r="D192" s="1">
        <v>5</v>
      </c>
      <c r="E192" s="1">
        <v>2</v>
      </c>
      <c r="F192" s="4" t="str">
        <f>'Bid 3b'!B120</f>
        <v>Belanja Barang Dan Jasa</v>
      </c>
      <c r="G192" s="1"/>
      <c r="H192" s="1"/>
      <c r="I192" s="73">
        <f>I191</f>
        <v>34770000</v>
      </c>
      <c r="J192" s="1"/>
    </row>
    <row r="193" spans="1:10" ht="30" x14ac:dyDescent="0.25">
      <c r="A193" s="865">
        <v>3</v>
      </c>
      <c r="B193" s="865">
        <v>2</v>
      </c>
      <c r="C193" s="865"/>
      <c r="D193" s="865"/>
      <c r="E193" s="865"/>
      <c r="F193" s="1061" t="s">
        <v>3423</v>
      </c>
      <c r="G193" s="865"/>
      <c r="H193" s="865"/>
      <c r="I193" s="1063">
        <f>'Penjabaran APBDesa'!K699</f>
        <v>0</v>
      </c>
      <c r="J193" s="865"/>
    </row>
    <row r="194" spans="1:10" ht="180" x14ac:dyDescent="0.25">
      <c r="A194" s="865">
        <v>3</v>
      </c>
      <c r="B194" s="865">
        <v>2</v>
      </c>
      <c r="C194" s="1490" t="s">
        <v>3388</v>
      </c>
      <c r="D194" s="865"/>
      <c r="E194" s="865"/>
      <c r="F194" s="1061" t="str">
        <f>'Bid 3b'!B154</f>
        <v xml:space="preserve">  : Penyelenggaraan Festival Kesenian, Adat / Kebudayaan, dan Keagamaan (Pembinaan dan Lomba Nyurat Aksara Bali Anak Umur 7 - 12 Tahun, Ngwacen Lontar Anak Remaja Umur 16 - 18 tahun Nyatua Bali Krama Istri Dalam Rangka Penyelenggaraan Bulan Bahasa Bali )</v>
      </c>
      <c r="G194" s="865"/>
      <c r="H194" s="865"/>
      <c r="I194" s="1063">
        <f>'Penjabaran APBDesa'!K700</f>
        <v>42947000</v>
      </c>
      <c r="J194" s="1061" t="s">
        <v>1777</v>
      </c>
    </row>
    <row r="195" spans="1:10" hidden="1" x14ac:dyDescent="0.25">
      <c r="A195" s="1"/>
      <c r="B195" s="1"/>
      <c r="C195" s="1"/>
      <c r="D195" s="1">
        <v>5</v>
      </c>
      <c r="E195" s="1">
        <v>2</v>
      </c>
      <c r="F195" s="4" t="str">
        <f>'Bid 3b'!B159</f>
        <v>Belanja Barang Jasa</v>
      </c>
      <c r="G195" s="1"/>
      <c r="H195" s="1"/>
      <c r="I195" s="73">
        <f>I194</f>
        <v>42947000</v>
      </c>
      <c r="J195" s="4"/>
    </row>
    <row r="196" spans="1:10" ht="60" x14ac:dyDescent="0.25">
      <c r="A196" s="865">
        <v>3</v>
      </c>
      <c r="B196" s="865">
        <v>2</v>
      </c>
      <c r="C196" s="1490" t="s">
        <v>3366</v>
      </c>
      <c r="D196" s="865"/>
      <c r="E196" s="865"/>
      <c r="F196" s="1061" t="str">
        <f>'Bid 3b'!B361</f>
        <v>Pembinaan Grup Kesenian dan Kebudayaan Tingkat Desa (Grup Sekaa Pesantian)</v>
      </c>
      <c r="G196" s="865"/>
      <c r="H196" s="865"/>
      <c r="I196" s="1063">
        <f>'Penjabaran APBDesa'!K724</f>
        <v>246660000</v>
      </c>
      <c r="J196" s="1061" t="s">
        <v>1775</v>
      </c>
    </row>
    <row r="197" spans="1:10" hidden="1" x14ac:dyDescent="0.25">
      <c r="A197" s="1"/>
      <c r="B197" s="1"/>
      <c r="C197" s="1"/>
      <c r="D197" s="1">
        <v>5</v>
      </c>
      <c r="E197" s="1">
        <v>2</v>
      </c>
      <c r="F197" s="4" t="str">
        <f>'Bid 3b'!B366</f>
        <v>Belanja Barang Jasa</v>
      </c>
      <c r="G197" s="1"/>
      <c r="H197" s="1"/>
      <c r="I197" s="73">
        <f>I196</f>
        <v>246660000</v>
      </c>
      <c r="J197" s="4"/>
    </row>
    <row r="198" spans="1:10" ht="75" x14ac:dyDescent="0.25">
      <c r="A198" s="865">
        <v>3</v>
      </c>
      <c r="B198" s="865">
        <v>2</v>
      </c>
      <c r="C198" s="1490" t="s">
        <v>3366</v>
      </c>
      <c r="D198" s="865"/>
      <c r="E198" s="865"/>
      <c r="F198" s="1061" t="str">
        <f>'Bid 3b'!B398</f>
        <v>Pembinaan Grup Kesenian dan Kebudayaan Tingkat Desa (Grup Kesenian Tari Baris Gede)</v>
      </c>
      <c r="G198" s="865"/>
      <c r="H198" s="865"/>
      <c r="I198" s="1063">
        <f>'Penjabaran APBDesa'!K735</f>
        <v>46600000</v>
      </c>
      <c r="J198" s="1061" t="s">
        <v>1775</v>
      </c>
    </row>
    <row r="199" spans="1:10" hidden="1" x14ac:dyDescent="0.25">
      <c r="A199" s="1"/>
      <c r="B199" s="1"/>
      <c r="C199" s="1"/>
      <c r="D199" s="1">
        <v>5</v>
      </c>
      <c r="E199" s="1">
        <v>2</v>
      </c>
      <c r="F199" s="4" t="str">
        <f>'Bid 3b'!B403</f>
        <v>Belanja Barang Jasa</v>
      </c>
      <c r="G199" s="1"/>
      <c r="H199" s="1"/>
      <c r="I199" s="73">
        <f>I198</f>
        <v>46600000</v>
      </c>
      <c r="J199" s="4"/>
    </row>
    <row r="200" spans="1:10" ht="75" x14ac:dyDescent="0.25">
      <c r="A200" s="865">
        <v>3</v>
      </c>
      <c r="B200" s="865">
        <v>2</v>
      </c>
      <c r="C200" s="1490" t="s">
        <v>3386</v>
      </c>
      <c r="D200" s="865"/>
      <c r="E200" s="865"/>
      <c r="F200" s="1061" t="str">
        <f>'Bid 3b'!B493</f>
        <v>:Pengiriman Kontingen Group Kesenian &amp; Kebudayaan Ke tingkat Kota ( Lomba Lagu Jendela Dunia)</v>
      </c>
      <c r="G200" s="865"/>
      <c r="H200" s="865"/>
      <c r="I200" s="1063">
        <f>'Penjabaran APBDesa'!K743</f>
        <v>114950000</v>
      </c>
      <c r="J200" s="865" t="s">
        <v>1506</v>
      </c>
    </row>
    <row r="201" spans="1:10" hidden="1" x14ac:dyDescent="0.25">
      <c r="A201" s="1"/>
      <c r="B201" s="1"/>
      <c r="C201" s="1"/>
      <c r="D201" s="1">
        <v>5</v>
      </c>
      <c r="E201" s="1">
        <v>2</v>
      </c>
      <c r="F201" s="4" t="str">
        <f>'Bid 3b'!B498</f>
        <v>Belanja Barang Jasa</v>
      </c>
      <c r="G201" s="1"/>
      <c r="H201" s="1"/>
      <c r="I201" s="73">
        <f>I200</f>
        <v>114950000</v>
      </c>
      <c r="J201" s="1"/>
    </row>
    <row r="202" spans="1:10" ht="45" x14ac:dyDescent="0.25">
      <c r="A202" s="865">
        <v>3</v>
      </c>
      <c r="B202" s="865">
        <v>2</v>
      </c>
      <c r="C202" s="865">
        <v>90</v>
      </c>
      <c r="D202" s="865"/>
      <c r="E202" s="865"/>
      <c r="F202" s="1061" t="str">
        <f>'Bid 3b'!B533</f>
        <v xml:space="preserve"> : Pembinaan Adat dan Keagamaan (Piodalan Padmasana)</v>
      </c>
      <c r="G202" s="865"/>
      <c r="H202" s="865"/>
      <c r="I202" s="1063">
        <f>'Penjabaran APBDesa'!K753</f>
        <v>8560000</v>
      </c>
      <c r="J202" s="865"/>
    </row>
    <row r="203" spans="1:10" hidden="1" x14ac:dyDescent="0.25">
      <c r="A203" s="1"/>
      <c r="B203" s="1"/>
      <c r="C203" s="1"/>
      <c r="D203" s="1">
        <v>5</v>
      </c>
      <c r="E203" s="1">
        <v>2</v>
      </c>
      <c r="F203" s="4" t="str">
        <f>'Bid 3b'!B539</f>
        <v xml:space="preserve">Belanja Barang dan Jasa </v>
      </c>
      <c r="G203" s="1"/>
      <c r="H203" s="1"/>
      <c r="I203" s="73">
        <f>I202</f>
        <v>8560000</v>
      </c>
      <c r="J203" s="1"/>
    </row>
    <row r="204" spans="1:10" ht="45" x14ac:dyDescent="0.25">
      <c r="A204" s="865">
        <v>3</v>
      </c>
      <c r="B204" s="865">
        <v>2</v>
      </c>
      <c r="C204" s="865">
        <v>90</v>
      </c>
      <c r="D204" s="865"/>
      <c r="E204" s="865"/>
      <c r="F204" s="1061" t="str">
        <f>'Bid 3b'!B572</f>
        <v>: Pembinaan Adat dan Keagamaan (Upakara dan Upacara)</v>
      </c>
      <c r="G204" s="865"/>
      <c r="H204" s="865"/>
      <c r="I204" s="1063">
        <f>'Penjabaran APBDesa'!K759</f>
        <v>5700000</v>
      </c>
      <c r="J204" s="865" t="s">
        <v>2177</v>
      </c>
    </row>
    <row r="205" spans="1:10" hidden="1" x14ac:dyDescent="0.25">
      <c r="A205" s="1"/>
      <c r="B205" s="1"/>
      <c r="C205" s="1"/>
      <c r="D205" s="1">
        <v>5</v>
      </c>
      <c r="E205" s="1">
        <v>2</v>
      </c>
      <c r="F205" s="4" t="str">
        <f>'Bid 3b'!B579</f>
        <v xml:space="preserve">Belanja Barang dan Jasa </v>
      </c>
      <c r="G205" s="1"/>
      <c r="H205" s="1"/>
      <c r="I205" s="73">
        <f>I204</f>
        <v>5700000</v>
      </c>
      <c r="J205" s="1"/>
    </row>
    <row r="206" spans="1:10" ht="45" x14ac:dyDescent="0.25">
      <c r="A206" s="865">
        <v>3</v>
      </c>
      <c r="B206" s="865">
        <v>2</v>
      </c>
      <c r="C206" s="865">
        <v>90</v>
      </c>
      <c r="D206" s="865"/>
      <c r="E206" s="865"/>
      <c r="F206" s="1061" t="str">
        <f>'Bid 3b'!B604</f>
        <v>: Pembinaan Adat dan Keagamaan (Tumpek Landep)</v>
      </c>
      <c r="G206" s="865"/>
      <c r="H206" s="865"/>
      <c r="I206" s="1063">
        <f>'Penjabaran APBDesa'!K763</f>
        <v>27700000</v>
      </c>
      <c r="J206" s="1061" t="s">
        <v>1775</v>
      </c>
    </row>
    <row r="207" spans="1:10" hidden="1" x14ac:dyDescent="0.25">
      <c r="A207" s="1"/>
      <c r="B207" s="1"/>
      <c r="C207" s="1"/>
      <c r="D207" s="1">
        <v>5</v>
      </c>
      <c r="E207" s="1">
        <v>2</v>
      </c>
      <c r="F207" s="4" t="str">
        <f>'Bid 3b'!B610</f>
        <v xml:space="preserve">Belanja Barang dan Jasa </v>
      </c>
      <c r="G207" s="1"/>
      <c r="H207" s="1"/>
      <c r="I207" s="73">
        <f>I206</f>
        <v>27700000</v>
      </c>
      <c r="J207" s="4"/>
    </row>
    <row r="208" spans="1:10" ht="45" x14ac:dyDescent="0.25">
      <c r="A208" s="865">
        <v>3</v>
      </c>
      <c r="B208" s="865">
        <v>2</v>
      </c>
      <c r="C208" s="865">
        <v>91</v>
      </c>
      <c r="D208" s="865"/>
      <c r="E208" s="865"/>
      <c r="F208" s="1061" t="str">
        <f>'Bid 3b'!B634</f>
        <v xml:space="preserve"> : Penunjang Oprasional Subak/Subak Abian (BKKProvinsi)</v>
      </c>
      <c r="G208" s="865"/>
      <c r="H208" s="865"/>
      <c r="I208" s="1063">
        <f>'Penjabaran APBDesa'!K770</f>
        <v>45000000</v>
      </c>
      <c r="J208" s="1061" t="s">
        <v>3300</v>
      </c>
    </row>
    <row r="209" spans="1:10" hidden="1" x14ac:dyDescent="0.25">
      <c r="A209" s="1"/>
      <c r="B209" s="1"/>
      <c r="C209" s="1"/>
      <c r="D209" s="1">
        <v>5</v>
      </c>
      <c r="E209" s="1">
        <v>2</v>
      </c>
      <c r="F209" s="4" t="str">
        <f>'Bid 3b'!B639</f>
        <v>Belanja Barang Jasa</v>
      </c>
      <c r="G209" s="1"/>
      <c r="H209" s="1"/>
      <c r="I209" s="73">
        <f>I208</f>
        <v>45000000</v>
      </c>
      <c r="J209" s="4"/>
    </row>
    <row r="210" spans="1:10" ht="30" x14ac:dyDescent="0.25">
      <c r="A210" s="865">
        <v>3</v>
      </c>
      <c r="B210" s="865">
        <v>2</v>
      </c>
      <c r="C210" s="865">
        <v>94</v>
      </c>
      <c r="D210" s="865"/>
      <c r="E210" s="865"/>
      <c r="F210" s="1061" t="str">
        <f>'Bid 3b'!B657</f>
        <v xml:space="preserve"> : Penunjang Oprasional Desa Pakraman(BKK Kota)</v>
      </c>
      <c r="G210" s="865"/>
      <c r="H210" s="865"/>
      <c r="I210" s="1063">
        <f>'Penjabaran APBDesa'!K774</f>
        <v>2030000000</v>
      </c>
      <c r="J210" s="1061" t="s">
        <v>1365</v>
      </c>
    </row>
    <row r="211" spans="1:10" hidden="1" x14ac:dyDescent="0.25">
      <c r="A211" s="1"/>
      <c r="B211" s="1"/>
      <c r="C211" s="1"/>
      <c r="D211" s="1">
        <v>5</v>
      </c>
      <c r="E211" s="1">
        <v>2</v>
      </c>
      <c r="F211" s="4" t="str">
        <f>'Bid 3b'!B662</f>
        <v>Belanja Barang Dan Jasa</v>
      </c>
      <c r="G211" s="1"/>
      <c r="H211" s="1"/>
      <c r="I211" s="73">
        <f>I210</f>
        <v>2030000000</v>
      </c>
      <c r="J211" s="4"/>
    </row>
    <row r="212" spans="1:10" ht="30" x14ac:dyDescent="0.25">
      <c r="A212" s="865">
        <v>3</v>
      </c>
      <c r="B212" s="865">
        <v>2</v>
      </c>
      <c r="C212" s="865">
        <v>95</v>
      </c>
      <c r="D212" s="865"/>
      <c r="E212" s="865"/>
      <c r="F212" s="1061" t="str">
        <f>'Bid 3b'!B681</f>
        <v>: Kegiatan Bakti Penganyaran</v>
      </c>
      <c r="G212" s="865"/>
      <c r="H212" s="865"/>
      <c r="I212" s="1063">
        <f>'Penjabaran APBDesa'!K778</f>
        <v>180000000</v>
      </c>
      <c r="J212" s="865"/>
    </row>
    <row r="213" spans="1:10" hidden="1" x14ac:dyDescent="0.25">
      <c r="A213" s="1"/>
      <c r="B213" s="1"/>
      <c r="C213" s="1"/>
      <c r="D213" s="1">
        <v>5</v>
      </c>
      <c r="E213" s="1">
        <v>2</v>
      </c>
      <c r="F213" s="4" t="str">
        <f>'Bid 3b'!B689</f>
        <v xml:space="preserve">Belanja Barang dan Jasa </v>
      </c>
      <c r="G213" s="1"/>
      <c r="H213" s="1"/>
      <c r="I213" s="73">
        <f>I212</f>
        <v>180000000</v>
      </c>
      <c r="J213" s="1"/>
    </row>
    <row r="214" spans="1:10" ht="30" x14ac:dyDescent="0.25">
      <c r="A214" s="865">
        <v>3</v>
      </c>
      <c r="B214" s="865">
        <v>3</v>
      </c>
      <c r="C214" s="865"/>
      <c r="D214" s="865"/>
      <c r="E214" s="865"/>
      <c r="F214" s="1061" t="s">
        <v>3424</v>
      </c>
      <c r="G214" s="865"/>
      <c r="H214" s="865"/>
      <c r="I214" s="1063">
        <f>'Penjabaran APBDesa'!K794</f>
        <v>0</v>
      </c>
      <c r="J214" s="1061"/>
    </row>
    <row r="215" spans="1:10" ht="150" x14ac:dyDescent="0.25">
      <c r="A215" s="865">
        <v>3</v>
      </c>
      <c r="B215" s="865">
        <v>3</v>
      </c>
      <c r="C215" s="1490" t="s">
        <v>3386</v>
      </c>
      <c r="D215" s="865"/>
      <c r="E215" s="865"/>
      <c r="F215" s="1061" t="str">
        <f>'Bid 3b'!B723</f>
        <v xml:space="preserve">: Penyelenggaraan Pelatihan Kepemudaan  ( Pelatihan dan Lomba Pidato Bungkarno Tingkat Sekaa Truna, Membaca Puisi Karya Bungkarno Tingkat Umur 13 - 15 tahun, Menyanyi Lagu Kebangsaan Tingkat umur 7 - 12 ) </v>
      </c>
      <c r="G215" s="865"/>
      <c r="H215" s="865"/>
      <c r="I215" s="1063">
        <f>'Penjabaran APBDesa'!K795</f>
        <v>40892000</v>
      </c>
      <c r="J215" s="1061" t="s">
        <v>1775</v>
      </c>
    </row>
    <row r="216" spans="1:10" hidden="1" x14ac:dyDescent="0.25">
      <c r="A216" s="1"/>
      <c r="B216" s="1"/>
      <c r="C216" s="1"/>
      <c r="D216" s="1">
        <v>5</v>
      </c>
      <c r="E216" s="1">
        <v>2</v>
      </c>
      <c r="F216" s="4" t="str">
        <f>'Bid 3b'!B728</f>
        <v>Belanja Barang Jasa</v>
      </c>
      <c r="G216" s="1"/>
      <c r="H216" s="1"/>
      <c r="I216" s="73">
        <f>I215</f>
        <v>40892000</v>
      </c>
      <c r="J216" s="4"/>
    </row>
    <row r="217" spans="1:10" ht="75" x14ac:dyDescent="0.25">
      <c r="A217" s="865">
        <v>3</v>
      </c>
      <c r="B217" s="865">
        <v>3</v>
      </c>
      <c r="C217" s="1490" t="s">
        <v>3386</v>
      </c>
      <c r="D217" s="865"/>
      <c r="E217" s="865"/>
      <c r="F217" s="1061" t="str">
        <f>'Bid 3b'!B796</f>
        <v>: Pengiriman Kontingen Group Kesenian &amp; Kebudayaan (Wakil Desa tkt. Kec/Kab/Kot) (Lomba Defile Budaya Kader PKK)</v>
      </c>
      <c r="G217" s="865"/>
      <c r="H217" s="865"/>
      <c r="I217" s="1063">
        <f>'Penjabaran APBDesa'!K817</f>
        <v>44630000</v>
      </c>
      <c r="J217" s="1061" t="s">
        <v>1775</v>
      </c>
    </row>
    <row r="218" spans="1:10" hidden="1" x14ac:dyDescent="0.25">
      <c r="A218" s="1"/>
      <c r="B218" s="1"/>
      <c r="C218" s="1"/>
      <c r="D218" s="1">
        <v>5</v>
      </c>
      <c r="E218" s="1">
        <v>2</v>
      </c>
      <c r="F218" s="4" t="str">
        <f>'Bid 3b'!B802</f>
        <v>Belanja Barang Jasa</v>
      </c>
      <c r="G218" s="1"/>
      <c r="H218" s="1"/>
      <c r="I218" s="73">
        <f>I217</f>
        <v>44630000</v>
      </c>
      <c r="J218" s="1"/>
    </row>
    <row r="219" spans="1:10" ht="30" x14ac:dyDescent="0.25">
      <c r="A219" s="865">
        <v>3</v>
      </c>
      <c r="B219" s="865">
        <v>3</v>
      </c>
      <c r="C219" s="1490" t="s">
        <v>3391</v>
      </c>
      <c r="D219" s="865"/>
      <c r="E219" s="865"/>
      <c r="F219" s="1061" t="str">
        <f>'Bid 3b'!B836</f>
        <v>: Pembinaan Karang Taruna</v>
      </c>
      <c r="G219" s="865"/>
      <c r="H219" s="865"/>
      <c r="I219" s="1063">
        <f>'Penjabaran APBDesa'!K827</f>
        <v>20600000</v>
      </c>
      <c r="J219" s="865" t="s">
        <v>1220</v>
      </c>
    </row>
    <row r="220" spans="1:10" hidden="1" x14ac:dyDescent="0.25">
      <c r="A220" s="1"/>
      <c r="B220" s="1"/>
      <c r="C220" s="1"/>
      <c r="D220" s="1">
        <v>5</v>
      </c>
      <c r="E220" s="1">
        <v>2</v>
      </c>
      <c r="F220" s="4" t="str">
        <f>'Bid 3b'!B842</f>
        <v>Belanja Barang Jasa</v>
      </c>
      <c r="G220" s="1"/>
      <c r="H220" s="1"/>
      <c r="I220" s="73">
        <f>I219</f>
        <v>20600000</v>
      </c>
      <c r="J220" s="1"/>
    </row>
    <row r="221" spans="1:10" ht="45" x14ac:dyDescent="0.25">
      <c r="A221" s="865">
        <v>3</v>
      </c>
      <c r="B221" s="865">
        <v>3</v>
      </c>
      <c r="C221" s="1490" t="s">
        <v>3391</v>
      </c>
      <c r="D221" s="865"/>
      <c r="E221" s="865"/>
      <c r="F221" s="1061" t="str">
        <f>'Bid 3b'!B868</f>
        <v>: Pembinaan Karang Taruna (Sosialisasi Pemuda Pelopor Desa)</v>
      </c>
      <c r="G221" s="865"/>
      <c r="H221" s="865"/>
      <c r="I221" s="1063">
        <f>'Penjabaran APBDesa'!K835</f>
        <v>9840000</v>
      </c>
      <c r="J221" s="865" t="s">
        <v>1220</v>
      </c>
    </row>
    <row r="222" spans="1:10" hidden="1" x14ac:dyDescent="0.25">
      <c r="A222" s="1"/>
      <c r="B222" s="1"/>
      <c r="C222" s="1"/>
      <c r="D222" s="1">
        <v>5</v>
      </c>
      <c r="E222" s="1">
        <v>2</v>
      </c>
      <c r="F222" s="4" t="str">
        <f>'Bid 3b'!B874</f>
        <v>Belanja Barang Jasa</v>
      </c>
      <c r="G222" s="1"/>
      <c r="H222" s="1"/>
      <c r="I222" s="73">
        <f>I221</f>
        <v>9840000</v>
      </c>
      <c r="J222" s="1"/>
    </row>
    <row r="223" spans="1:10" ht="45" x14ac:dyDescent="0.25">
      <c r="A223" s="865">
        <v>3</v>
      </c>
      <c r="B223" s="865">
        <v>3</v>
      </c>
      <c r="C223" s="865">
        <v>90</v>
      </c>
      <c r="D223" s="865"/>
      <c r="E223" s="865"/>
      <c r="F223" s="1061" t="str">
        <f>'Bid 3b'!B897</f>
        <v>: Penunjang Kegiatan Ekonomi Produktif untuk Sekeha Teruna (BKK Kota)</v>
      </c>
      <c r="G223" s="865"/>
      <c r="H223" s="865"/>
      <c r="I223" s="1063">
        <f>'Penjabaran APBDesa'!K843</f>
        <v>420000000</v>
      </c>
      <c r="J223" s="1061" t="s">
        <v>1365</v>
      </c>
    </row>
    <row r="224" spans="1:10" hidden="1" x14ac:dyDescent="0.25">
      <c r="A224" s="1"/>
      <c r="B224" s="1"/>
      <c r="C224" s="1"/>
      <c r="D224" s="1">
        <v>5</v>
      </c>
      <c r="E224" s="1">
        <v>2</v>
      </c>
      <c r="F224" s="4" t="str">
        <f>'Bid 3b'!B902</f>
        <v>Belanja Barang dan Jasa</v>
      </c>
      <c r="G224" s="1"/>
      <c r="H224" s="1"/>
      <c r="I224" s="73">
        <f>I223</f>
        <v>420000000</v>
      </c>
      <c r="J224" s="1"/>
    </row>
    <row r="225" spans="1:12" ht="30" x14ac:dyDescent="0.25">
      <c r="A225" s="865">
        <v>3</v>
      </c>
      <c r="B225" s="865">
        <v>4</v>
      </c>
      <c r="C225" s="865"/>
      <c r="D225" s="865"/>
      <c r="E225" s="865"/>
      <c r="F225" s="1061" t="s">
        <v>3425</v>
      </c>
      <c r="G225" s="865"/>
      <c r="H225" s="865"/>
      <c r="I225" s="1063">
        <f>'Penjabaran APBDesa'!K847</f>
        <v>0</v>
      </c>
      <c r="J225" s="1061"/>
    </row>
    <row r="226" spans="1:12" ht="60" x14ac:dyDescent="0.25">
      <c r="A226" s="865">
        <v>3</v>
      </c>
      <c r="B226" s="865">
        <v>4</v>
      </c>
      <c r="C226" s="1490" t="s">
        <v>3386</v>
      </c>
      <c r="D226" s="865"/>
      <c r="E226" s="865"/>
      <c r="F226" s="1061" t="str">
        <f>'Bid 3b'!B921</f>
        <v>: Pelatihan Pembinaan Lembaga Kemasyarakatan (Bulan bakti Gotong royong LPM)</v>
      </c>
      <c r="G226" s="865"/>
      <c r="H226" s="865"/>
      <c r="I226" s="1063">
        <f>'Penjabaran APBDesa'!K848</f>
        <v>31775000</v>
      </c>
      <c r="J226" s="865" t="s">
        <v>1506</v>
      </c>
    </row>
    <row r="227" spans="1:12" hidden="1" x14ac:dyDescent="0.25">
      <c r="A227" s="1"/>
      <c r="B227" s="1"/>
      <c r="C227" s="1"/>
      <c r="D227" s="1">
        <v>5</v>
      </c>
      <c r="E227" s="1">
        <v>2</v>
      </c>
      <c r="F227" s="4" t="str">
        <f>'Bid 3b'!B927</f>
        <v>Belanja Barang  Dan Jasa</v>
      </c>
      <c r="G227" s="1"/>
      <c r="H227" s="1"/>
      <c r="I227" s="73">
        <f>I226</f>
        <v>31775000</v>
      </c>
      <c r="J227" s="1"/>
    </row>
    <row r="228" spans="1:12" ht="45" x14ac:dyDescent="0.25">
      <c r="A228" s="865">
        <v>3</v>
      </c>
      <c r="B228" s="865">
        <v>4</v>
      </c>
      <c r="C228" s="1490" t="s">
        <v>3386</v>
      </c>
      <c r="D228" s="865"/>
      <c r="E228" s="865"/>
      <c r="F228" s="1061" t="str">
        <f>'Bid 3b'!B1088</f>
        <v>: Pembinaan LKMD / LPM / LPMD (Pelatihan LPM)</v>
      </c>
      <c r="G228" s="865"/>
      <c r="H228" s="865"/>
      <c r="I228" s="1063">
        <f>'Penjabaran APBDesa'!K857</f>
        <v>11598584.66</v>
      </c>
      <c r="J228" s="1061" t="s">
        <v>3297</v>
      </c>
    </row>
    <row r="229" spans="1:12" hidden="1" x14ac:dyDescent="0.25">
      <c r="A229" s="1"/>
      <c r="B229" s="1"/>
      <c r="C229" s="1"/>
      <c r="D229" s="1">
        <v>5</v>
      </c>
      <c r="E229" s="1">
        <v>2</v>
      </c>
      <c r="F229" s="1" t="str">
        <f>'Bid 3b'!B1094</f>
        <v>Belanja Barang Dan Jasa</v>
      </c>
      <c r="G229" s="1"/>
      <c r="H229" s="1"/>
      <c r="I229" s="73">
        <f>I228</f>
        <v>11598584.66</v>
      </c>
      <c r="J229" s="1"/>
    </row>
    <row r="230" spans="1:12" ht="45" x14ac:dyDescent="0.25">
      <c r="A230" s="865">
        <v>3</v>
      </c>
      <c r="B230" s="865">
        <v>4</v>
      </c>
      <c r="C230" s="1490" t="s">
        <v>3389</v>
      </c>
      <c r="D230" s="865"/>
      <c r="E230" s="865"/>
      <c r="F230" s="1061" t="str">
        <f>'Bid 3b'!B1127</f>
        <v>: Pembinaan PKK  ( Pembinaan Administrasi dan Pokja PKK Desa  )</v>
      </c>
      <c r="G230" s="865"/>
      <c r="H230" s="865"/>
      <c r="I230" s="1063">
        <f>'Penjabaran APBDesa'!K867</f>
        <v>68435000</v>
      </c>
      <c r="J230" s="865"/>
    </row>
    <row r="231" spans="1:12" hidden="1" x14ac:dyDescent="0.25">
      <c r="A231" s="1"/>
      <c r="B231" s="1"/>
      <c r="C231" s="1"/>
      <c r="D231" s="1">
        <v>5</v>
      </c>
      <c r="E231" s="1">
        <v>2</v>
      </c>
      <c r="F231" s="4" t="str">
        <f>'Bid 3b'!B1132</f>
        <v>Belanja Barang Jasa</v>
      </c>
      <c r="G231" s="1"/>
      <c r="H231" s="1"/>
      <c r="I231" s="73">
        <f>I230</f>
        <v>68435000</v>
      </c>
      <c r="J231" s="1"/>
    </row>
    <row r="232" spans="1:12" ht="45" x14ac:dyDescent="0.25">
      <c r="A232" s="865">
        <v>3</v>
      </c>
      <c r="B232" s="865">
        <v>4</v>
      </c>
      <c r="C232" s="1490" t="s">
        <v>3389</v>
      </c>
      <c r="D232" s="865"/>
      <c r="E232" s="865"/>
      <c r="F232" s="1061" t="str">
        <f>'Bid 3b'!B1167</f>
        <v>:Pelatihan Pembinaan Lembaga Kemasyarakatan (Input data  Dasawisma)</v>
      </c>
      <c r="G232" s="865"/>
      <c r="H232" s="865"/>
      <c r="I232" s="1063">
        <f>'Penjabaran APBDesa'!K879</f>
        <v>11628000</v>
      </c>
      <c r="J232" s="1061"/>
    </row>
    <row r="233" spans="1:12" hidden="1" x14ac:dyDescent="0.25">
      <c r="A233" s="1"/>
      <c r="B233" s="1"/>
      <c r="C233" s="1"/>
      <c r="D233" s="1">
        <v>5</v>
      </c>
      <c r="E233" s="1">
        <v>2</v>
      </c>
      <c r="F233" s="4" t="str">
        <f>'Bid 3b'!B1172</f>
        <v>Belanja Barang Jasa</v>
      </c>
      <c r="G233" s="1"/>
      <c r="H233" s="1"/>
      <c r="I233" s="73">
        <f>I232</f>
        <v>11628000</v>
      </c>
      <c r="J233" s="1"/>
    </row>
    <row r="234" spans="1:12" ht="30" hidden="1" x14ac:dyDescent="0.25">
      <c r="A234" s="1537">
        <v>4</v>
      </c>
      <c r="B234" s="1537"/>
      <c r="C234" s="1537"/>
      <c r="D234" s="1537"/>
      <c r="E234" s="1537"/>
      <c r="F234" s="1538" t="str">
        <f>'BID 4 b'!B5</f>
        <v>: Pemberdayaan Masyarakat Desa</v>
      </c>
      <c r="G234" s="1537"/>
      <c r="H234" s="1537"/>
      <c r="I234" s="1539">
        <f>'Penjabaran APBDesa'!K890</f>
        <v>512798699.82999998</v>
      </c>
      <c r="J234" s="1537"/>
      <c r="K234" s="68">
        <f>'Penjabaran APBDesa'!K890</f>
        <v>512798699.82999998</v>
      </c>
      <c r="L234" s="23">
        <f t="shared" ref="L234" si="3">K234-I234</f>
        <v>0</v>
      </c>
    </row>
    <row r="235" spans="1:12" ht="75" x14ac:dyDescent="0.25">
      <c r="A235" s="865">
        <v>4</v>
      </c>
      <c r="B235" s="865">
        <v>1</v>
      </c>
      <c r="C235" s="1490" t="s">
        <v>3366</v>
      </c>
      <c r="D235" s="865"/>
      <c r="E235" s="865"/>
      <c r="F235" s="1061" t="str">
        <f>'BID 4 b'!B7</f>
        <v>: Pemeliharaan Karamba/Kolam Perikanan Darat  (Pelatihan Kelompok Lele)</v>
      </c>
      <c r="G235" s="865"/>
      <c r="H235" s="865"/>
      <c r="I235" s="1063">
        <f>'Penjabaran APBDesa'!K891</f>
        <v>175300000</v>
      </c>
      <c r="J235" s="1061" t="s">
        <v>2179</v>
      </c>
    </row>
    <row r="236" spans="1:12" hidden="1" x14ac:dyDescent="0.25">
      <c r="A236" s="1"/>
      <c r="B236" s="1"/>
      <c r="C236" s="1"/>
      <c r="D236" s="1">
        <v>5</v>
      </c>
      <c r="E236" s="1">
        <v>2</v>
      </c>
      <c r="F236" s="4" t="str">
        <f>'BID 4 b'!B12</f>
        <v>Belanja Barang Dan Jasa</v>
      </c>
      <c r="G236" s="1"/>
      <c r="H236" s="1"/>
      <c r="I236" s="73">
        <f>I235</f>
        <v>175300000</v>
      </c>
      <c r="J236" s="4"/>
    </row>
    <row r="237" spans="1:12" x14ac:dyDescent="0.25">
      <c r="A237" s="865">
        <v>4</v>
      </c>
      <c r="B237" s="865">
        <v>2</v>
      </c>
      <c r="C237" s="865"/>
      <c r="D237" s="865"/>
      <c r="E237" s="865"/>
      <c r="F237" s="1061" t="s">
        <v>3426</v>
      </c>
      <c r="G237" s="865"/>
      <c r="H237" s="865"/>
      <c r="I237" s="1063">
        <f>'Penjabaran APBDesa'!K902</f>
        <v>0</v>
      </c>
      <c r="J237" s="1061"/>
    </row>
    <row r="238" spans="1:12" ht="60" x14ac:dyDescent="0.25">
      <c r="A238" s="865">
        <v>4</v>
      </c>
      <c r="B238" s="865">
        <v>2</v>
      </c>
      <c r="C238" s="1490" t="s">
        <v>3366</v>
      </c>
      <c r="D238" s="865"/>
      <c r="E238" s="865"/>
      <c r="F238" s="1061" t="str">
        <f>'BID 4 b'!B62</f>
        <v>: Peningkatan Produksi Tanaman Pangan (Pelatihan Pembuatan Media Tanam)</v>
      </c>
      <c r="G238" s="865"/>
      <c r="H238" s="865"/>
      <c r="I238" s="1063">
        <f>'Penjabaran APBDesa'!K903</f>
        <v>32421000</v>
      </c>
      <c r="J238" s="1061" t="s">
        <v>1410</v>
      </c>
    </row>
    <row r="239" spans="1:12" hidden="1" x14ac:dyDescent="0.25">
      <c r="A239" s="1"/>
      <c r="B239" s="1"/>
      <c r="C239" s="1"/>
      <c r="D239" s="1">
        <v>5</v>
      </c>
      <c r="E239" s="1">
        <v>2</v>
      </c>
      <c r="F239" s="4" t="str">
        <f>'BID 4 b'!B67</f>
        <v>Belanja Barang Dan Jasa</v>
      </c>
      <c r="G239" s="1"/>
      <c r="H239" s="1"/>
      <c r="I239" s="73">
        <f>I238</f>
        <v>32421000</v>
      </c>
      <c r="J239" s="4"/>
    </row>
    <row r="240" spans="1:12" ht="60" x14ac:dyDescent="0.25">
      <c r="A240" s="865">
        <v>4</v>
      </c>
      <c r="B240" s="865">
        <v>2</v>
      </c>
      <c r="C240" s="1490" t="s">
        <v>3388</v>
      </c>
      <c r="D240" s="865"/>
      <c r="E240" s="865"/>
      <c r="F240" s="1061" t="str">
        <f>'BID 4 b'!B271</f>
        <v>: Penguatan Ketahanan Pangan Tingkat Desa (Penanaman Cabe, Terong dan Tomat)</v>
      </c>
      <c r="G240" s="865"/>
      <c r="H240" s="865"/>
      <c r="I240" s="1063">
        <f>'Penjabaran APBDesa'!K914</f>
        <v>28606000</v>
      </c>
      <c r="J240" s="1414" t="s">
        <v>1410</v>
      </c>
    </row>
    <row r="241" spans="1:10" hidden="1" x14ac:dyDescent="0.25">
      <c r="A241" s="1"/>
      <c r="B241" s="1"/>
      <c r="C241" s="1"/>
      <c r="D241" s="1">
        <v>5</v>
      </c>
      <c r="E241" s="1">
        <v>2</v>
      </c>
      <c r="F241" s="4" t="str">
        <f>'BID 4 b'!B278</f>
        <v>Belanja Barang Dan Jasa</v>
      </c>
      <c r="G241" s="1"/>
      <c r="H241" s="1"/>
      <c r="I241" s="73">
        <f>I240</f>
        <v>28606000</v>
      </c>
      <c r="J241" s="1"/>
    </row>
    <row r="242" spans="1:10" ht="45" x14ac:dyDescent="0.25">
      <c r="A242" s="865">
        <v>4</v>
      </c>
      <c r="B242" s="865">
        <v>2</v>
      </c>
      <c r="C242" s="1490" t="s">
        <v>3389</v>
      </c>
      <c r="D242" s="865"/>
      <c r="E242" s="865"/>
      <c r="F242" s="1061" t="str">
        <f>'BID 4 b'!B377</f>
        <v>: Perbaikan Saluran Cacing Subak Taman, Munduk Njung</v>
      </c>
      <c r="G242" s="865">
        <v>179</v>
      </c>
      <c r="H242" s="865" t="s">
        <v>455</v>
      </c>
      <c r="I242" s="1063">
        <f>'Penjabaran APBDesa'!K925</f>
        <v>174923495</v>
      </c>
      <c r="J242" s="865" t="s">
        <v>1220</v>
      </c>
    </row>
    <row r="243" spans="1:10" hidden="1" x14ac:dyDescent="0.25">
      <c r="A243" s="1"/>
      <c r="B243" s="1"/>
      <c r="C243" s="1"/>
      <c r="D243" s="1">
        <v>5</v>
      </c>
      <c r="E243" s="1">
        <v>3</v>
      </c>
      <c r="F243" s="4" t="str">
        <f>'BID 4 b'!B384</f>
        <v xml:space="preserve">Belanja Modal </v>
      </c>
      <c r="G243" s="1"/>
      <c r="H243" s="1"/>
      <c r="I243" s="73">
        <f>I242</f>
        <v>174923495</v>
      </c>
      <c r="J243" s="1"/>
    </row>
    <row r="244" spans="1:10" ht="60" x14ac:dyDescent="0.25">
      <c r="A244" s="865">
        <v>4</v>
      </c>
      <c r="B244" s="865">
        <v>3</v>
      </c>
      <c r="C244" s="1490" t="s">
        <v>3386</v>
      </c>
      <c r="D244" s="865"/>
      <c r="E244" s="865"/>
      <c r="F244" s="1061" t="str">
        <f>'BID 4 b'!B938</f>
        <v>: Pelatihan Tim Verifikasi dan penyusunan RKP ( Pelatihan Penysunan RKPDes)</v>
      </c>
      <c r="G244" s="865"/>
      <c r="H244" s="865"/>
      <c r="I244" s="1063">
        <f>'Penjabaran APBDesa'!K931</f>
        <v>1380000</v>
      </c>
      <c r="J244" s="865" t="s">
        <v>1506</v>
      </c>
    </row>
    <row r="245" spans="1:10" hidden="1" x14ac:dyDescent="0.25">
      <c r="A245" s="1"/>
      <c r="B245" s="1"/>
      <c r="C245" s="1"/>
      <c r="D245" s="1">
        <v>5</v>
      </c>
      <c r="E245" s="1">
        <v>2</v>
      </c>
      <c r="F245" s="1" t="str">
        <f>'BID 4 b'!B944</f>
        <v>Belanja Barang dan Jasa</v>
      </c>
      <c r="G245" s="1"/>
      <c r="H245" s="1"/>
      <c r="I245" s="73">
        <f>I244</f>
        <v>1380000</v>
      </c>
      <c r="J245" s="1"/>
    </row>
    <row r="246" spans="1:10" ht="30" x14ac:dyDescent="0.25">
      <c r="A246" s="865">
        <v>4</v>
      </c>
      <c r="B246" s="865">
        <v>3</v>
      </c>
      <c r="C246" s="1490" t="s">
        <v>3386</v>
      </c>
      <c r="D246" s="865"/>
      <c r="E246" s="865"/>
      <c r="F246" s="865" t="str">
        <f>'BID 4 b'!B975</f>
        <v>: Pelatihan Perangkat Desa</v>
      </c>
      <c r="G246" s="865"/>
      <c r="H246" s="865"/>
      <c r="I246" s="1063">
        <f>'Penjabaran APBDesa'!K939</f>
        <v>40000000</v>
      </c>
      <c r="J246" s="1061" t="s">
        <v>3401</v>
      </c>
    </row>
    <row r="247" spans="1:10" hidden="1" x14ac:dyDescent="0.25">
      <c r="A247" s="1"/>
      <c r="B247" s="1"/>
      <c r="C247" s="1"/>
      <c r="D247" s="1">
        <v>5</v>
      </c>
      <c r="E247" s="1">
        <v>2</v>
      </c>
      <c r="F247" s="4" t="str">
        <f>'BID 4 b'!B980</f>
        <v>Belanja Barang Dan Jasa</v>
      </c>
      <c r="G247" s="1"/>
      <c r="H247" s="1"/>
      <c r="I247" s="73">
        <f>I246</f>
        <v>40000000</v>
      </c>
      <c r="J247" s="1"/>
    </row>
    <row r="248" spans="1:10" ht="30" x14ac:dyDescent="0.25">
      <c r="A248" s="865">
        <v>4</v>
      </c>
      <c r="B248" s="865">
        <v>3</v>
      </c>
      <c r="C248" s="1490" t="s">
        <v>3388</v>
      </c>
      <c r="D248" s="865"/>
      <c r="E248" s="865"/>
      <c r="F248" s="1061" t="str">
        <f>'BID 4 b'!B1011</f>
        <v>: Peningkatan Kapasitas BPD</v>
      </c>
      <c r="G248" s="865"/>
      <c r="H248" s="865"/>
      <c r="I248" s="1063">
        <f>'Penjabaran APBDesa'!K948</f>
        <v>16220000</v>
      </c>
      <c r="J248" s="1061" t="s">
        <v>1777</v>
      </c>
    </row>
    <row r="249" spans="1:10" hidden="1" x14ac:dyDescent="0.25">
      <c r="A249" s="1"/>
      <c r="B249" s="1"/>
      <c r="C249" s="1"/>
      <c r="D249" s="1">
        <v>5</v>
      </c>
      <c r="E249" s="1">
        <v>2</v>
      </c>
      <c r="F249" s="4" t="str">
        <f>'BID 4 b'!B1016</f>
        <v>Belanja Barang dan Jasa</v>
      </c>
      <c r="G249" s="1"/>
      <c r="H249" s="1"/>
      <c r="I249" s="73">
        <f>I248</f>
        <v>16220000</v>
      </c>
      <c r="J249" s="4"/>
    </row>
    <row r="250" spans="1:10" ht="30" x14ac:dyDescent="0.25">
      <c r="A250" s="865">
        <v>4</v>
      </c>
      <c r="B250" s="865">
        <v>2</v>
      </c>
      <c r="C250" s="1490" t="s">
        <v>3388</v>
      </c>
      <c r="D250" s="865"/>
      <c r="E250" s="865"/>
      <c r="F250" s="1061" t="str">
        <f>'BID 4 b'!B1051</f>
        <v>: Pelatihan PKPKD, PPKD dan TPK</v>
      </c>
      <c r="G250" s="865"/>
      <c r="H250" s="865"/>
      <c r="I250" s="1063">
        <f>'Penjabaran APBDesa'!K959</f>
        <v>1955204.83</v>
      </c>
      <c r="J250" s="1061" t="s">
        <v>1775</v>
      </c>
    </row>
    <row r="251" spans="1:10" hidden="1" x14ac:dyDescent="0.25">
      <c r="A251" s="1"/>
      <c r="B251" s="1"/>
      <c r="C251" s="1"/>
      <c r="D251" s="1">
        <v>5</v>
      </c>
      <c r="E251" s="1">
        <v>2</v>
      </c>
      <c r="F251" s="1" t="str">
        <f>'BID 4 b'!B1057</f>
        <v>Belanja Barang dan Jasa</v>
      </c>
      <c r="G251" s="1"/>
      <c r="H251" s="1"/>
      <c r="I251" s="73">
        <f>I250</f>
        <v>1955204.83</v>
      </c>
      <c r="J251" s="1"/>
    </row>
    <row r="252" spans="1:10" ht="45" x14ac:dyDescent="0.25">
      <c r="A252" s="865">
        <v>4</v>
      </c>
      <c r="B252" s="865">
        <v>3</v>
      </c>
      <c r="C252" s="1490" t="s">
        <v>3366</v>
      </c>
      <c r="D252" s="865"/>
      <c r="E252" s="865"/>
      <c r="F252" s="1061" t="str">
        <f>'BID 4 b'!B1089</f>
        <v xml:space="preserve">: Pembinaan Kelompok P2WKSS  </v>
      </c>
      <c r="G252" s="865"/>
      <c r="H252" s="865"/>
      <c r="I252" s="1063">
        <f>'Penjabaran APBDesa'!K967</f>
        <v>1820000</v>
      </c>
      <c r="J252" s="1061" t="s">
        <v>3297</v>
      </c>
    </row>
    <row r="253" spans="1:10" hidden="1" x14ac:dyDescent="0.25">
      <c r="A253" s="1"/>
      <c r="B253" s="1"/>
      <c r="C253" s="1"/>
      <c r="D253" s="1">
        <v>5</v>
      </c>
      <c r="E253" s="1">
        <v>2</v>
      </c>
      <c r="F253" s="4" t="str">
        <f>'BID 4 b'!B1094</f>
        <v>Belanja Barang Jasa</v>
      </c>
      <c r="G253" s="1"/>
      <c r="H253" s="1"/>
      <c r="I253" s="73">
        <f>I252</f>
        <v>1820000</v>
      </c>
      <c r="J253" s="1"/>
    </row>
    <row r="254" spans="1:10" ht="30" x14ac:dyDescent="0.25">
      <c r="A254" s="865">
        <v>4</v>
      </c>
      <c r="B254" s="865">
        <v>4</v>
      </c>
      <c r="C254" s="865"/>
      <c r="D254" s="865"/>
      <c r="E254" s="865"/>
      <c r="F254" s="1061" t="s">
        <v>3427</v>
      </c>
      <c r="G254" s="865"/>
      <c r="H254" s="865"/>
      <c r="I254" s="1063">
        <f>'Penjabaran APBDesa'!K976</f>
        <v>0</v>
      </c>
      <c r="J254" s="865"/>
    </row>
    <row r="255" spans="1:10" ht="75" x14ac:dyDescent="0.25">
      <c r="A255" s="865">
        <v>4</v>
      </c>
      <c r="B255" s="865">
        <v>4</v>
      </c>
      <c r="C255" s="1490" t="s">
        <v>3366</v>
      </c>
      <c r="D255" s="865"/>
      <c r="E255" s="865"/>
      <c r="F255" s="1061" t="str">
        <f>'BID 4 b'!B1181</f>
        <v>: Pelatihan dan Penyuluhan Pemberdayaan Perempuan Pembinaan WHDI</v>
      </c>
      <c r="G255" s="865"/>
      <c r="H255" s="865"/>
      <c r="I255" s="1063">
        <f>'Penjabaran APBDesa'!K977</f>
        <v>9688000</v>
      </c>
      <c r="J255" s="865" t="s">
        <v>1220</v>
      </c>
    </row>
    <row r="256" spans="1:10" hidden="1" x14ac:dyDescent="0.25">
      <c r="A256" s="1"/>
      <c r="B256" s="1"/>
      <c r="C256" s="1"/>
      <c r="D256" s="1">
        <v>5</v>
      </c>
      <c r="E256" s="1">
        <v>2</v>
      </c>
      <c r="F256" s="4" t="str">
        <f>'BID 4 b'!B1186</f>
        <v>Belanja Barang Jasa</v>
      </c>
      <c r="G256" s="1"/>
      <c r="H256" s="1"/>
      <c r="I256" s="73">
        <f>I255</f>
        <v>9688000</v>
      </c>
      <c r="J256" s="1"/>
    </row>
    <row r="257" spans="1:12" ht="75" x14ac:dyDescent="0.25">
      <c r="A257" s="865">
        <v>4</v>
      </c>
      <c r="B257" s="865">
        <v>4</v>
      </c>
      <c r="C257" s="1490" t="s">
        <v>3366</v>
      </c>
      <c r="D257" s="865"/>
      <c r="E257" s="865"/>
      <c r="F257" s="1061" t="str">
        <f>'BID 4 b'!B1270</f>
        <v>: Pelatihan dan Penyuluhan Pemberdayaan Perempuan Pembinaan PHDI</v>
      </c>
      <c r="G257" s="865"/>
      <c r="H257" s="865"/>
      <c r="I257" s="1063">
        <f>'Penjabaran APBDesa'!K988</f>
        <v>1915000</v>
      </c>
      <c r="J257" s="865" t="s">
        <v>1220</v>
      </c>
    </row>
    <row r="258" spans="1:12" hidden="1" x14ac:dyDescent="0.25">
      <c r="A258" s="1"/>
      <c r="B258" s="1"/>
      <c r="C258" s="1"/>
      <c r="D258" s="1">
        <v>5</v>
      </c>
      <c r="E258" s="1">
        <v>2</v>
      </c>
      <c r="F258" s="4" t="str">
        <f>'BID 4 b'!B1275</f>
        <v>Belanja Barang Jasa</v>
      </c>
      <c r="G258" s="1"/>
      <c r="H258" s="1"/>
      <c r="I258" s="73">
        <f>I257</f>
        <v>1915000</v>
      </c>
      <c r="J258" s="1"/>
    </row>
    <row r="259" spans="1:12" ht="90" x14ac:dyDescent="0.25">
      <c r="A259" s="865">
        <v>4</v>
      </c>
      <c r="B259" s="865">
        <v>4</v>
      </c>
      <c r="C259" s="1490" t="s">
        <v>3386</v>
      </c>
      <c r="D259" s="865"/>
      <c r="E259" s="865"/>
      <c r="F259" s="1061" t="str">
        <f>'BID 4 b'!B1305</f>
        <v>: Pengembangan sarana dan prasarana usaha mikro, kecil dan menengah serta koprasi  (Pelatihan Management BUMDes)</v>
      </c>
      <c r="G259" s="865"/>
      <c r="H259" s="865"/>
      <c r="I259" s="1063">
        <f>'Penjabaran APBDesa'!K997</f>
        <v>13855000</v>
      </c>
      <c r="J259" s="865" t="s">
        <v>1223</v>
      </c>
    </row>
    <row r="260" spans="1:12" hidden="1" x14ac:dyDescent="0.25">
      <c r="A260" s="1"/>
      <c r="B260" s="1"/>
      <c r="C260" s="1"/>
      <c r="D260" s="1">
        <v>5</v>
      </c>
      <c r="E260" s="1">
        <v>2</v>
      </c>
      <c r="F260" s="4" t="str">
        <f>'BID 4 b'!B1311</f>
        <v>Belanja Barang Dan Jasa</v>
      </c>
      <c r="G260" s="1"/>
      <c r="H260" s="1"/>
      <c r="I260" s="73">
        <f>I259</f>
        <v>13855000</v>
      </c>
      <c r="J260" s="1"/>
    </row>
    <row r="261" spans="1:12" ht="30" x14ac:dyDescent="0.25">
      <c r="A261" s="865">
        <v>4</v>
      </c>
      <c r="B261" s="865">
        <v>6</v>
      </c>
      <c r="C261" s="865"/>
      <c r="D261" s="865"/>
      <c r="E261" s="865"/>
      <c r="F261" s="1061" t="s">
        <v>3428</v>
      </c>
      <c r="G261" s="865"/>
      <c r="H261" s="865"/>
      <c r="I261" s="1063">
        <f>'Penjabaran APBDesa'!K1007</f>
        <v>0</v>
      </c>
      <c r="J261" s="865"/>
    </row>
    <row r="262" spans="1:12" ht="105" x14ac:dyDescent="0.25">
      <c r="A262" s="865">
        <v>4</v>
      </c>
      <c r="B262" s="865">
        <v>6</v>
      </c>
      <c r="C262" s="1490" t="s">
        <v>3386</v>
      </c>
      <c r="D262" s="865"/>
      <c r="E262" s="865"/>
      <c r="F262" s="1061" t="str">
        <f>'BID 4 b'!B1344</f>
        <v>: Pengembangan sarana dan prasarana usaha mikro, kecil dan menengah serta koprasi  (Pembentukan dan Sosialisasi Koperasi Desa Merah Putih)</v>
      </c>
      <c r="G262" s="865"/>
      <c r="H262" s="865"/>
      <c r="I262" s="1063">
        <f>'Penjabaran APBDesa'!K1008</f>
        <v>14715000</v>
      </c>
      <c r="J262" s="865" t="s">
        <v>1410</v>
      </c>
    </row>
    <row r="263" spans="1:12" hidden="1" x14ac:dyDescent="0.25">
      <c r="A263" s="1"/>
      <c r="B263" s="1"/>
      <c r="C263" s="1"/>
      <c r="D263" s="1">
        <v>5</v>
      </c>
      <c r="E263" s="1">
        <v>2</v>
      </c>
      <c r="F263" s="4" t="str">
        <f>'BID 4 b'!B1350</f>
        <v>Belanja Barang Dan Jasa</v>
      </c>
      <c r="G263" s="1"/>
      <c r="H263" s="1"/>
      <c r="I263" s="73">
        <f>I262</f>
        <v>14715000</v>
      </c>
      <c r="J263" s="1"/>
    </row>
    <row r="264" spans="1:12" ht="45" hidden="1" x14ac:dyDescent="0.25">
      <c r="A264" s="1537">
        <v>5</v>
      </c>
      <c r="B264" s="1537"/>
      <c r="C264" s="1537"/>
      <c r="D264" s="1537"/>
      <c r="E264" s="1537"/>
      <c r="F264" s="1538" t="str">
        <f>'Bid 5b'!B5</f>
        <v>: Bidang Penanggulangan Bencana, Darurat dan Mendesak Desa</v>
      </c>
      <c r="G264" s="1537"/>
      <c r="H264" s="1537"/>
      <c r="I264" s="1539">
        <f>'Penjabaran APBDesa'!K1014</f>
        <v>26926587.09</v>
      </c>
      <c r="J264" s="1537"/>
      <c r="K264" s="68">
        <f>'Penjabaran APBDesa'!K1014</f>
        <v>26926587.09</v>
      </c>
      <c r="L264" s="23">
        <f t="shared" ref="L264" si="4">K264-I264</f>
        <v>0</v>
      </c>
    </row>
    <row r="265" spans="1:12" ht="30" x14ac:dyDescent="0.25">
      <c r="A265" s="865">
        <v>5</v>
      </c>
      <c r="B265" s="865">
        <v>2</v>
      </c>
      <c r="C265" s="1490" t="s">
        <v>3416</v>
      </c>
      <c r="D265" s="865"/>
      <c r="E265" s="865"/>
      <c r="F265" s="1061" t="str">
        <f>'Bid 5b'!B37</f>
        <v>: Penanganan Keadaan Darurta</v>
      </c>
      <c r="G265" s="865"/>
      <c r="H265" s="865"/>
      <c r="I265" s="1063">
        <f>'Penjabaran APBDesa'!K1015</f>
        <v>26926587.09</v>
      </c>
      <c r="J265" s="865"/>
    </row>
    <row r="266" spans="1:12" hidden="1" x14ac:dyDescent="0.25">
      <c r="A266" s="1"/>
      <c r="B266" s="1"/>
      <c r="C266" s="1"/>
      <c r="D266" s="1">
        <v>5</v>
      </c>
      <c r="E266" s="1">
        <v>4</v>
      </c>
      <c r="F266" s="1" t="str">
        <f>'Bid 5b'!B43</f>
        <v>Belanja Tak Terduga</v>
      </c>
      <c r="G266" s="1"/>
      <c r="H266" s="1"/>
      <c r="I266" s="73">
        <f>I265</f>
        <v>26926587.09</v>
      </c>
      <c r="J266" s="1"/>
    </row>
    <row r="267" spans="1:12" hidden="1" x14ac:dyDescent="0.25">
      <c r="A267" s="1537"/>
      <c r="B267" s="1537"/>
      <c r="C267" s="1537"/>
      <c r="D267" s="1537"/>
      <c r="E267" s="1537"/>
      <c r="F267" s="1537" t="s">
        <v>3342</v>
      </c>
      <c r="G267" s="1537"/>
      <c r="H267" s="1537"/>
      <c r="I267" s="1539">
        <f>'Penjabaran APBDesa'!K1021</f>
        <v>14679842814.959999</v>
      </c>
      <c r="J267" s="1537"/>
    </row>
    <row r="268" spans="1:12" hidden="1" x14ac:dyDescent="0.25">
      <c r="A268" s="1537"/>
      <c r="B268" s="1537"/>
      <c r="C268" s="1537"/>
      <c r="D268" s="1537"/>
      <c r="E268" s="1537"/>
      <c r="F268" s="1537" t="s">
        <v>3402</v>
      </c>
      <c r="G268" s="1537"/>
      <c r="H268" s="1537"/>
      <c r="I268" s="1539">
        <f>'Penjabaran APBDesa'!K1022</f>
        <v>-4100682816.9599991</v>
      </c>
      <c r="J268" s="1537"/>
    </row>
    <row r="269" spans="1:12" hidden="1" x14ac:dyDescent="0.25">
      <c r="A269" s="1"/>
      <c r="B269" s="1"/>
      <c r="C269" s="1"/>
      <c r="D269" s="1"/>
      <c r="E269" s="1"/>
      <c r="F269" s="1"/>
      <c r="G269" s="1"/>
      <c r="H269" s="1"/>
      <c r="I269" s="73">
        <f>'Penjabaran APBDesa'!K1023</f>
        <v>0</v>
      </c>
      <c r="J269" s="1"/>
    </row>
    <row r="270" spans="1:12" hidden="1" x14ac:dyDescent="0.25">
      <c r="A270" s="1"/>
      <c r="B270" s="1"/>
      <c r="C270" s="1"/>
      <c r="D270" s="1">
        <v>6</v>
      </c>
      <c r="E270" s="1"/>
      <c r="F270" s="1" t="s">
        <v>3403</v>
      </c>
      <c r="G270" s="1"/>
      <c r="H270" s="1"/>
      <c r="I270" s="73">
        <f>'Penjabaran APBDesa'!K1024</f>
        <v>0</v>
      </c>
      <c r="J270" s="1"/>
    </row>
    <row r="271" spans="1:12" hidden="1" x14ac:dyDescent="0.25">
      <c r="A271" s="1"/>
      <c r="B271" s="1"/>
      <c r="C271" s="1"/>
      <c r="D271" s="1">
        <v>6</v>
      </c>
      <c r="E271" s="1">
        <v>1</v>
      </c>
      <c r="F271" s="1" t="s">
        <v>3404</v>
      </c>
      <c r="G271" s="1"/>
      <c r="H271" s="1"/>
      <c r="I271" s="73">
        <f>'Penjabaran APBDesa'!K1027+'Penjabaran APBDesa'!K1029</f>
        <v>4100682816.96</v>
      </c>
      <c r="J271" s="1"/>
    </row>
    <row r="272" spans="1:12" hidden="1" x14ac:dyDescent="0.25">
      <c r="A272" s="1"/>
      <c r="B272" s="1"/>
      <c r="C272" s="1"/>
      <c r="D272" s="1"/>
      <c r="E272" s="1"/>
      <c r="F272" s="1"/>
      <c r="G272" s="1"/>
      <c r="H272" s="1"/>
      <c r="I272" s="73">
        <f>'Penjabaran APBDesa'!K1030</f>
        <v>0</v>
      </c>
      <c r="J272" s="1"/>
    </row>
    <row r="273" spans="1:10" hidden="1" x14ac:dyDescent="0.25">
      <c r="A273" s="1"/>
      <c r="B273" s="1"/>
      <c r="C273" s="1"/>
      <c r="D273" s="1">
        <v>6</v>
      </c>
      <c r="E273" s="1">
        <v>2</v>
      </c>
      <c r="F273" s="1" t="s">
        <v>3406</v>
      </c>
      <c r="G273" s="1"/>
      <c r="H273" s="1"/>
      <c r="I273" s="73">
        <f>'Penjabaran APBDesa'!K1031</f>
        <v>0</v>
      </c>
      <c r="J273" s="1"/>
    </row>
    <row r="274" spans="1:10" hidden="1" x14ac:dyDescent="0.25">
      <c r="A274" s="1537"/>
      <c r="B274" s="1537"/>
      <c r="C274" s="1537"/>
      <c r="D274" s="1537">
        <v>6</v>
      </c>
      <c r="E274" s="1537">
        <v>2</v>
      </c>
      <c r="F274" s="1537" t="s">
        <v>3407</v>
      </c>
      <c r="G274" s="1537"/>
      <c r="H274" s="1537"/>
      <c r="I274" s="1539">
        <f>'Penjabaran APBDesa'!K1033</f>
        <v>0</v>
      </c>
      <c r="J274" s="1537"/>
    </row>
    <row r="275" spans="1:10" hidden="1" x14ac:dyDescent="0.25">
      <c r="A275" s="1"/>
      <c r="B275" s="1"/>
      <c r="C275" s="1"/>
      <c r="D275" s="1"/>
      <c r="E275" s="1"/>
      <c r="F275" s="1"/>
      <c r="G275" s="1"/>
      <c r="H275" s="1"/>
      <c r="I275" s="73">
        <f>'Penjabaran APBDesa'!K1034</f>
        <v>0</v>
      </c>
      <c r="J275" s="1"/>
    </row>
    <row r="276" spans="1:10" hidden="1" x14ac:dyDescent="0.25">
      <c r="A276" s="1544"/>
      <c r="B276" s="1544"/>
      <c r="C276" s="1544"/>
      <c r="D276" s="1544"/>
      <c r="E276" s="1544"/>
      <c r="F276" s="1544" t="s">
        <v>3409</v>
      </c>
      <c r="G276" s="1544"/>
      <c r="H276" s="1544"/>
      <c r="I276" s="1539">
        <f>'Penjabaran APBDesa'!K1035</f>
        <v>4100682816.96</v>
      </c>
      <c r="J276" s="1544"/>
    </row>
  </sheetData>
  <autoFilter ref="A28:J276" xr:uid="{C0773F2D-8452-4F47-88D3-49AC2AF49CA1}">
    <filterColumn colId="7">
      <colorFilter dxfId="0"/>
    </filterColumn>
  </autoFilter>
  <mergeCells count="11">
    <mergeCell ref="A14:J14"/>
    <mergeCell ref="A13:J13"/>
    <mergeCell ref="A12:J12"/>
    <mergeCell ref="A2:H2"/>
    <mergeCell ref="A18:C18"/>
    <mergeCell ref="D18:E18"/>
    <mergeCell ref="A16:E17"/>
    <mergeCell ref="F16:F17"/>
    <mergeCell ref="G16:H16"/>
    <mergeCell ref="I16:I17"/>
    <mergeCell ref="J16:J17"/>
  </mergeCells>
  <pageMargins left="0.7" right="0.7" top="0.75" bottom="2.25" header="0.3" footer="0.3"/>
  <pageSetup paperSize="5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14E33-7399-4495-AE73-A24F6E898AC2}">
  <dimension ref="A4:S227"/>
  <sheetViews>
    <sheetView topLeftCell="A4" zoomScale="90" zoomScaleNormal="90" workbookViewId="0">
      <pane ySplit="1050" topLeftCell="A95" activePane="bottomLeft"/>
      <selection activeCell="J15" sqref="J15:J16"/>
      <selection pane="bottomLeft" activeCell="J96" sqref="J96"/>
    </sheetView>
  </sheetViews>
  <sheetFormatPr defaultRowHeight="15" x14ac:dyDescent="0.25"/>
  <cols>
    <col min="2" max="2" width="20" customWidth="1"/>
    <col min="4" max="4" width="23" customWidth="1"/>
    <col min="5" max="5" width="6" customWidth="1"/>
    <col min="6" max="6" width="17.42578125" customWidth="1"/>
    <col min="10" max="10" width="18.28515625" customWidth="1"/>
    <col min="13" max="13" width="11" customWidth="1"/>
    <col min="16" max="17" width="11.42578125" customWidth="1"/>
    <col min="18" max="18" width="15.5703125" customWidth="1"/>
    <col min="19" max="19" width="9.28515625" customWidth="1"/>
  </cols>
  <sheetData>
    <row r="4" spans="1:19" ht="14.45" customHeight="1" x14ac:dyDescent="0.25"/>
    <row r="7" spans="1:19" ht="28.5" x14ac:dyDescent="0.25">
      <c r="A7" s="2222" t="s">
        <v>3612</v>
      </c>
      <c r="B7" s="2222"/>
      <c r="C7" s="2222"/>
      <c r="D7" s="2222"/>
      <c r="E7" s="2222"/>
      <c r="F7" s="2222"/>
      <c r="G7" s="2222"/>
      <c r="H7" s="2222"/>
      <c r="I7" s="2222"/>
      <c r="J7" s="2222"/>
      <c r="K7" s="2222"/>
      <c r="L7" s="2222"/>
      <c r="M7" s="2222"/>
      <c r="N7" s="2222"/>
      <c r="O7" s="2222"/>
      <c r="P7" s="2222"/>
      <c r="Q7" s="2222"/>
      <c r="R7" s="2222"/>
      <c r="S7" s="2222"/>
    </row>
    <row r="8" spans="1:19" ht="28.5" x14ac:dyDescent="0.25">
      <c r="A8" s="2222" t="s">
        <v>1737</v>
      </c>
      <c r="B8" s="2222"/>
      <c r="C8" s="2222"/>
      <c r="D8" s="2222"/>
      <c r="E8" s="2222"/>
      <c r="F8" s="2222"/>
      <c r="G8" s="2222"/>
      <c r="H8" s="2222"/>
      <c r="I8" s="2222"/>
      <c r="J8" s="2222"/>
      <c r="K8" s="2222"/>
      <c r="L8" s="2222"/>
      <c r="M8" s="2222"/>
      <c r="N8" s="2222"/>
      <c r="O8" s="2222"/>
      <c r="P8" s="2222"/>
      <c r="Q8" s="2222"/>
      <c r="R8" s="2222"/>
      <c r="S8" s="2222"/>
    </row>
    <row r="9" spans="1:19" x14ac:dyDescent="0.25">
      <c r="F9" s="5"/>
    </row>
    <row r="10" spans="1:19" x14ac:dyDescent="0.25">
      <c r="A10" t="s">
        <v>977</v>
      </c>
      <c r="C10" t="s">
        <v>62</v>
      </c>
      <c r="D10" s="2221" t="s">
        <v>1</v>
      </c>
      <c r="E10" s="2221"/>
      <c r="F10" s="2221"/>
      <c r="G10" s="2221"/>
      <c r="H10" s="2221"/>
      <c r="I10" s="2221"/>
    </row>
    <row r="11" spans="1:19" x14ac:dyDescent="0.25">
      <c r="A11" t="s">
        <v>979</v>
      </c>
      <c r="C11" t="s">
        <v>62</v>
      </c>
      <c r="D11" s="2221" t="s">
        <v>3613</v>
      </c>
      <c r="E11" s="2221"/>
      <c r="F11" s="2221"/>
      <c r="G11" s="2221"/>
      <c r="H11" s="2221"/>
      <c r="I11" s="2221"/>
    </row>
    <row r="12" spans="1:19" x14ac:dyDescent="0.25">
      <c r="A12" t="s">
        <v>1189</v>
      </c>
      <c r="C12" t="s">
        <v>62</v>
      </c>
      <c r="D12" s="2221" t="s">
        <v>3614</v>
      </c>
      <c r="E12" s="2221"/>
      <c r="F12" s="2221"/>
      <c r="G12" s="2221"/>
      <c r="H12" s="2221"/>
      <c r="I12" s="2221"/>
    </row>
    <row r="13" spans="1:19" x14ac:dyDescent="0.25">
      <c r="A13" t="s">
        <v>983</v>
      </c>
      <c r="C13" t="s">
        <v>62</v>
      </c>
      <c r="D13" s="2221" t="s">
        <v>3615</v>
      </c>
      <c r="E13" s="2221"/>
      <c r="F13" s="2221"/>
      <c r="G13" s="2221"/>
      <c r="H13" s="2221"/>
      <c r="I13" s="2221"/>
    </row>
    <row r="14" spans="1:19" x14ac:dyDescent="0.25">
      <c r="F14" s="5"/>
    </row>
    <row r="15" spans="1:19" x14ac:dyDescent="0.25">
      <c r="A15" s="2219" t="s">
        <v>951</v>
      </c>
      <c r="B15" s="2220" t="s">
        <v>3611</v>
      </c>
      <c r="C15" s="2220"/>
      <c r="D15" s="2220"/>
      <c r="E15" s="2220"/>
      <c r="F15" s="2220"/>
      <c r="G15" s="2219" t="s">
        <v>988</v>
      </c>
      <c r="H15" s="2219" t="s">
        <v>512</v>
      </c>
      <c r="I15" s="2219" t="s">
        <v>3450</v>
      </c>
      <c r="J15" s="2219" t="s">
        <v>1190</v>
      </c>
      <c r="K15" s="2220" t="s">
        <v>3616</v>
      </c>
      <c r="L15" s="2220"/>
      <c r="M15" s="2220"/>
      <c r="N15" s="2220"/>
      <c r="O15" s="2219" t="s">
        <v>395</v>
      </c>
      <c r="P15" s="2219"/>
      <c r="Q15" s="2219"/>
      <c r="R15" s="2223" t="s">
        <v>3617</v>
      </c>
      <c r="S15" s="2224" t="s">
        <v>3624</v>
      </c>
    </row>
    <row r="16" spans="1:19" ht="28.9" customHeight="1" x14ac:dyDescent="0.25">
      <c r="A16" s="2219"/>
      <c r="B16" s="1877" t="s">
        <v>994</v>
      </c>
      <c r="C16" s="1877"/>
      <c r="D16" s="1877" t="s">
        <v>1065</v>
      </c>
      <c r="E16" s="1877"/>
      <c r="F16" s="1878" t="s">
        <v>687</v>
      </c>
      <c r="G16" s="2219"/>
      <c r="H16" s="2219"/>
      <c r="I16" s="2219"/>
      <c r="J16" s="2219"/>
      <c r="K16" s="1876" t="s">
        <v>26</v>
      </c>
      <c r="L16" s="1876" t="s">
        <v>1194</v>
      </c>
      <c r="M16" s="1876" t="s">
        <v>1195</v>
      </c>
      <c r="N16" s="1876" t="s">
        <v>3618</v>
      </c>
      <c r="O16" s="1876" t="s">
        <v>3619</v>
      </c>
      <c r="P16" s="1876" t="s">
        <v>3620</v>
      </c>
      <c r="Q16" s="1876" t="s">
        <v>3621</v>
      </c>
      <c r="R16" s="2223"/>
      <c r="S16" s="2224"/>
    </row>
    <row r="17" spans="1:19" ht="17.45" customHeight="1" x14ac:dyDescent="0.25">
      <c r="A17" s="25">
        <v>1</v>
      </c>
      <c r="B17" s="25">
        <v>2</v>
      </c>
      <c r="C17" s="25">
        <v>3</v>
      </c>
      <c r="D17" s="25">
        <v>4</v>
      </c>
      <c r="E17" s="25">
        <v>5</v>
      </c>
      <c r="F17" s="29">
        <v>6</v>
      </c>
      <c r="G17" s="25">
        <v>7</v>
      </c>
      <c r="H17" s="25">
        <v>8</v>
      </c>
      <c r="I17" s="25">
        <v>9</v>
      </c>
      <c r="J17" s="25">
        <v>10</v>
      </c>
      <c r="K17" s="25">
        <v>11</v>
      </c>
      <c r="L17" s="25">
        <v>12</v>
      </c>
      <c r="M17" s="25">
        <v>13</v>
      </c>
      <c r="N17" s="25">
        <v>14</v>
      </c>
      <c r="O17" s="25">
        <v>15</v>
      </c>
      <c r="P17" s="25">
        <v>16</v>
      </c>
      <c r="Q17" s="25">
        <v>17</v>
      </c>
      <c r="R17" s="29">
        <v>18</v>
      </c>
      <c r="S17" s="25">
        <v>19</v>
      </c>
    </row>
    <row r="18" spans="1:19" ht="75" x14ac:dyDescent="0.25">
      <c r="A18" s="1"/>
      <c r="B18" s="4" t="s">
        <v>3</v>
      </c>
      <c r="C18" s="1"/>
      <c r="D18" s="4" t="s">
        <v>5</v>
      </c>
      <c r="E18" s="1"/>
      <c r="F18" s="4" t="s">
        <v>8</v>
      </c>
      <c r="G18" s="4" t="s">
        <v>1012</v>
      </c>
      <c r="H18" s="1">
        <v>12</v>
      </c>
      <c r="I18" s="1" t="s">
        <v>709</v>
      </c>
      <c r="J18" s="73">
        <v>180740000</v>
      </c>
      <c r="K18" s="1">
        <v>1</v>
      </c>
      <c r="L18" s="1">
        <v>1</v>
      </c>
      <c r="M18" s="1"/>
      <c r="N18" s="1"/>
      <c r="O18" s="1" t="s">
        <v>250</v>
      </c>
      <c r="P18" s="1" t="s">
        <v>3632</v>
      </c>
      <c r="Q18" s="1" t="s">
        <v>3594</v>
      </c>
      <c r="R18" s="4" t="s">
        <v>3320</v>
      </c>
      <c r="S18" s="4" t="s">
        <v>3633</v>
      </c>
    </row>
    <row r="19" spans="1:19" ht="75" x14ac:dyDescent="0.25">
      <c r="A19" s="1"/>
      <c r="B19" s="4" t="s">
        <v>3</v>
      </c>
      <c r="C19" s="1"/>
      <c r="D19" s="4" t="s">
        <v>5</v>
      </c>
      <c r="E19" s="1"/>
      <c r="F19" s="4" t="s">
        <v>36</v>
      </c>
      <c r="G19" s="4" t="s">
        <v>1012</v>
      </c>
      <c r="H19" s="1">
        <v>180</v>
      </c>
      <c r="I19" s="1" t="s">
        <v>709</v>
      </c>
      <c r="J19" s="73">
        <v>1049635167</v>
      </c>
      <c r="K19" s="1">
        <v>15</v>
      </c>
      <c r="L19" s="1">
        <v>13</v>
      </c>
      <c r="M19" s="1">
        <v>2</v>
      </c>
      <c r="N19" s="1"/>
      <c r="O19" s="1" t="s">
        <v>250</v>
      </c>
      <c r="P19" s="1" t="s">
        <v>3632</v>
      </c>
      <c r="Q19" s="1" t="s">
        <v>3594</v>
      </c>
      <c r="R19" s="4" t="s">
        <v>3320</v>
      </c>
      <c r="S19" s="4" t="s">
        <v>3633</v>
      </c>
    </row>
    <row r="20" spans="1:19" ht="90" customHeight="1" x14ac:dyDescent="0.25">
      <c r="A20" s="1"/>
      <c r="B20" s="4" t="s">
        <v>3</v>
      </c>
      <c r="C20" s="1"/>
      <c r="D20" s="4" t="s">
        <v>5</v>
      </c>
      <c r="E20" s="1"/>
      <c r="F20" s="4" t="s">
        <v>58</v>
      </c>
      <c r="G20" s="4" t="s">
        <v>1012</v>
      </c>
      <c r="H20" s="1">
        <v>92</v>
      </c>
      <c r="I20" s="1" t="s">
        <v>709</v>
      </c>
      <c r="J20" s="73">
        <v>77761313</v>
      </c>
      <c r="K20" s="1">
        <v>16</v>
      </c>
      <c r="L20" s="1">
        <v>14</v>
      </c>
      <c r="M20" s="1">
        <v>2</v>
      </c>
      <c r="N20" s="1"/>
      <c r="O20" s="1" t="s">
        <v>250</v>
      </c>
      <c r="P20" s="1" t="s">
        <v>3632</v>
      </c>
      <c r="Q20" s="1" t="s">
        <v>3594</v>
      </c>
      <c r="R20" s="4" t="s">
        <v>3320</v>
      </c>
      <c r="S20" s="4" t="s">
        <v>3633</v>
      </c>
    </row>
    <row r="21" spans="1:19" ht="57.6" customHeight="1" x14ac:dyDescent="0.25">
      <c r="A21" s="1"/>
      <c r="B21" s="4" t="s">
        <v>3</v>
      </c>
      <c r="C21" s="1"/>
      <c r="D21" s="4" t="s">
        <v>5</v>
      </c>
      <c r="E21" s="1"/>
      <c r="F21" s="4" t="s">
        <v>80</v>
      </c>
      <c r="G21" s="4" t="s">
        <v>1012</v>
      </c>
      <c r="H21" s="1">
        <v>1</v>
      </c>
      <c r="I21" s="1" t="s">
        <v>846</v>
      </c>
      <c r="J21" s="73">
        <v>712389600.84000003</v>
      </c>
      <c r="K21" s="1">
        <v>7840</v>
      </c>
      <c r="L21" s="1">
        <v>3998</v>
      </c>
      <c r="M21" s="1">
        <v>3842</v>
      </c>
      <c r="N21" s="1"/>
      <c r="O21" s="1" t="s">
        <v>250</v>
      </c>
      <c r="P21" s="1" t="s">
        <v>3632</v>
      </c>
      <c r="Q21" s="1" t="s">
        <v>3594</v>
      </c>
      <c r="R21" s="4" t="s">
        <v>3320</v>
      </c>
      <c r="S21" s="4" t="s">
        <v>3633</v>
      </c>
    </row>
    <row r="22" spans="1:19" ht="75" x14ac:dyDescent="0.25">
      <c r="A22" s="1"/>
      <c r="B22" s="4" t="s">
        <v>3</v>
      </c>
      <c r="C22" s="1"/>
      <c r="D22" s="4" t="s">
        <v>5</v>
      </c>
      <c r="E22" s="1"/>
      <c r="F22" s="4" t="s">
        <v>446</v>
      </c>
      <c r="G22" s="4" t="s">
        <v>1012</v>
      </c>
      <c r="H22" s="1">
        <v>1</v>
      </c>
      <c r="I22" s="1" t="s">
        <v>846</v>
      </c>
      <c r="J22" s="73">
        <v>37980000</v>
      </c>
      <c r="K22" s="1">
        <v>7840</v>
      </c>
      <c r="L22" s="1">
        <v>3998</v>
      </c>
      <c r="M22" s="1">
        <v>3842</v>
      </c>
      <c r="N22" s="1"/>
      <c r="O22" s="1" t="s">
        <v>250</v>
      </c>
      <c r="P22" s="1" t="s">
        <v>3632</v>
      </c>
      <c r="Q22" s="1" t="s">
        <v>3594</v>
      </c>
      <c r="R22" s="4" t="s">
        <v>3320</v>
      </c>
      <c r="S22" s="4" t="s">
        <v>3633</v>
      </c>
    </row>
    <row r="23" spans="1:19" ht="75" x14ac:dyDescent="0.25">
      <c r="A23" s="1"/>
      <c r="B23" s="4" t="s">
        <v>3</v>
      </c>
      <c r="C23" s="1"/>
      <c r="D23" s="4" t="s">
        <v>5</v>
      </c>
      <c r="E23" s="1"/>
      <c r="F23" s="4" t="s">
        <v>238</v>
      </c>
      <c r="G23" s="4" t="s">
        <v>1012</v>
      </c>
      <c r="H23" s="1">
        <v>108</v>
      </c>
      <c r="I23" s="1" t="s">
        <v>709</v>
      </c>
      <c r="J23" s="73">
        <v>457800000</v>
      </c>
      <c r="K23" s="1">
        <v>9</v>
      </c>
      <c r="L23" s="1">
        <v>8</v>
      </c>
      <c r="M23" s="1">
        <v>1</v>
      </c>
      <c r="N23" s="1"/>
      <c r="O23" s="1" t="s">
        <v>250</v>
      </c>
      <c r="P23" s="1" t="s">
        <v>3632</v>
      </c>
      <c r="Q23" s="1" t="s">
        <v>3594</v>
      </c>
      <c r="R23" s="4" t="s">
        <v>3320</v>
      </c>
      <c r="S23" s="4" t="s">
        <v>3633</v>
      </c>
    </row>
    <row r="24" spans="1:19" ht="75" x14ac:dyDescent="0.25">
      <c r="A24" s="1"/>
      <c r="B24" s="4" t="s">
        <v>3</v>
      </c>
      <c r="C24" s="1"/>
      <c r="D24" s="4" t="s">
        <v>5</v>
      </c>
      <c r="E24" s="1"/>
      <c r="F24" s="4" t="s">
        <v>254</v>
      </c>
      <c r="G24" s="4" t="s">
        <v>1012</v>
      </c>
      <c r="H24" s="1">
        <v>1</v>
      </c>
      <c r="I24" s="1" t="s">
        <v>846</v>
      </c>
      <c r="J24" s="73">
        <v>32282000</v>
      </c>
      <c r="K24" s="1">
        <v>7840</v>
      </c>
      <c r="L24" s="1">
        <v>3998</v>
      </c>
      <c r="M24" s="1">
        <v>3842</v>
      </c>
      <c r="N24" s="1"/>
      <c r="O24" s="1" t="s">
        <v>250</v>
      </c>
      <c r="P24" s="1" t="s">
        <v>3632</v>
      </c>
      <c r="Q24" s="1" t="s">
        <v>3594</v>
      </c>
      <c r="R24" s="4" t="s">
        <v>3320</v>
      </c>
      <c r="S24" s="4" t="s">
        <v>3633</v>
      </c>
    </row>
    <row r="25" spans="1:19" ht="75" x14ac:dyDescent="0.25">
      <c r="A25" s="1"/>
      <c r="B25" s="4" t="s">
        <v>3</v>
      </c>
      <c r="C25" s="1"/>
      <c r="D25" s="4" t="s">
        <v>5</v>
      </c>
      <c r="E25" s="1"/>
      <c r="F25" s="4" t="s">
        <v>276</v>
      </c>
      <c r="G25" s="4" t="s">
        <v>1012</v>
      </c>
      <c r="H25" s="1">
        <v>1</v>
      </c>
      <c r="I25" s="1" t="s">
        <v>846</v>
      </c>
      <c r="J25" s="73">
        <v>16400000</v>
      </c>
      <c r="K25" s="1">
        <v>7840</v>
      </c>
      <c r="L25" s="1">
        <v>3998</v>
      </c>
      <c r="M25" s="1">
        <v>3842</v>
      </c>
      <c r="N25" s="1"/>
      <c r="O25" s="1" t="s">
        <v>250</v>
      </c>
      <c r="P25" s="1" t="s">
        <v>3632</v>
      </c>
      <c r="Q25" s="1" t="s">
        <v>3594</v>
      </c>
      <c r="R25" s="4" t="s">
        <v>3320</v>
      </c>
      <c r="S25" s="4" t="s">
        <v>3633</v>
      </c>
    </row>
    <row r="26" spans="1:19" ht="75" x14ac:dyDescent="0.25">
      <c r="A26" s="1"/>
      <c r="B26" s="4" t="s">
        <v>3</v>
      </c>
      <c r="C26" s="1"/>
      <c r="D26" s="4" t="s">
        <v>5</v>
      </c>
      <c r="E26" s="1"/>
      <c r="F26" s="4" t="s">
        <v>1345</v>
      </c>
      <c r="G26" s="4" t="s">
        <v>1012</v>
      </c>
      <c r="H26" s="1">
        <v>1</v>
      </c>
      <c r="I26" s="1" t="s">
        <v>846</v>
      </c>
      <c r="J26" s="73">
        <v>8685000</v>
      </c>
      <c r="K26" s="1">
        <v>7840</v>
      </c>
      <c r="L26" s="1">
        <v>3998</v>
      </c>
      <c r="M26" s="1">
        <v>3842</v>
      </c>
      <c r="N26" s="1"/>
      <c r="O26" s="1" t="s">
        <v>250</v>
      </c>
      <c r="P26" s="1" t="s">
        <v>3632</v>
      </c>
      <c r="Q26" s="1" t="s">
        <v>3594</v>
      </c>
      <c r="R26" s="4" t="s">
        <v>3320</v>
      </c>
      <c r="S26" s="4" t="s">
        <v>3633</v>
      </c>
    </row>
    <row r="27" spans="1:19" ht="75" x14ac:dyDescent="0.25">
      <c r="A27" s="1"/>
      <c r="B27" s="4" t="s">
        <v>3</v>
      </c>
      <c r="C27" s="1"/>
      <c r="D27" s="4" t="s">
        <v>5</v>
      </c>
      <c r="E27" s="1"/>
      <c r="F27" s="4" t="s">
        <v>291</v>
      </c>
      <c r="G27" s="4" t="s">
        <v>1012</v>
      </c>
      <c r="H27" s="1">
        <v>180</v>
      </c>
      <c r="I27" s="1" t="s">
        <v>709</v>
      </c>
      <c r="J27" s="73">
        <v>579582544.32000005</v>
      </c>
      <c r="K27" s="1">
        <v>15</v>
      </c>
      <c r="L27" s="1">
        <v>9</v>
      </c>
      <c r="M27" s="1">
        <v>6</v>
      </c>
      <c r="N27" s="1"/>
      <c r="O27" s="1" t="s">
        <v>250</v>
      </c>
      <c r="P27" s="1" t="s">
        <v>3632</v>
      </c>
      <c r="Q27" s="1" t="s">
        <v>3594</v>
      </c>
      <c r="R27" s="4" t="s">
        <v>3320</v>
      </c>
      <c r="S27" s="4" t="s">
        <v>3633</v>
      </c>
    </row>
    <row r="28" spans="1:19" ht="75" x14ac:dyDescent="0.25">
      <c r="A28" s="1"/>
      <c r="B28" s="4" t="s">
        <v>3</v>
      </c>
      <c r="C28" s="1"/>
      <c r="D28" s="4" t="s">
        <v>5</v>
      </c>
      <c r="E28" s="1"/>
      <c r="F28" s="4" t="s">
        <v>1173</v>
      </c>
      <c r="G28" s="4" t="s">
        <v>1012</v>
      </c>
      <c r="H28" s="1">
        <v>2</v>
      </c>
      <c r="I28" s="1" t="s">
        <v>3282</v>
      </c>
      <c r="J28" s="73">
        <v>17455000</v>
      </c>
      <c r="K28" s="1">
        <v>7840</v>
      </c>
      <c r="L28" s="1">
        <v>3998</v>
      </c>
      <c r="M28" s="1">
        <v>3842</v>
      </c>
      <c r="N28" s="1"/>
      <c r="O28" s="1" t="s">
        <v>250</v>
      </c>
      <c r="P28" s="1" t="s">
        <v>3632</v>
      </c>
      <c r="Q28" s="1" t="s">
        <v>3594</v>
      </c>
      <c r="R28" s="4" t="s">
        <v>3320</v>
      </c>
      <c r="S28" s="4" t="s">
        <v>3633</v>
      </c>
    </row>
    <row r="29" spans="1:19" ht="75" x14ac:dyDescent="0.25">
      <c r="A29" s="1"/>
      <c r="B29" s="4" t="s">
        <v>3</v>
      </c>
      <c r="C29" s="1"/>
      <c r="D29" s="4" t="s">
        <v>5</v>
      </c>
      <c r="E29" s="1"/>
      <c r="F29" s="4" t="s">
        <v>1328</v>
      </c>
      <c r="G29" s="4" t="s">
        <v>1012</v>
      </c>
      <c r="H29" s="1">
        <v>108</v>
      </c>
      <c r="I29" s="1" t="s">
        <v>709</v>
      </c>
      <c r="J29" s="73">
        <v>40757410.799999997</v>
      </c>
      <c r="K29" s="1">
        <v>9</v>
      </c>
      <c r="L29" s="1">
        <v>8</v>
      </c>
      <c r="M29" s="1">
        <v>1</v>
      </c>
      <c r="N29" s="1"/>
      <c r="O29" s="1" t="s">
        <v>250</v>
      </c>
      <c r="P29" s="1" t="s">
        <v>3632</v>
      </c>
      <c r="Q29" s="1" t="s">
        <v>3594</v>
      </c>
      <c r="R29" s="4" t="s">
        <v>3320</v>
      </c>
      <c r="S29" s="4" t="s">
        <v>3633</v>
      </c>
    </row>
    <row r="30" spans="1:19" ht="75" x14ac:dyDescent="0.25">
      <c r="A30" s="1"/>
      <c r="B30" s="4" t="s">
        <v>3</v>
      </c>
      <c r="C30" s="1"/>
      <c r="D30" s="4" t="s">
        <v>5</v>
      </c>
      <c r="E30" s="1"/>
      <c r="F30" s="4" t="s">
        <v>1337</v>
      </c>
      <c r="G30" s="4" t="s">
        <v>1012</v>
      </c>
      <c r="H30" s="1">
        <v>180</v>
      </c>
      <c r="I30" s="1" t="s">
        <v>709</v>
      </c>
      <c r="J30" s="73">
        <v>28601010</v>
      </c>
      <c r="K30" s="1">
        <v>15</v>
      </c>
      <c r="L30" s="1">
        <v>9</v>
      </c>
      <c r="M30" s="1">
        <v>6</v>
      </c>
      <c r="N30" s="1"/>
      <c r="O30" s="1" t="s">
        <v>250</v>
      </c>
      <c r="P30" s="1" t="s">
        <v>3632</v>
      </c>
      <c r="Q30" s="1" t="s">
        <v>3594</v>
      </c>
      <c r="R30" s="4" t="s">
        <v>3320</v>
      </c>
      <c r="S30" s="4" t="s">
        <v>3633</v>
      </c>
    </row>
    <row r="31" spans="1:19" ht="76.150000000000006" customHeight="1" x14ac:dyDescent="0.25">
      <c r="A31" s="1"/>
      <c r="B31" s="4" t="s">
        <v>3</v>
      </c>
      <c r="C31" s="1"/>
      <c r="D31" s="4" t="s">
        <v>5</v>
      </c>
      <c r="E31" s="1"/>
      <c r="F31" s="4" t="s">
        <v>1342</v>
      </c>
      <c r="G31" s="4" t="s">
        <v>1012</v>
      </c>
      <c r="H31" s="1">
        <v>2998</v>
      </c>
      <c r="I31" s="1" t="s">
        <v>709</v>
      </c>
      <c r="J31" s="73">
        <v>53215772.040000007</v>
      </c>
      <c r="K31" s="1">
        <v>247</v>
      </c>
      <c r="L31" s="1">
        <v>66</v>
      </c>
      <c r="M31" s="1">
        <v>181</v>
      </c>
      <c r="N31" s="1"/>
      <c r="O31" s="1" t="s">
        <v>250</v>
      </c>
      <c r="P31" s="1" t="s">
        <v>3632</v>
      </c>
      <c r="Q31" s="1" t="s">
        <v>3594</v>
      </c>
      <c r="R31" s="4" t="s">
        <v>3320</v>
      </c>
      <c r="S31" s="4" t="s">
        <v>3633</v>
      </c>
    </row>
    <row r="32" spans="1:19" ht="75" x14ac:dyDescent="0.25">
      <c r="A32" s="1"/>
      <c r="B32" s="4" t="s">
        <v>3</v>
      </c>
      <c r="C32" s="1"/>
      <c r="D32" s="4" t="s">
        <v>5</v>
      </c>
      <c r="E32" s="1"/>
      <c r="F32" s="4" t="s">
        <v>452</v>
      </c>
      <c r="G32" s="4" t="s">
        <v>1012</v>
      </c>
      <c r="H32" s="1">
        <v>1</v>
      </c>
      <c r="I32" s="1" t="s">
        <v>846</v>
      </c>
      <c r="J32" s="73">
        <v>39032000</v>
      </c>
      <c r="K32" s="1">
        <v>7840</v>
      </c>
      <c r="L32" s="1">
        <v>3998</v>
      </c>
      <c r="M32" s="1">
        <v>3842</v>
      </c>
      <c r="N32" s="1"/>
      <c r="O32" s="1" t="s">
        <v>250</v>
      </c>
      <c r="P32" s="1" t="s">
        <v>3632</v>
      </c>
      <c r="Q32" s="1" t="s">
        <v>3594</v>
      </c>
      <c r="R32" s="4" t="s">
        <v>3320</v>
      </c>
      <c r="S32" s="4" t="s">
        <v>3633</v>
      </c>
    </row>
    <row r="33" spans="1:19" ht="67.150000000000006" customHeight="1" x14ac:dyDescent="0.25">
      <c r="A33" s="1"/>
      <c r="B33" s="4" t="s">
        <v>3</v>
      </c>
      <c r="C33" s="1"/>
      <c r="D33" s="4" t="s">
        <v>5</v>
      </c>
      <c r="E33" s="1"/>
      <c r="F33" s="4" t="s">
        <v>506</v>
      </c>
      <c r="G33" s="4" t="s">
        <v>1012</v>
      </c>
      <c r="H33" s="1">
        <v>12</v>
      </c>
      <c r="I33" s="1" t="s">
        <v>709</v>
      </c>
      <c r="J33" s="73">
        <v>18000000</v>
      </c>
      <c r="K33" s="1">
        <v>1</v>
      </c>
      <c r="L33" s="1">
        <v>1</v>
      </c>
      <c r="M33" s="1"/>
      <c r="N33" s="1"/>
      <c r="O33" s="1" t="s">
        <v>250</v>
      </c>
      <c r="P33" s="1" t="s">
        <v>3632</v>
      </c>
      <c r="Q33" s="1" t="s">
        <v>3594</v>
      </c>
      <c r="R33" s="4" t="s">
        <v>3320</v>
      </c>
      <c r="S33" s="4" t="s">
        <v>3633</v>
      </c>
    </row>
    <row r="34" spans="1:19" ht="75" x14ac:dyDescent="0.25">
      <c r="A34" s="1"/>
      <c r="B34" s="4" t="s">
        <v>3</v>
      </c>
      <c r="C34" s="1"/>
      <c r="D34" s="4" t="s">
        <v>5</v>
      </c>
      <c r="E34" s="1"/>
      <c r="F34" s="4" t="s">
        <v>1225</v>
      </c>
      <c r="G34" s="4" t="s">
        <v>1012</v>
      </c>
      <c r="H34" s="1">
        <v>180</v>
      </c>
      <c r="I34" s="1" t="s">
        <v>709</v>
      </c>
      <c r="J34" s="73">
        <v>56400000</v>
      </c>
      <c r="K34" s="1">
        <v>15</v>
      </c>
      <c r="L34" s="1">
        <v>13</v>
      </c>
      <c r="M34" s="1">
        <v>2</v>
      </c>
      <c r="N34" s="1"/>
      <c r="O34" s="1" t="s">
        <v>250</v>
      </c>
      <c r="P34" s="1" t="s">
        <v>3632</v>
      </c>
      <c r="Q34" s="1" t="s">
        <v>3594</v>
      </c>
      <c r="R34" s="4" t="s">
        <v>3320</v>
      </c>
      <c r="S34" s="4" t="s">
        <v>3633</v>
      </c>
    </row>
    <row r="35" spans="1:19" ht="60" x14ac:dyDescent="0.25">
      <c r="A35" s="1"/>
      <c r="B35" s="4" t="s">
        <v>3</v>
      </c>
      <c r="C35" s="1"/>
      <c r="D35" s="4" t="s">
        <v>1711</v>
      </c>
      <c r="E35" s="1"/>
      <c r="F35" s="4" t="s">
        <v>394</v>
      </c>
      <c r="G35" s="4" t="s">
        <v>1012</v>
      </c>
      <c r="H35" s="1">
        <v>1</v>
      </c>
      <c r="I35" s="1" t="s">
        <v>846</v>
      </c>
      <c r="J35" s="73">
        <v>3243107999</v>
      </c>
      <c r="K35" s="1">
        <v>7840</v>
      </c>
      <c r="L35" s="1">
        <v>3998</v>
      </c>
      <c r="M35" s="1">
        <v>3842</v>
      </c>
      <c r="N35" s="1"/>
      <c r="O35" s="1" t="s">
        <v>250</v>
      </c>
      <c r="P35" s="1" t="s">
        <v>3632</v>
      </c>
      <c r="Q35" s="1" t="s">
        <v>3594</v>
      </c>
      <c r="R35" s="4" t="s">
        <v>3320</v>
      </c>
      <c r="S35" s="4" t="s">
        <v>3633</v>
      </c>
    </row>
    <row r="36" spans="1:19" ht="60" x14ac:dyDescent="0.25">
      <c r="A36" s="1"/>
      <c r="B36" s="4" t="s">
        <v>3</v>
      </c>
      <c r="C36" s="1"/>
      <c r="D36" s="4" t="s">
        <v>1711</v>
      </c>
      <c r="E36" s="1"/>
      <c r="F36" s="4" t="s">
        <v>2946</v>
      </c>
      <c r="G36" s="4" t="s">
        <v>1012</v>
      </c>
      <c r="H36" s="1">
        <v>27</v>
      </c>
      <c r="I36" s="1" t="s">
        <v>1275</v>
      </c>
      <c r="J36" s="73">
        <v>27359000</v>
      </c>
      <c r="K36" s="1">
        <v>1</v>
      </c>
      <c r="L36" s="1">
        <v>1</v>
      </c>
      <c r="M36" s="1"/>
      <c r="N36" s="1"/>
      <c r="O36" s="1" t="s">
        <v>2715</v>
      </c>
      <c r="P36" s="1" t="s">
        <v>3588</v>
      </c>
      <c r="Q36" s="1" t="s">
        <v>3589</v>
      </c>
      <c r="R36" s="4" t="s">
        <v>3000</v>
      </c>
      <c r="S36" s="4" t="s">
        <v>3633</v>
      </c>
    </row>
    <row r="37" spans="1:19" ht="69" customHeight="1" x14ac:dyDescent="0.25">
      <c r="A37" s="1"/>
      <c r="B37" s="4" t="s">
        <v>3</v>
      </c>
      <c r="C37" s="1"/>
      <c r="D37" s="4" t="s">
        <v>1711</v>
      </c>
      <c r="E37" s="1"/>
      <c r="F37" s="4" t="s">
        <v>2960</v>
      </c>
      <c r="G37" s="4" t="s">
        <v>1012</v>
      </c>
      <c r="H37" s="1">
        <v>4.75</v>
      </c>
      <c r="I37" s="1" t="s">
        <v>1275</v>
      </c>
      <c r="J37" s="73">
        <v>4305420</v>
      </c>
      <c r="K37" s="1">
        <v>7840</v>
      </c>
      <c r="L37" s="1">
        <v>3998</v>
      </c>
      <c r="M37" s="1">
        <v>3842</v>
      </c>
      <c r="N37" s="1"/>
      <c r="O37" s="1" t="s">
        <v>2715</v>
      </c>
      <c r="P37" s="1" t="s">
        <v>3588</v>
      </c>
      <c r="Q37" s="1" t="s">
        <v>3589</v>
      </c>
      <c r="R37" s="4" t="s">
        <v>3000</v>
      </c>
      <c r="S37" s="4" t="s">
        <v>3633</v>
      </c>
    </row>
    <row r="38" spans="1:19" ht="75" x14ac:dyDescent="0.25">
      <c r="A38" s="1"/>
      <c r="B38" s="4" t="s">
        <v>3</v>
      </c>
      <c r="C38" s="1"/>
      <c r="D38" s="4" t="s">
        <v>1711</v>
      </c>
      <c r="E38" s="1"/>
      <c r="F38" s="4" t="s">
        <v>2962</v>
      </c>
      <c r="G38" s="4" t="s">
        <v>1012</v>
      </c>
      <c r="H38" s="1">
        <v>29.4</v>
      </c>
      <c r="I38" s="1" t="s">
        <v>1275</v>
      </c>
      <c r="J38" s="73">
        <v>15798000</v>
      </c>
      <c r="K38" s="1">
        <v>8</v>
      </c>
      <c r="L38" s="1">
        <v>8</v>
      </c>
      <c r="M38" s="1"/>
      <c r="N38" s="1"/>
      <c r="O38" s="1" t="s">
        <v>2715</v>
      </c>
      <c r="P38" s="1" t="s">
        <v>3589</v>
      </c>
      <c r="Q38" s="1" t="s">
        <v>3590</v>
      </c>
      <c r="R38" s="4" t="s">
        <v>3000</v>
      </c>
      <c r="S38" s="4" t="s">
        <v>3633</v>
      </c>
    </row>
    <row r="39" spans="1:19" ht="58.9" customHeight="1" x14ac:dyDescent="0.25">
      <c r="A39" s="1"/>
      <c r="B39" s="4" t="s">
        <v>3</v>
      </c>
      <c r="C39" s="1"/>
      <c r="D39" s="4" t="s">
        <v>1711</v>
      </c>
      <c r="E39" s="1"/>
      <c r="F39" s="4" t="s">
        <v>2970</v>
      </c>
      <c r="G39" s="4" t="s">
        <v>1012</v>
      </c>
      <c r="H39" s="1">
        <v>30.4</v>
      </c>
      <c r="I39" s="1" t="s">
        <v>1275</v>
      </c>
      <c r="J39" s="73">
        <v>20497000</v>
      </c>
      <c r="K39" s="1">
        <v>6</v>
      </c>
      <c r="L39" s="1">
        <v>4</v>
      </c>
      <c r="M39" s="1">
        <v>2</v>
      </c>
      <c r="N39" s="1"/>
      <c r="O39" s="1" t="s">
        <v>2715</v>
      </c>
      <c r="P39" s="1" t="s">
        <v>3588</v>
      </c>
      <c r="Q39" s="1" t="s">
        <v>3589</v>
      </c>
      <c r="R39" s="4" t="s">
        <v>3000</v>
      </c>
      <c r="S39" s="4" t="s">
        <v>3633</v>
      </c>
    </row>
    <row r="40" spans="1:19" ht="67.900000000000006" customHeight="1" x14ac:dyDescent="0.25">
      <c r="A40" s="1"/>
      <c r="B40" s="4" t="s">
        <v>3</v>
      </c>
      <c r="C40" s="1"/>
      <c r="D40" s="4" t="s">
        <v>1711</v>
      </c>
      <c r="E40" s="1"/>
      <c r="F40" s="4" t="s">
        <v>3433</v>
      </c>
      <c r="G40" s="4" t="s">
        <v>1012</v>
      </c>
      <c r="H40" s="1">
        <v>48.4</v>
      </c>
      <c r="I40" s="1" t="s">
        <v>455</v>
      </c>
      <c r="J40" s="73">
        <v>81599000</v>
      </c>
      <c r="K40" s="1">
        <v>7840</v>
      </c>
      <c r="L40" s="1">
        <v>3998</v>
      </c>
      <c r="M40" s="1">
        <v>3842</v>
      </c>
      <c r="N40" s="1"/>
      <c r="O40" s="1" t="s">
        <v>2715</v>
      </c>
      <c r="P40" s="1" t="s">
        <v>3590</v>
      </c>
      <c r="Q40" s="1" t="s">
        <v>3591</v>
      </c>
      <c r="R40" s="4" t="s">
        <v>3000</v>
      </c>
      <c r="S40" s="4" t="s">
        <v>3633</v>
      </c>
    </row>
    <row r="41" spans="1:19" ht="105" customHeight="1" x14ac:dyDescent="0.25">
      <c r="A41" s="1"/>
      <c r="B41" s="4" t="s">
        <v>3</v>
      </c>
      <c r="C41" s="1"/>
      <c r="D41" s="4" t="s">
        <v>1711</v>
      </c>
      <c r="E41" s="1"/>
      <c r="F41" s="4" t="s">
        <v>1717</v>
      </c>
      <c r="G41" s="4" t="s">
        <v>1012</v>
      </c>
      <c r="H41" s="1">
        <v>126</v>
      </c>
      <c r="I41" s="1" t="s">
        <v>1275</v>
      </c>
      <c r="J41" s="73">
        <v>8177600</v>
      </c>
      <c r="K41" s="1">
        <v>7840</v>
      </c>
      <c r="L41" s="1">
        <v>3998</v>
      </c>
      <c r="M41" s="1">
        <v>3842</v>
      </c>
      <c r="N41" s="1"/>
      <c r="O41" s="1" t="s">
        <v>2715</v>
      </c>
      <c r="P41" s="1" t="s">
        <v>3589</v>
      </c>
      <c r="Q41" s="1" t="s">
        <v>3590</v>
      </c>
      <c r="R41" s="4" t="s">
        <v>3000</v>
      </c>
      <c r="S41" s="4" t="s">
        <v>3633</v>
      </c>
    </row>
    <row r="42" spans="1:19" ht="120" x14ac:dyDescent="0.25">
      <c r="A42" s="1"/>
      <c r="B42" s="4" t="s">
        <v>3</v>
      </c>
      <c r="C42" s="1"/>
      <c r="D42" s="4" t="s">
        <v>1711</v>
      </c>
      <c r="E42" s="1"/>
      <c r="F42" s="4" t="s">
        <v>2654</v>
      </c>
      <c r="G42" s="4" t="s">
        <v>1012</v>
      </c>
      <c r="H42" s="1">
        <v>1</v>
      </c>
      <c r="I42" s="1" t="s">
        <v>846</v>
      </c>
      <c r="J42" s="73">
        <v>50750000</v>
      </c>
      <c r="K42" s="1">
        <v>7840</v>
      </c>
      <c r="L42" s="1">
        <v>3998</v>
      </c>
      <c r="M42" s="1">
        <v>3842</v>
      </c>
      <c r="N42" s="1"/>
      <c r="O42" s="1" t="s">
        <v>250</v>
      </c>
      <c r="P42" s="1" t="s">
        <v>3632</v>
      </c>
      <c r="Q42" s="1" t="s">
        <v>3594</v>
      </c>
      <c r="R42" s="4" t="s">
        <v>3634</v>
      </c>
      <c r="S42" s="4" t="s">
        <v>3633</v>
      </c>
    </row>
    <row r="43" spans="1:19" ht="70.150000000000006" customHeight="1" x14ac:dyDescent="0.25">
      <c r="A43" s="1"/>
      <c r="B43" s="4" t="s">
        <v>3</v>
      </c>
      <c r="C43" s="1"/>
      <c r="D43" s="4" t="s">
        <v>318</v>
      </c>
      <c r="E43" s="1"/>
      <c r="F43" s="4" t="s">
        <v>2326</v>
      </c>
      <c r="G43" s="4" t="s">
        <v>1012</v>
      </c>
      <c r="H43" s="1">
        <v>1</v>
      </c>
      <c r="I43" s="1" t="s">
        <v>3282</v>
      </c>
      <c r="J43" s="73">
        <v>5800000</v>
      </c>
      <c r="K43" s="1">
        <v>7840</v>
      </c>
      <c r="L43" s="1">
        <v>3998</v>
      </c>
      <c r="M43" s="1">
        <v>3842</v>
      </c>
      <c r="N43" s="1"/>
      <c r="O43" s="1" t="s">
        <v>250</v>
      </c>
      <c r="P43" s="1" t="s">
        <v>3632</v>
      </c>
      <c r="Q43" s="1" t="s">
        <v>3594</v>
      </c>
      <c r="R43" s="4" t="s">
        <v>3635</v>
      </c>
      <c r="S43" s="4" t="s">
        <v>3633</v>
      </c>
    </row>
    <row r="44" spans="1:19" ht="60" x14ac:dyDescent="0.25">
      <c r="A44" s="1"/>
      <c r="B44" s="4" t="s">
        <v>3</v>
      </c>
      <c r="C44" s="1"/>
      <c r="D44" s="4" t="s">
        <v>318</v>
      </c>
      <c r="E44" s="1"/>
      <c r="F44" s="4" t="s">
        <v>1782</v>
      </c>
      <c r="G44" s="4" t="s">
        <v>1012</v>
      </c>
      <c r="H44" s="1">
        <v>1</v>
      </c>
      <c r="I44" s="1" t="s">
        <v>3282</v>
      </c>
      <c r="J44" s="73">
        <v>1900000</v>
      </c>
      <c r="K44" s="1">
        <v>7840</v>
      </c>
      <c r="L44" s="1">
        <v>3998</v>
      </c>
      <c r="M44" s="1">
        <v>3842</v>
      </c>
      <c r="N44" s="1"/>
      <c r="O44" s="1" t="s">
        <v>250</v>
      </c>
      <c r="P44" s="1" t="s">
        <v>3632</v>
      </c>
      <c r="Q44" s="1" t="s">
        <v>3594</v>
      </c>
      <c r="R44" s="4" t="s">
        <v>3635</v>
      </c>
      <c r="S44" s="4" t="s">
        <v>3633</v>
      </c>
    </row>
    <row r="45" spans="1:19" ht="105" customHeight="1" x14ac:dyDescent="0.25">
      <c r="A45" s="1"/>
      <c r="B45" s="4" t="s">
        <v>3</v>
      </c>
      <c r="C45" s="1"/>
      <c r="D45" s="4" t="s">
        <v>318</v>
      </c>
      <c r="E45" s="1"/>
      <c r="F45" s="4" t="s">
        <v>302</v>
      </c>
      <c r="G45" s="4" t="s">
        <v>1012</v>
      </c>
      <c r="H45" s="1">
        <v>2</v>
      </c>
      <c r="I45" s="1" t="s">
        <v>3282</v>
      </c>
      <c r="J45" s="73">
        <v>40260000</v>
      </c>
      <c r="K45" s="1">
        <v>7840</v>
      </c>
      <c r="L45" s="1">
        <v>3998</v>
      </c>
      <c r="M45" s="1">
        <v>3842</v>
      </c>
      <c r="N45" s="1"/>
      <c r="O45" s="1" t="s">
        <v>3636</v>
      </c>
      <c r="P45" s="1" t="s">
        <v>3588</v>
      </c>
      <c r="Q45" s="1" t="s">
        <v>3593</v>
      </c>
      <c r="R45" s="4" t="s">
        <v>3635</v>
      </c>
      <c r="S45" s="4" t="s">
        <v>3633</v>
      </c>
    </row>
    <row r="46" spans="1:19" ht="90" x14ac:dyDescent="0.25">
      <c r="A46" s="1"/>
      <c r="B46" s="4" t="s">
        <v>3</v>
      </c>
      <c r="C46" s="1"/>
      <c r="D46" s="4" t="s">
        <v>338</v>
      </c>
      <c r="E46" s="1"/>
      <c r="F46" s="4" t="s">
        <v>340</v>
      </c>
      <c r="G46" s="4" t="s">
        <v>1012</v>
      </c>
      <c r="H46" s="1">
        <v>4</v>
      </c>
      <c r="I46" s="1" t="s">
        <v>3282</v>
      </c>
      <c r="J46" s="73">
        <v>35400000</v>
      </c>
      <c r="K46" s="1">
        <v>7840</v>
      </c>
      <c r="L46" s="1">
        <v>3998</v>
      </c>
      <c r="M46" s="1">
        <v>3842</v>
      </c>
      <c r="N46" s="1"/>
      <c r="O46" s="1" t="s">
        <v>250</v>
      </c>
      <c r="P46" s="1" t="s">
        <v>3632</v>
      </c>
      <c r="Q46" s="1" t="s">
        <v>3594</v>
      </c>
      <c r="R46" s="4" t="s">
        <v>3634</v>
      </c>
      <c r="S46" s="4" t="s">
        <v>3633</v>
      </c>
    </row>
    <row r="47" spans="1:19" ht="150" x14ac:dyDescent="0.25">
      <c r="A47" s="1"/>
      <c r="B47" s="4" t="s">
        <v>3</v>
      </c>
      <c r="C47" s="1"/>
      <c r="D47" s="4" t="s">
        <v>338</v>
      </c>
      <c r="E47" s="1"/>
      <c r="F47" s="4" t="s">
        <v>356</v>
      </c>
      <c r="G47" s="4" t="s">
        <v>1012</v>
      </c>
      <c r="H47" s="1">
        <v>4</v>
      </c>
      <c r="I47" s="1" t="s">
        <v>3282</v>
      </c>
      <c r="J47" s="73">
        <v>33176000</v>
      </c>
      <c r="K47" s="1">
        <v>7840</v>
      </c>
      <c r="L47" s="1">
        <v>3998</v>
      </c>
      <c r="M47" s="1">
        <v>3842</v>
      </c>
      <c r="N47" s="1"/>
      <c r="O47" s="1" t="s">
        <v>250</v>
      </c>
      <c r="P47" s="1" t="s">
        <v>3632</v>
      </c>
      <c r="Q47" s="1" t="s">
        <v>3594</v>
      </c>
      <c r="R47" s="4" t="s">
        <v>3634</v>
      </c>
      <c r="S47" s="4" t="s">
        <v>3633</v>
      </c>
    </row>
    <row r="48" spans="1:19" ht="71.45" customHeight="1" x14ac:dyDescent="0.25">
      <c r="A48" s="1"/>
      <c r="B48" s="4" t="s">
        <v>3</v>
      </c>
      <c r="C48" s="1"/>
      <c r="D48" s="4" t="s">
        <v>338</v>
      </c>
      <c r="E48" s="1"/>
      <c r="F48" s="4" t="s">
        <v>361</v>
      </c>
      <c r="G48" s="4" t="s">
        <v>1012</v>
      </c>
      <c r="H48" s="1">
        <v>4</v>
      </c>
      <c r="I48" s="1" t="s">
        <v>3282</v>
      </c>
      <c r="J48" s="73">
        <v>24160000</v>
      </c>
      <c r="K48" s="1">
        <v>7840</v>
      </c>
      <c r="L48" s="1">
        <v>3998</v>
      </c>
      <c r="M48" s="1">
        <v>3842</v>
      </c>
      <c r="N48" s="1"/>
      <c r="O48" s="1" t="s">
        <v>250</v>
      </c>
      <c r="P48" s="1" t="s">
        <v>3632</v>
      </c>
      <c r="Q48" s="1" t="s">
        <v>3594</v>
      </c>
      <c r="R48" s="4" t="s">
        <v>3634</v>
      </c>
      <c r="S48" s="4" t="s">
        <v>3633</v>
      </c>
    </row>
    <row r="49" spans="1:19" ht="75" x14ac:dyDescent="0.25">
      <c r="A49" s="1"/>
      <c r="B49" s="4" t="s">
        <v>3</v>
      </c>
      <c r="C49" s="1"/>
      <c r="D49" s="4" t="s">
        <v>338</v>
      </c>
      <c r="E49" s="1"/>
      <c r="F49" s="4" t="s">
        <v>1791</v>
      </c>
      <c r="G49" s="4" t="s">
        <v>1012</v>
      </c>
      <c r="H49" s="1">
        <v>1</v>
      </c>
      <c r="I49" s="1" t="s">
        <v>3282</v>
      </c>
      <c r="J49" s="73">
        <v>34540000</v>
      </c>
      <c r="K49" s="1">
        <v>7840</v>
      </c>
      <c r="L49" s="1">
        <v>3998</v>
      </c>
      <c r="M49" s="1">
        <v>3842</v>
      </c>
      <c r="N49" s="1"/>
      <c r="O49" s="1" t="s">
        <v>3637</v>
      </c>
      <c r="P49" s="1" t="s">
        <v>3588</v>
      </c>
      <c r="Q49" s="1" t="s">
        <v>3590</v>
      </c>
      <c r="R49" s="4" t="s">
        <v>3634</v>
      </c>
      <c r="S49" s="4" t="s">
        <v>3633</v>
      </c>
    </row>
    <row r="50" spans="1:19" ht="75" x14ac:dyDescent="0.25">
      <c r="A50" s="1"/>
      <c r="B50" s="4" t="s">
        <v>3</v>
      </c>
      <c r="C50" s="1"/>
      <c r="D50" s="4" t="s">
        <v>338</v>
      </c>
      <c r="E50" s="1"/>
      <c r="F50" s="4" t="s">
        <v>1792</v>
      </c>
      <c r="G50" s="4" t="s">
        <v>1012</v>
      </c>
      <c r="H50" s="1">
        <v>1</v>
      </c>
      <c r="I50" s="1" t="s">
        <v>3282</v>
      </c>
      <c r="J50" s="73">
        <v>6105000</v>
      </c>
      <c r="K50" s="1">
        <v>7840</v>
      </c>
      <c r="L50" s="1">
        <v>3998</v>
      </c>
      <c r="M50" s="1">
        <v>3842</v>
      </c>
      <c r="N50" s="1"/>
      <c r="O50" s="1" t="s">
        <v>2715</v>
      </c>
      <c r="P50" s="1" t="s">
        <v>3593</v>
      </c>
      <c r="Q50" s="1" t="s">
        <v>3594</v>
      </c>
      <c r="R50" s="4" t="s">
        <v>3634</v>
      </c>
      <c r="S50" s="4" t="s">
        <v>3633</v>
      </c>
    </row>
    <row r="51" spans="1:19" ht="80.45" customHeight="1" x14ac:dyDescent="0.25">
      <c r="A51" s="1"/>
      <c r="B51" s="4" t="s">
        <v>3</v>
      </c>
      <c r="C51" s="1"/>
      <c r="D51" s="4" t="s">
        <v>338</v>
      </c>
      <c r="E51" s="1"/>
      <c r="F51" s="4" t="s">
        <v>1793</v>
      </c>
      <c r="G51" s="4" t="s">
        <v>1012</v>
      </c>
      <c r="H51" s="1">
        <v>1</v>
      </c>
      <c r="I51" s="1" t="s">
        <v>3282</v>
      </c>
      <c r="J51" s="73">
        <v>7615000</v>
      </c>
      <c r="K51" s="1">
        <v>7840</v>
      </c>
      <c r="L51" s="1">
        <v>3998</v>
      </c>
      <c r="M51" s="1">
        <v>3842</v>
      </c>
      <c r="N51" s="1"/>
      <c r="O51" s="1" t="s">
        <v>2715</v>
      </c>
      <c r="P51" s="1" t="s">
        <v>3589</v>
      </c>
      <c r="Q51" s="1" t="s">
        <v>3590</v>
      </c>
      <c r="R51" s="4" t="s">
        <v>3634</v>
      </c>
      <c r="S51" s="4" t="s">
        <v>3633</v>
      </c>
    </row>
    <row r="52" spans="1:19" ht="61.15" customHeight="1" x14ac:dyDescent="0.25">
      <c r="A52" s="1"/>
      <c r="B52" s="4" t="s">
        <v>3</v>
      </c>
      <c r="C52" s="1"/>
      <c r="D52" s="4" t="s">
        <v>338</v>
      </c>
      <c r="E52" s="1"/>
      <c r="F52" s="4" t="s">
        <v>1794</v>
      </c>
      <c r="G52" s="4" t="s">
        <v>1012</v>
      </c>
      <c r="H52" s="1">
        <v>1</v>
      </c>
      <c r="I52" s="1" t="s">
        <v>3282</v>
      </c>
      <c r="J52" s="73">
        <v>1660750</v>
      </c>
      <c r="K52" s="1">
        <v>7840</v>
      </c>
      <c r="L52" s="1">
        <v>3998</v>
      </c>
      <c r="M52" s="1">
        <v>3842</v>
      </c>
      <c r="N52" s="1"/>
      <c r="O52" s="1" t="s">
        <v>2725</v>
      </c>
      <c r="P52" s="1" t="s">
        <v>3585</v>
      </c>
      <c r="Q52" s="1" t="s">
        <v>3585</v>
      </c>
      <c r="R52" s="4" t="s">
        <v>3634</v>
      </c>
      <c r="S52" s="4" t="s">
        <v>3633</v>
      </c>
    </row>
    <row r="53" spans="1:19" ht="105" x14ac:dyDescent="0.25">
      <c r="A53" s="1"/>
      <c r="B53" s="4" t="s">
        <v>3</v>
      </c>
      <c r="C53" s="1"/>
      <c r="D53" s="4" t="s">
        <v>338</v>
      </c>
      <c r="E53" s="1"/>
      <c r="F53" s="4" t="s">
        <v>370</v>
      </c>
      <c r="G53" s="4" t="s">
        <v>1012</v>
      </c>
      <c r="H53" s="1">
        <v>1</v>
      </c>
      <c r="I53" s="1" t="s">
        <v>3282</v>
      </c>
      <c r="J53" s="73">
        <v>1500000</v>
      </c>
      <c r="K53" s="1">
        <v>7840</v>
      </c>
      <c r="L53" s="1">
        <v>3998</v>
      </c>
      <c r="M53" s="1">
        <v>3842</v>
      </c>
      <c r="N53" s="1"/>
      <c r="O53" s="1" t="s">
        <v>2725</v>
      </c>
      <c r="P53" s="1" t="s">
        <v>3585</v>
      </c>
      <c r="Q53" s="1" t="s">
        <v>3585</v>
      </c>
      <c r="R53" s="4" t="s">
        <v>3634</v>
      </c>
      <c r="S53" s="4" t="s">
        <v>3633</v>
      </c>
    </row>
    <row r="54" spans="1:19" ht="43.15" customHeight="1" x14ac:dyDescent="0.25">
      <c r="A54" s="1"/>
      <c r="B54" s="4"/>
      <c r="C54" s="1"/>
      <c r="D54" s="4"/>
      <c r="E54" s="1"/>
      <c r="F54" s="4"/>
      <c r="G54" s="4"/>
      <c r="H54" s="1"/>
      <c r="I54" s="1"/>
      <c r="J54" s="73"/>
      <c r="K54" s="1"/>
      <c r="L54" s="1"/>
      <c r="M54" s="1"/>
      <c r="N54" s="1"/>
      <c r="O54" s="1"/>
      <c r="P54" s="1"/>
      <c r="Q54" s="1"/>
      <c r="R54" s="4"/>
      <c r="S54" s="4"/>
    </row>
    <row r="55" spans="1:19" ht="120" x14ac:dyDescent="0.25">
      <c r="A55" s="1"/>
      <c r="B55" s="4" t="s">
        <v>537</v>
      </c>
      <c r="C55" s="1"/>
      <c r="D55" s="1" t="s">
        <v>539</v>
      </c>
      <c r="E55" s="1"/>
      <c r="F55" s="4" t="s">
        <v>540</v>
      </c>
      <c r="G55" s="4" t="s">
        <v>1012</v>
      </c>
      <c r="H55" s="1">
        <v>12</v>
      </c>
      <c r="I55" s="1" t="s">
        <v>3638</v>
      </c>
      <c r="J55" s="73">
        <v>276660000</v>
      </c>
      <c r="K55" s="1">
        <v>7840</v>
      </c>
      <c r="L55" s="1">
        <v>3998</v>
      </c>
      <c r="M55" s="1">
        <v>3842</v>
      </c>
      <c r="N55" s="1"/>
      <c r="O55" s="1" t="s">
        <v>250</v>
      </c>
      <c r="P55" s="1" t="s">
        <v>3632</v>
      </c>
      <c r="Q55" s="1" t="s">
        <v>3594</v>
      </c>
      <c r="R55" s="4" t="s">
        <v>3639</v>
      </c>
      <c r="S55" s="4" t="s">
        <v>3633</v>
      </c>
    </row>
    <row r="56" spans="1:19" ht="109.15" customHeight="1" x14ac:dyDescent="0.25">
      <c r="A56" s="1"/>
      <c r="B56" s="4" t="s">
        <v>537</v>
      </c>
      <c r="C56" s="1"/>
      <c r="D56" s="1" t="s">
        <v>539</v>
      </c>
      <c r="E56" s="1"/>
      <c r="F56" s="4" t="s">
        <v>3116</v>
      </c>
      <c r="G56" s="4" t="s">
        <v>1012</v>
      </c>
      <c r="H56" s="1">
        <v>21</v>
      </c>
      <c r="I56" s="1" t="s">
        <v>3282</v>
      </c>
      <c r="J56" s="73">
        <v>18008000</v>
      </c>
      <c r="K56" s="1">
        <v>7840</v>
      </c>
      <c r="L56" s="1">
        <v>3998</v>
      </c>
      <c r="M56" s="1">
        <v>3842</v>
      </c>
      <c r="N56" s="1"/>
      <c r="O56" s="1" t="s">
        <v>2725</v>
      </c>
      <c r="P56" s="1" t="s">
        <v>3584</v>
      </c>
      <c r="Q56" s="1" t="s">
        <v>3584</v>
      </c>
      <c r="R56" s="4" t="s">
        <v>3639</v>
      </c>
      <c r="S56" s="4" t="s">
        <v>3633</v>
      </c>
    </row>
    <row r="57" spans="1:19" ht="135" x14ac:dyDescent="0.25">
      <c r="A57" s="1"/>
      <c r="B57" s="4" t="s">
        <v>537</v>
      </c>
      <c r="C57" s="1"/>
      <c r="D57" s="1" t="s">
        <v>539</v>
      </c>
      <c r="E57" s="1"/>
      <c r="F57" s="4" t="s">
        <v>1400</v>
      </c>
      <c r="G57" s="4" t="s">
        <v>1012</v>
      </c>
      <c r="H57" s="1">
        <v>12</v>
      </c>
      <c r="I57" s="1" t="s">
        <v>3638</v>
      </c>
      <c r="J57" s="73">
        <v>6979246</v>
      </c>
      <c r="K57" s="1">
        <v>7840</v>
      </c>
      <c r="L57" s="1">
        <v>3998</v>
      </c>
      <c r="M57" s="1">
        <v>3842</v>
      </c>
      <c r="N57" s="1"/>
      <c r="O57" s="1" t="s">
        <v>250</v>
      </c>
      <c r="P57" s="1" t="s">
        <v>3632</v>
      </c>
      <c r="Q57" s="1" t="s">
        <v>3594</v>
      </c>
      <c r="R57" s="4" t="s">
        <v>3320</v>
      </c>
      <c r="S57" s="4" t="s">
        <v>3633</v>
      </c>
    </row>
    <row r="58" spans="1:19" ht="75" x14ac:dyDescent="0.25">
      <c r="A58" s="1"/>
      <c r="B58" s="4" t="s">
        <v>537</v>
      </c>
      <c r="C58" s="1"/>
      <c r="D58" s="4" t="s">
        <v>647</v>
      </c>
      <c r="E58" s="1"/>
      <c r="F58" s="4" t="s">
        <v>1854</v>
      </c>
      <c r="G58" s="4" t="s">
        <v>1012</v>
      </c>
      <c r="H58" s="1">
        <v>12</v>
      </c>
      <c r="I58" s="1" t="s">
        <v>3638</v>
      </c>
      <c r="J58" s="73">
        <v>883933100</v>
      </c>
      <c r="K58" s="1">
        <v>7840</v>
      </c>
      <c r="L58" s="1">
        <v>3998</v>
      </c>
      <c r="M58" s="1">
        <v>3842</v>
      </c>
      <c r="N58" s="1"/>
      <c r="O58" s="1" t="s">
        <v>250</v>
      </c>
      <c r="P58" s="1" t="s">
        <v>3632</v>
      </c>
      <c r="Q58" s="1" t="s">
        <v>3594</v>
      </c>
      <c r="R58" s="4" t="s">
        <v>3640</v>
      </c>
      <c r="S58" s="4" t="s">
        <v>3633</v>
      </c>
    </row>
    <row r="59" spans="1:19" ht="66.599999999999994" customHeight="1" x14ac:dyDescent="0.25">
      <c r="A59" s="1"/>
      <c r="B59" s="4" t="s">
        <v>537</v>
      </c>
      <c r="C59" s="1"/>
      <c r="D59" s="4" t="s">
        <v>647</v>
      </c>
      <c r="E59" s="1"/>
      <c r="F59" s="4" t="s">
        <v>657</v>
      </c>
      <c r="G59" s="4" t="s">
        <v>1012</v>
      </c>
      <c r="H59" s="1">
        <v>1</v>
      </c>
      <c r="I59" s="1" t="s">
        <v>3282</v>
      </c>
      <c r="J59" s="73">
        <v>3095000</v>
      </c>
      <c r="K59" s="1">
        <v>7840</v>
      </c>
      <c r="L59" s="1">
        <v>3998</v>
      </c>
      <c r="M59" s="1">
        <v>3842</v>
      </c>
      <c r="N59" s="1"/>
      <c r="O59" s="1" t="s">
        <v>2725</v>
      </c>
      <c r="P59" s="1" t="s">
        <v>3587</v>
      </c>
      <c r="Q59" s="1" t="s">
        <v>3587</v>
      </c>
      <c r="R59" s="4" t="s">
        <v>3640</v>
      </c>
      <c r="S59" s="4" t="s">
        <v>3633</v>
      </c>
    </row>
    <row r="60" spans="1:19" ht="76.900000000000006" customHeight="1" x14ac:dyDescent="0.25">
      <c r="A60" s="1"/>
      <c r="B60" s="4" t="s">
        <v>537</v>
      </c>
      <c r="C60" s="1"/>
      <c r="D60" s="4" t="s">
        <v>647</v>
      </c>
      <c r="E60" s="1"/>
      <c r="F60" s="4" t="s">
        <v>1855</v>
      </c>
      <c r="G60" s="4" t="s">
        <v>1012</v>
      </c>
      <c r="H60" s="1">
        <v>13</v>
      </c>
      <c r="I60" s="1" t="s">
        <v>3282</v>
      </c>
      <c r="J60" s="73">
        <v>8410000</v>
      </c>
      <c r="K60" s="1">
        <v>7840</v>
      </c>
      <c r="L60" s="1">
        <v>3998</v>
      </c>
      <c r="M60" s="1">
        <v>3842</v>
      </c>
      <c r="N60" s="1"/>
      <c r="O60" s="1" t="s">
        <v>2725</v>
      </c>
      <c r="P60" s="1" t="s">
        <v>3590</v>
      </c>
      <c r="Q60" s="1" t="s">
        <v>3590</v>
      </c>
      <c r="R60" s="4" t="s">
        <v>3640</v>
      </c>
      <c r="S60" s="4" t="s">
        <v>3633</v>
      </c>
    </row>
    <row r="61" spans="1:19" ht="75" x14ac:dyDescent="0.25">
      <c r="A61" s="1"/>
      <c r="B61" s="4" t="s">
        <v>537</v>
      </c>
      <c r="C61" s="1"/>
      <c r="D61" s="4" t="s">
        <v>647</v>
      </c>
      <c r="E61" s="1"/>
      <c r="F61" s="4" t="s">
        <v>2432</v>
      </c>
      <c r="G61" s="4" t="s">
        <v>1012</v>
      </c>
      <c r="H61" s="1">
        <v>20</v>
      </c>
      <c r="I61" s="1" t="s">
        <v>3282</v>
      </c>
      <c r="J61" s="73">
        <v>11814900</v>
      </c>
      <c r="K61" s="1">
        <v>7840</v>
      </c>
      <c r="L61" s="1">
        <v>3998</v>
      </c>
      <c r="M61" s="1">
        <v>3842</v>
      </c>
      <c r="N61" s="1"/>
      <c r="O61" s="1" t="s">
        <v>250</v>
      </c>
      <c r="P61" s="1" t="s">
        <v>3632</v>
      </c>
      <c r="Q61" s="1" t="s">
        <v>3594</v>
      </c>
      <c r="R61" s="4" t="s">
        <v>3640</v>
      </c>
      <c r="S61" s="4" t="s">
        <v>3633</v>
      </c>
    </row>
    <row r="62" spans="1:19" ht="115.9" customHeight="1" x14ac:dyDescent="0.25">
      <c r="A62" s="1"/>
      <c r="B62" s="4" t="s">
        <v>537</v>
      </c>
      <c r="C62" s="1"/>
      <c r="D62" s="4" t="s">
        <v>647</v>
      </c>
      <c r="E62" s="1"/>
      <c r="F62" s="4" t="s">
        <v>1488</v>
      </c>
      <c r="G62" s="4" t="s">
        <v>1012</v>
      </c>
      <c r="H62" s="1">
        <v>1</v>
      </c>
      <c r="I62" s="1" t="s">
        <v>126</v>
      </c>
      <c r="J62" s="73">
        <v>3757000</v>
      </c>
      <c r="K62" s="1">
        <v>7840</v>
      </c>
      <c r="L62" s="1">
        <v>3998</v>
      </c>
      <c r="M62" s="1">
        <v>3842</v>
      </c>
      <c r="N62" s="1"/>
      <c r="O62" s="1" t="s">
        <v>2725</v>
      </c>
      <c r="P62" s="1" t="s">
        <v>3587</v>
      </c>
      <c r="Q62" s="1" t="s">
        <v>3587</v>
      </c>
      <c r="R62" s="4" t="s">
        <v>3640</v>
      </c>
      <c r="S62" s="4" t="s">
        <v>3633</v>
      </c>
    </row>
    <row r="63" spans="1:19" ht="103.15" customHeight="1" x14ac:dyDescent="0.25">
      <c r="A63" s="1"/>
      <c r="B63" s="4" t="s">
        <v>537</v>
      </c>
      <c r="C63" s="1"/>
      <c r="D63" s="4" t="s">
        <v>647</v>
      </c>
      <c r="E63" s="1"/>
      <c r="F63" s="4" t="s">
        <v>3438</v>
      </c>
      <c r="G63" s="4" t="s">
        <v>1012</v>
      </c>
      <c r="H63" s="1">
        <v>1</v>
      </c>
      <c r="I63" s="1" t="s">
        <v>3282</v>
      </c>
      <c r="J63" s="73">
        <v>19592000</v>
      </c>
      <c r="K63" s="1">
        <v>7840</v>
      </c>
      <c r="L63" s="1">
        <v>3998</v>
      </c>
      <c r="M63" s="1">
        <v>3842</v>
      </c>
      <c r="N63" s="1"/>
      <c r="O63" s="1" t="s">
        <v>2725</v>
      </c>
      <c r="P63" s="1" t="s">
        <v>3586</v>
      </c>
      <c r="Q63" s="1" t="s">
        <v>3586</v>
      </c>
      <c r="R63" s="4" t="s">
        <v>3640</v>
      </c>
      <c r="S63" s="4" t="s">
        <v>3633</v>
      </c>
    </row>
    <row r="64" spans="1:19" ht="98.45" customHeight="1" x14ac:dyDescent="0.25">
      <c r="A64" s="1"/>
      <c r="B64" s="4" t="s">
        <v>537</v>
      </c>
      <c r="C64" s="1"/>
      <c r="D64" s="4" t="s">
        <v>647</v>
      </c>
      <c r="E64" s="1"/>
      <c r="F64" s="4" t="s">
        <v>681</v>
      </c>
      <c r="G64" s="4" t="s">
        <v>1012</v>
      </c>
      <c r="H64" s="1">
        <v>1</v>
      </c>
      <c r="I64" s="1" t="s">
        <v>3282</v>
      </c>
      <c r="J64" s="73">
        <v>25440000</v>
      </c>
      <c r="K64" s="1">
        <v>7840</v>
      </c>
      <c r="L64" s="1">
        <v>3998</v>
      </c>
      <c r="M64" s="1">
        <v>3842</v>
      </c>
      <c r="N64" s="1"/>
      <c r="O64" s="1" t="s">
        <v>2725</v>
      </c>
      <c r="P64" s="1" t="s">
        <v>3588</v>
      </c>
      <c r="Q64" s="1" t="s">
        <v>3588</v>
      </c>
      <c r="R64" s="4" t="s">
        <v>3640</v>
      </c>
      <c r="S64" s="4" t="s">
        <v>3633</v>
      </c>
    </row>
    <row r="65" spans="1:19" ht="79.900000000000006" customHeight="1" x14ac:dyDescent="0.25">
      <c r="A65" s="1"/>
      <c r="B65" s="4" t="s">
        <v>537</v>
      </c>
      <c r="C65" s="1"/>
      <c r="D65" s="4" t="s">
        <v>647</v>
      </c>
      <c r="E65" s="1"/>
      <c r="F65" s="4" t="s">
        <v>1545</v>
      </c>
      <c r="G65" s="4" t="s">
        <v>1012</v>
      </c>
      <c r="H65" s="1">
        <v>1</v>
      </c>
      <c r="I65" s="1" t="s">
        <v>3282</v>
      </c>
      <c r="J65" s="73">
        <v>25990000</v>
      </c>
      <c r="K65" s="1">
        <v>7840</v>
      </c>
      <c r="L65" s="1">
        <v>3998</v>
      </c>
      <c r="M65" s="1">
        <v>3842</v>
      </c>
      <c r="N65" s="1"/>
      <c r="O65" s="1" t="s">
        <v>2725</v>
      </c>
      <c r="P65" s="1" t="s">
        <v>3641</v>
      </c>
      <c r="Q65" s="1" t="s">
        <v>3585</v>
      </c>
      <c r="R65" s="4" t="s">
        <v>3640</v>
      </c>
      <c r="S65" s="4" t="s">
        <v>3633</v>
      </c>
    </row>
    <row r="66" spans="1:19" ht="105" x14ac:dyDescent="0.25">
      <c r="A66" s="1"/>
      <c r="B66" s="4" t="s">
        <v>537</v>
      </c>
      <c r="C66" s="1"/>
      <c r="D66" s="4" t="s">
        <v>647</v>
      </c>
      <c r="E66" s="1"/>
      <c r="F66" s="4" t="s">
        <v>1477</v>
      </c>
      <c r="G66" s="4" t="s">
        <v>1012</v>
      </c>
      <c r="H66" s="1">
        <v>1</v>
      </c>
      <c r="I66" s="1" t="s">
        <v>3282</v>
      </c>
      <c r="J66" s="73">
        <v>10261000</v>
      </c>
      <c r="K66" s="1">
        <v>7840</v>
      </c>
      <c r="L66" s="1">
        <v>3998</v>
      </c>
      <c r="M66" s="1">
        <v>3842</v>
      </c>
      <c r="N66" s="1"/>
      <c r="O66" s="1" t="s">
        <v>2725</v>
      </c>
      <c r="P66" s="1" t="s">
        <v>3586</v>
      </c>
      <c r="Q66" s="1" t="s">
        <v>3586</v>
      </c>
      <c r="R66" s="4" t="s">
        <v>3640</v>
      </c>
      <c r="S66" s="4" t="s">
        <v>3633</v>
      </c>
    </row>
    <row r="67" spans="1:19" ht="135" x14ac:dyDescent="0.25">
      <c r="A67" s="1"/>
      <c r="B67" s="4" t="s">
        <v>537</v>
      </c>
      <c r="C67" s="1"/>
      <c r="D67" s="4" t="s">
        <v>647</v>
      </c>
      <c r="E67" s="1"/>
      <c r="F67" s="4" t="s">
        <v>1484</v>
      </c>
      <c r="G67" s="4" t="s">
        <v>1012</v>
      </c>
      <c r="H67" s="1">
        <v>1</v>
      </c>
      <c r="I67" s="1" t="s">
        <v>3282</v>
      </c>
      <c r="J67" s="73">
        <v>8585000</v>
      </c>
      <c r="K67" s="1">
        <v>7840</v>
      </c>
      <c r="L67" s="1">
        <v>3998</v>
      </c>
      <c r="M67" s="1">
        <v>3842</v>
      </c>
      <c r="N67" s="1"/>
      <c r="O67" s="1" t="s">
        <v>2725</v>
      </c>
      <c r="P67" s="1" t="s">
        <v>3589</v>
      </c>
      <c r="Q67" s="1" t="s">
        <v>3589</v>
      </c>
      <c r="R67" s="4" t="s">
        <v>3640</v>
      </c>
      <c r="S67" s="4" t="s">
        <v>3633</v>
      </c>
    </row>
    <row r="68" spans="1:19" ht="90" x14ac:dyDescent="0.25">
      <c r="A68" s="1"/>
      <c r="B68" s="4" t="s">
        <v>537</v>
      </c>
      <c r="C68" s="1"/>
      <c r="D68" s="4" t="s">
        <v>647</v>
      </c>
      <c r="E68" s="1"/>
      <c r="F68" s="4" t="s">
        <v>1489</v>
      </c>
      <c r="G68" s="4" t="s">
        <v>1012</v>
      </c>
      <c r="H68" s="1">
        <v>1</v>
      </c>
      <c r="I68" s="1" t="s">
        <v>3282</v>
      </c>
      <c r="J68" s="73">
        <v>1550000</v>
      </c>
      <c r="K68" s="1">
        <v>7840</v>
      </c>
      <c r="L68" s="1">
        <v>3998</v>
      </c>
      <c r="M68" s="1">
        <v>3842</v>
      </c>
      <c r="N68" s="1"/>
      <c r="O68" s="1" t="s">
        <v>2725</v>
      </c>
      <c r="P68" s="1" t="s">
        <v>3587</v>
      </c>
      <c r="Q68" s="1" t="s">
        <v>3587</v>
      </c>
      <c r="R68" s="4" t="s">
        <v>3640</v>
      </c>
      <c r="S68" s="4" t="s">
        <v>3633</v>
      </c>
    </row>
    <row r="69" spans="1:19" ht="105" x14ac:dyDescent="0.25">
      <c r="A69" s="1"/>
      <c r="B69" s="4" t="s">
        <v>537</v>
      </c>
      <c r="C69" s="1"/>
      <c r="D69" s="4" t="s">
        <v>647</v>
      </c>
      <c r="E69" s="1"/>
      <c r="F69" s="4" t="s">
        <v>2188</v>
      </c>
      <c r="G69" s="4" t="s">
        <v>1012</v>
      </c>
      <c r="H69" s="1">
        <v>1</v>
      </c>
      <c r="I69" s="1" t="s">
        <v>3282</v>
      </c>
      <c r="J69" s="73">
        <v>4593200</v>
      </c>
      <c r="K69" s="1">
        <v>7840</v>
      </c>
      <c r="L69" s="1">
        <v>3998</v>
      </c>
      <c r="M69" s="1">
        <v>3842</v>
      </c>
      <c r="N69" s="1"/>
      <c r="O69" s="1" t="s">
        <v>2725</v>
      </c>
      <c r="P69" s="1" t="s">
        <v>3587</v>
      </c>
      <c r="Q69" s="1" t="s">
        <v>3587</v>
      </c>
      <c r="R69" s="4" t="s">
        <v>3640</v>
      </c>
      <c r="S69" s="4" t="s">
        <v>3633</v>
      </c>
    </row>
    <row r="70" spans="1:19" ht="105" x14ac:dyDescent="0.25">
      <c r="A70" s="1"/>
      <c r="B70" s="4" t="s">
        <v>537</v>
      </c>
      <c r="C70" s="1"/>
      <c r="D70" s="4" t="s">
        <v>647</v>
      </c>
      <c r="E70" s="1"/>
      <c r="F70" s="4" t="s">
        <v>2433</v>
      </c>
      <c r="G70" s="4" t="s">
        <v>1012</v>
      </c>
      <c r="H70" s="1">
        <v>48</v>
      </c>
      <c r="I70" s="1" t="s">
        <v>3282</v>
      </c>
      <c r="J70" s="73">
        <v>4800000</v>
      </c>
      <c r="K70" s="1">
        <v>7840</v>
      </c>
      <c r="L70" s="1">
        <v>3998</v>
      </c>
      <c r="M70" s="1">
        <v>3842</v>
      </c>
      <c r="N70" s="1"/>
      <c r="O70" s="1" t="s">
        <v>250</v>
      </c>
      <c r="P70" s="1" t="s">
        <v>3632</v>
      </c>
      <c r="Q70" s="1" t="s">
        <v>3594</v>
      </c>
      <c r="R70" s="4" t="s">
        <v>3640</v>
      </c>
      <c r="S70" s="4" t="s">
        <v>3633</v>
      </c>
    </row>
    <row r="71" spans="1:19" ht="78" customHeight="1" x14ac:dyDescent="0.25">
      <c r="A71" s="1"/>
      <c r="B71" s="4" t="s">
        <v>537</v>
      </c>
      <c r="C71" s="1"/>
      <c r="D71" s="4" t="s">
        <v>647</v>
      </c>
      <c r="E71" s="1"/>
      <c r="F71" s="4" t="s">
        <v>3159</v>
      </c>
      <c r="G71" s="4" t="s">
        <v>1012</v>
      </c>
      <c r="H71" s="1">
        <v>1</v>
      </c>
      <c r="I71" s="1" t="s">
        <v>3282</v>
      </c>
      <c r="J71" s="73">
        <v>1802000</v>
      </c>
      <c r="K71" s="1">
        <v>7840</v>
      </c>
      <c r="L71" s="1">
        <v>3998</v>
      </c>
      <c r="M71" s="1">
        <v>3842</v>
      </c>
      <c r="N71" s="1"/>
      <c r="O71" s="1" t="s">
        <v>2725</v>
      </c>
      <c r="P71" s="1" t="s">
        <v>3593</v>
      </c>
      <c r="Q71" s="1" t="s">
        <v>3593</v>
      </c>
      <c r="R71" s="4" t="s">
        <v>3640</v>
      </c>
      <c r="S71" s="4" t="s">
        <v>3633</v>
      </c>
    </row>
    <row r="72" spans="1:19" ht="90" x14ac:dyDescent="0.25">
      <c r="A72" s="1"/>
      <c r="B72" s="4" t="s">
        <v>537</v>
      </c>
      <c r="C72" s="1"/>
      <c r="D72" s="4" t="s">
        <v>647</v>
      </c>
      <c r="E72" s="1"/>
      <c r="F72" s="4" t="s">
        <v>2358</v>
      </c>
      <c r="G72" s="4" t="s">
        <v>1012</v>
      </c>
      <c r="H72" s="1">
        <v>1</v>
      </c>
      <c r="I72" s="1" t="s">
        <v>3282</v>
      </c>
      <c r="J72" s="73">
        <v>1095000</v>
      </c>
      <c r="K72" s="1">
        <v>7840</v>
      </c>
      <c r="L72" s="1">
        <v>3998</v>
      </c>
      <c r="M72" s="1">
        <v>3842</v>
      </c>
      <c r="N72" s="1"/>
      <c r="O72" s="1" t="s">
        <v>2725</v>
      </c>
      <c r="P72" s="1" t="s">
        <v>3592</v>
      </c>
      <c r="Q72" s="1" t="s">
        <v>3592</v>
      </c>
      <c r="R72" s="4" t="s">
        <v>3640</v>
      </c>
      <c r="S72" s="4" t="s">
        <v>3633</v>
      </c>
    </row>
    <row r="73" spans="1:19" ht="72" customHeight="1" x14ac:dyDescent="0.25">
      <c r="A73" s="1"/>
      <c r="B73" s="4" t="s">
        <v>537</v>
      </c>
      <c r="C73" s="1"/>
      <c r="D73" s="4" t="s">
        <v>647</v>
      </c>
      <c r="E73" s="1"/>
      <c r="F73" s="4" t="s">
        <v>3491</v>
      </c>
      <c r="G73" s="4" t="s">
        <v>1012</v>
      </c>
      <c r="H73" s="1">
        <v>1</v>
      </c>
      <c r="I73" s="1" t="s">
        <v>3282</v>
      </c>
      <c r="J73" s="73">
        <v>19845000</v>
      </c>
      <c r="K73" s="1">
        <v>7840</v>
      </c>
      <c r="L73" s="1">
        <v>3998</v>
      </c>
      <c r="M73" s="1">
        <v>3842</v>
      </c>
      <c r="N73" s="1"/>
      <c r="O73" s="1" t="s">
        <v>2725</v>
      </c>
      <c r="P73" s="1" t="s">
        <v>3584</v>
      </c>
      <c r="Q73" s="1" t="s">
        <v>3584</v>
      </c>
      <c r="R73" s="4" t="s">
        <v>3640</v>
      </c>
      <c r="S73" s="4" t="s">
        <v>3633</v>
      </c>
    </row>
    <row r="74" spans="1:19" ht="60" x14ac:dyDescent="0.25">
      <c r="A74" s="1"/>
      <c r="B74" s="4" t="s">
        <v>537</v>
      </c>
      <c r="C74" s="1"/>
      <c r="D74" s="4" t="s">
        <v>647</v>
      </c>
      <c r="E74" s="1"/>
      <c r="F74" s="4" t="s">
        <v>729</v>
      </c>
      <c r="G74" s="4" t="s">
        <v>1012</v>
      </c>
      <c r="H74" s="1">
        <v>15</v>
      </c>
      <c r="I74" s="1" t="s">
        <v>3282</v>
      </c>
      <c r="J74" s="73">
        <v>17529943</v>
      </c>
      <c r="K74" s="1">
        <v>7840</v>
      </c>
      <c r="L74" s="1">
        <v>3998</v>
      </c>
      <c r="M74" s="1">
        <v>3842</v>
      </c>
      <c r="N74" s="1"/>
      <c r="O74" s="1" t="s">
        <v>250</v>
      </c>
      <c r="P74" s="1" t="s">
        <v>3583</v>
      </c>
      <c r="Q74" s="1" t="s">
        <v>3594</v>
      </c>
      <c r="R74" s="4" t="s">
        <v>3640</v>
      </c>
      <c r="S74" s="4" t="s">
        <v>3633</v>
      </c>
    </row>
    <row r="75" spans="1:19" ht="43.15" customHeight="1" x14ac:dyDescent="0.25">
      <c r="A75" s="1"/>
      <c r="B75" s="4" t="s">
        <v>537</v>
      </c>
      <c r="C75" s="1"/>
      <c r="D75" s="4" t="s">
        <v>647</v>
      </c>
      <c r="E75" s="1"/>
      <c r="F75" s="4" t="s">
        <v>754</v>
      </c>
      <c r="G75" s="4" t="s">
        <v>1012</v>
      </c>
      <c r="H75" s="1">
        <v>1</v>
      </c>
      <c r="I75" s="1" t="s">
        <v>3282</v>
      </c>
      <c r="J75" s="73">
        <v>51996000</v>
      </c>
      <c r="K75" s="1">
        <v>7840</v>
      </c>
      <c r="L75" s="1">
        <v>3998</v>
      </c>
      <c r="M75" s="1">
        <v>3842</v>
      </c>
      <c r="N75" s="1"/>
      <c r="O75" s="1" t="s">
        <v>2725</v>
      </c>
      <c r="P75" s="1" t="s">
        <v>3592</v>
      </c>
      <c r="Q75" s="1" t="s">
        <v>3592</v>
      </c>
      <c r="R75" s="4" t="s">
        <v>3639</v>
      </c>
      <c r="S75" s="4" t="s">
        <v>3633</v>
      </c>
    </row>
    <row r="76" spans="1:19" ht="57.6" customHeight="1" x14ac:dyDescent="0.25">
      <c r="A76" s="1"/>
      <c r="B76" s="4" t="s">
        <v>537</v>
      </c>
      <c r="C76" s="1"/>
      <c r="D76" s="4" t="s">
        <v>647</v>
      </c>
      <c r="E76" s="1"/>
      <c r="F76" s="4" t="s">
        <v>2359</v>
      </c>
      <c r="G76" s="4" t="s">
        <v>1012</v>
      </c>
      <c r="H76" s="1">
        <v>4</v>
      </c>
      <c r="I76" s="1" t="s">
        <v>3282</v>
      </c>
      <c r="J76" s="73">
        <v>5985000</v>
      </c>
      <c r="K76" s="1">
        <v>7840</v>
      </c>
      <c r="L76" s="1">
        <v>3998</v>
      </c>
      <c r="M76" s="1">
        <v>3842</v>
      </c>
      <c r="N76" s="1"/>
      <c r="O76" s="1" t="s">
        <v>250</v>
      </c>
      <c r="P76" s="1" t="s">
        <v>3632</v>
      </c>
      <c r="Q76" s="1" t="s">
        <v>3594</v>
      </c>
      <c r="R76" s="4" t="s">
        <v>3640</v>
      </c>
      <c r="S76" s="4" t="s">
        <v>3633</v>
      </c>
    </row>
    <row r="77" spans="1:19" ht="75" x14ac:dyDescent="0.25">
      <c r="A77" s="1"/>
      <c r="B77" s="4" t="s">
        <v>537</v>
      </c>
      <c r="C77" s="1"/>
      <c r="D77" s="4" t="s">
        <v>647</v>
      </c>
      <c r="E77" s="1"/>
      <c r="F77" s="4" t="s">
        <v>2360</v>
      </c>
      <c r="G77" s="4" t="s">
        <v>1012</v>
      </c>
      <c r="H77" s="1">
        <v>1</v>
      </c>
      <c r="I77" s="1" t="s">
        <v>3282</v>
      </c>
      <c r="J77" s="73">
        <v>4990000</v>
      </c>
      <c r="K77" s="1">
        <v>7840</v>
      </c>
      <c r="L77" s="1">
        <v>3998</v>
      </c>
      <c r="M77" s="1">
        <v>3842</v>
      </c>
      <c r="N77" s="1"/>
      <c r="O77" s="1" t="s">
        <v>2725</v>
      </c>
      <c r="P77" s="1" t="s">
        <v>3641</v>
      </c>
      <c r="Q77" s="1" t="s">
        <v>3585</v>
      </c>
      <c r="R77" s="4" t="s">
        <v>3640</v>
      </c>
      <c r="S77" s="4" t="s">
        <v>3633</v>
      </c>
    </row>
    <row r="78" spans="1:19" ht="108" customHeight="1" x14ac:dyDescent="0.25">
      <c r="A78" s="1"/>
      <c r="B78" s="4" t="s">
        <v>537</v>
      </c>
      <c r="C78" s="1"/>
      <c r="D78" s="4" t="s">
        <v>3622</v>
      </c>
      <c r="E78" s="1"/>
      <c r="F78" s="4" t="s">
        <v>3327</v>
      </c>
      <c r="G78" s="4" t="s">
        <v>1012</v>
      </c>
      <c r="H78" s="1">
        <v>103</v>
      </c>
      <c r="I78" s="1" t="s">
        <v>1275</v>
      </c>
      <c r="J78" s="73">
        <v>35582000</v>
      </c>
      <c r="K78" s="1">
        <v>7840</v>
      </c>
      <c r="L78" s="1">
        <v>3998</v>
      </c>
      <c r="M78" s="1">
        <v>3842</v>
      </c>
      <c r="N78" s="1"/>
      <c r="O78" s="1" t="s">
        <v>2715</v>
      </c>
      <c r="P78" s="1" t="s">
        <v>3592</v>
      </c>
      <c r="Q78" s="1" t="s">
        <v>3593</v>
      </c>
      <c r="R78" s="4" t="s">
        <v>3640</v>
      </c>
      <c r="S78" s="4" t="s">
        <v>3633</v>
      </c>
    </row>
    <row r="79" spans="1:19" ht="90" x14ac:dyDescent="0.25">
      <c r="A79" s="1"/>
      <c r="B79" s="4" t="s">
        <v>537</v>
      </c>
      <c r="C79" s="1"/>
      <c r="D79" s="4" t="s">
        <v>3622</v>
      </c>
      <c r="E79" s="1"/>
      <c r="F79" s="4" t="s">
        <v>2756</v>
      </c>
      <c r="G79" s="4" t="s">
        <v>1012</v>
      </c>
      <c r="H79" s="1">
        <v>499</v>
      </c>
      <c r="I79" s="1" t="s">
        <v>1275</v>
      </c>
      <c r="J79" s="73">
        <v>152489000</v>
      </c>
      <c r="K79" s="1">
        <v>7840</v>
      </c>
      <c r="L79" s="1">
        <v>3998</v>
      </c>
      <c r="M79" s="1">
        <v>3842</v>
      </c>
      <c r="N79" s="1"/>
      <c r="O79" s="1" t="s">
        <v>2715</v>
      </c>
      <c r="P79" s="1" t="s">
        <v>3593</v>
      </c>
      <c r="Q79" s="1" t="s">
        <v>3594</v>
      </c>
      <c r="R79" s="4" t="s">
        <v>3640</v>
      </c>
      <c r="S79" s="4" t="s">
        <v>3633</v>
      </c>
    </row>
    <row r="80" spans="1:19" ht="138" customHeight="1" x14ac:dyDescent="0.25">
      <c r="A80" s="1"/>
      <c r="B80" s="4" t="s">
        <v>537</v>
      </c>
      <c r="C80" s="1"/>
      <c r="D80" s="4" t="s">
        <v>3622</v>
      </c>
      <c r="E80" s="1"/>
      <c r="F80" s="4" t="s">
        <v>3097</v>
      </c>
      <c r="G80" s="4" t="s">
        <v>1012</v>
      </c>
      <c r="H80" s="1">
        <v>261</v>
      </c>
      <c r="I80" s="1" t="s">
        <v>455</v>
      </c>
      <c r="J80" s="73">
        <v>11550000</v>
      </c>
      <c r="K80" s="1">
        <v>7840</v>
      </c>
      <c r="L80" s="1">
        <v>3998</v>
      </c>
      <c r="M80" s="1">
        <v>3842</v>
      </c>
      <c r="N80" s="1"/>
      <c r="O80" s="1" t="s">
        <v>250</v>
      </c>
      <c r="P80" s="1" t="s">
        <v>3632</v>
      </c>
      <c r="Q80" s="1" t="s">
        <v>3594</v>
      </c>
      <c r="R80" s="4" t="s">
        <v>3640</v>
      </c>
      <c r="S80" s="4" t="s">
        <v>3633</v>
      </c>
    </row>
    <row r="81" spans="1:19" ht="60" x14ac:dyDescent="0.25">
      <c r="A81" s="1"/>
      <c r="B81" s="4" t="s">
        <v>537</v>
      </c>
      <c r="C81" s="1"/>
      <c r="D81" s="1" t="s">
        <v>802</v>
      </c>
      <c r="E81" s="1"/>
      <c r="F81" s="4" t="s">
        <v>800</v>
      </c>
      <c r="G81" s="4" t="s">
        <v>1012</v>
      </c>
      <c r="H81" s="1">
        <v>12</v>
      </c>
      <c r="I81" s="1" t="s">
        <v>3638</v>
      </c>
      <c r="J81" s="73">
        <v>650876535.20000005</v>
      </c>
      <c r="K81" s="1">
        <v>7840</v>
      </c>
      <c r="L81" s="1">
        <v>3998</v>
      </c>
      <c r="M81" s="1">
        <v>3842</v>
      </c>
      <c r="N81" s="1"/>
      <c r="O81" s="1" t="s">
        <v>250</v>
      </c>
      <c r="P81" s="1" t="s">
        <v>3632</v>
      </c>
      <c r="Q81" s="1" t="s">
        <v>3594</v>
      </c>
      <c r="R81" s="4" t="s">
        <v>3639</v>
      </c>
      <c r="S81" s="4" t="s">
        <v>3633</v>
      </c>
    </row>
    <row r="82" spans="1:19" ht="75" x14ac:dyDescent="0.25">
      <c r="A82" s="1"/>
      <c r="B82" s="4" t="s">
        <v>537</v>
      </c>
      <c r="C82" s="1"/>
      <c r="D82" s="1" t="s">
        <v>802</v>
      </c>
      <c r="E82" s="1"/>
      <c r="F82" s="4" t="s">
        <v>1425</v>
      </c>
      <c r="G82" s="4" t="s">
        <v>1012</v>
      </c>
      <c r="H82" s="1">
        <v>12</v>
      </c>
      <c r="I82" s="1" t="s">
        <v>3638</v>
      </c>
      <c r="J82" s="73">
        <v>268499300</v>
      </c>
      <c r="K82" s="1">
        <v>7840</v>
      </c>
      <c r="L82" s="1">
        <v>3998</v>
      </c>
      <c r="M82" s="1">
        <v>3842</v>
      </c>
      <c r="N82" s="1"/>
      <c r="O82" s="1" t="s">
        <v>250</v>
      </c>
      <c r="P82" s="1" t="s">
        <v>3632</v>
      </c>
      <c r="Q82" s="1" t="s">
        <v>3594</v>
      </c>
      <c r="R82" s="4" t="s">
        <v>3639</v>
      </c>
      <c r="S82" s="4" t="s">
        <v>3633</v>
      </c>
    </row>
    <row r="83" spans="1:19" ht="120" x14ac:dyDescent="0.25">
      <c r="A83" s="1"/>
      <c r="B83" s="4" t="s">
        <v>537</v>
      </c>
      <c r="C83" s="1"/>
      <c r="D83" s="1" t="s">
        <v>802</v>
      </c>
      <c r="E83" s="1"/>
      <c r="F83" s="4" t="s">
        <v>1573</v>
      </c>
      <c r="G83" s="4" t="s">
        <v>1012</v>
      </c>
      <c r="H83" s="1">
        <v>12</v>
      </c>
      <c r="I83" s="1" t="s">
        <v>3638</v>
      </c>
      <c r="J83" s="73">
        <v>45256000</v>
      </c>
      <c r="K83" s="1">
        <v>7840</v>
      </c>
      <c r="L83" s="1">
        <v>3998</v>
      </c>
      <c r="M83" s="1">
        <v>3842</v>
      </c>
      <c r="N83" s="1"/>
      <c r="O83" s="1" t="s">
        <v>250</v>
      </c>
      <c r="P83" s="1" t="s">
        <v>3632</v>
      </c>
      <c r="Q83" s="1" t="s">
        <v>3594</v>
      </c>
      <c r="R83" s="4" t="s">
        <v>3639</v>
      </c>
      <c r="S83" s="4" t="s">
        <v>3633</v>
      </c>
    </row>
    <row r="84" spans="1:19" ht="43.15" customHeight="1" x14ac:dyDescent="0.25">
      <c r="A84" s="1"/>
      <c r="B84" s="4" t="s">
        <v>537</v>
      </c>
      <c r="C84" s="1"/>
      <c r="D84" s="1" t="s">
        <v>802</v>
      </c>
      <c r="E84" s="1"/>
      <c r="F84" s="4" t="s">
        <v>816</v>
      </c>
      <c r="G84" s="4" t="s">
        <v>1012</v>
      </c>
      <c r="H84" s="1">
        <v>12</v>
      </c>
      <c r="I84" s="1" t="s">
        <v>3638</v>
      </c>
      <c r="J84" s="73">
        <v>111982000</v>
      </c>
      <c r="K84" s="1">
        <v>7840</v>
      </c>
      <c r="L84" s="1">
        <v>3998</v>
      </c>
      <c r="M84" s="1">
        <v>3842</v>
      </c>
      <c r="N84" s="1"/>
      <c r="O84" s="1" t="s">
        <v>250</v>
      </c>
      <c r="P84" s="1" t="s">
        <v>3632</v>
      </c>
      <c r="Q84" s="1" t="s">
        <v>3594</v>
      </c>
      <c r="R84" s="4" t="s">
        <v>3639</v>
      </c>
      <c r="S84" s="4" t="s">
        <v>3633</v>
      </c>
    </row>
    <row r="85" spans="1:19" ht="60" x14ac:dyDescent="0.25">
      <c r="A85" s="1"/>
      <c r="B85" s="4" t="s">
        <v>537</v>
      </c>
      <c r="C85" s="1"/>
      <c r="D85" s="1" t="s">
        <v>802</v>
      </c>
      <c r="E85" s="1"/>
      <c r="F85" s="4" t="s">
        <v>1702</v>
      </c>
      <c r="G85" s="4" t="s">
        <v>1012</v>
      </c>
      <c r="H85" s="1">
        <v>12</v>
      </c>
      <c r="I85" s="1" t="s">
        <v>3638</v>
      </c>
      <c r="J85" s="73">
        <v>122284000</v>
      </c>
      <c r="K85" s="1">
        <v>7840</v>
      </c>
      <c r="L85" s="1">
        <v>3998</v>
      </c>
      <c r="M85" s="1">
        <v>3842</v>
      </c>
      <c r="N85" s="1"/>
      <c r="O85" s="1" t="s">
        <v>250</v>
      </c>
      <c r="P85" s="1" t="s">
        <v>3632</v>
      </c>
      <c r="Q85" s="1" t="s">
        <v>3594</v>
      </c>
      <c r="R85" s="4" t="s">
        <v>3639</v>
      </c>
      <c r="S85" s="4" t="s">
        <v>3633</v>
      </c>
    </row>
    <row r="86" spans="1:19" ht="88.15" customHeight="1" x14ac:dyDescent="0.25">
      <c r="A86" s="1"/>
      <c r="B86" s="4" t="s">
        <v>537</v>
      </c>
      <c r="C86" s="1"/>
      <c r="D86" s="1" t="s">
        <v>802</v>
      </c>
      <c r="E86" s="1"/>
      <c r="F86" s="4" t="s">
        <v>3625</v>
      </c>
      <c r="G86" s="4" t="s">
        <v>1012</v>
      </c>
      <c r="H86" s="1">
        <v>2100</v>
      </c>
      <c r="I86" s="1" t="s">
        <v>220</v>
      </c>
      <c r="J86" s="73">
        <v>379000000</v>
      </c>
      <c r="K86" s="1">
        <v>7840</v>
      </c>
      <c r="L86" s="1">
        <v>3998</v>
      </c>
      <c r="M86" s="1">
        <v>3842</v>
      </c>
      <c r="N86" s="1"/>
      <c r="O86" s="1" t="s">
        <v>250</v>
      </c>
      <c r="P86" s="1" t="s">
        <v>3632</v>
      </c>
      <c r="Q86" s="1" t="s">
        <v>3594</v>
      </c>
      <c r="R86" s="4" t="s">
        <v>3640</v>
      </c>
      <c r="S86" s="4" t="s">
        <v>3633</v>
      </c>
    </row>
    <row r="87" spans="1:19" ht="120" x14ac:dyDescent="0.25">
      <c r="A87" s="1"/>
      <c r="B87" s="4" t="s">
        <v>537</v>
      </c>
      <c r="C87" s="1"/>
      <c r="D87" s="4" t="s">
        <v>3421</v>
      </c>
      <c r="E87" s="1"/>
      <c r="F87" s="4" t="s">
        <v>1695</v>
      </c>
      <c r="G87" s="4" t="s">
        <v>1012</v>
      </c>
      <c r="H87" s="1">
        <v>1</v>
      </c>
      <c r="I87" s="1" t="s">
        <v>3282</v>
      </c>
      <c r="J87" s="73">
        <v>50115000</v>
      </c>
      <c r="K87" s="1">
        <v>7840</v>
      </c>
      <c r="L87" s="1">
        <v>3998</v>
      </c>
      <c r="M87" s="1">
        <v>3842</v>
      </c>
      <c r="N87" s="1"/>
      <c r="O87" s="1" t="s">
        <v>2725</v>
      </c>
      <c r="P87" s="1" t="s">
        <v>3586</v>
      </c>
      <c r="Q87" s="1" t="s">
        <v>3586</v>
      </c>
      <c r="R87" s="4" t="s">
        <v>3640</v>
      </c>
      <c r="S87" s="4" t="s">
        <v>3633</v>
      </c>
    </row>
    <row r="88" spans="1:19" ht="43.15" customHeight="1" x14ac:dyDescent="0.25">
      <c r="A88" s="1"/>
      <c r="B88" s="4" t="s">
        <v>537</v>
      </c>
      <c r="C88" s="1"/>
      <c r="D88" s="4" t="s">
        <v>3422</v>
      </c>
      <c r="E88" s="1"/>
      <c r="F88" s="4" t="s">
        <v>820</v>
      </c>
      <c r="G88" s="4" t="s">
        <v>1012</v>
      </c>
      <c r="H88" s="1">
        <v>6</v>
      </c>
      <c r="I88" s="1" t="s">
        <v>220</v>
      </c>
      <c r="J88" s="73">
        <v>4986000</v>
      </c>
      <c r="K88" s="1">
        <v>7840</v>
      </c>
      <c r="L88" s="1">
        <v>3998</v>
      </c>
      <c r="M88" s="1">
        <v>3842</v>
      </c>
      <c r="N88" s="1"/>
      <c r="O88" s="1" t="s">
        <v>2725</v>
      </c>
      <c r="P88" s="1" t="s">
        <v>3632</v>
      </c>
      <c r="Q88" s="1" t="s">
        <v>3632</v>
      </c>
      <c r="R88" s="4" t="s">
        <v>3634</v>
      </c>
      <c r="S88" s="4" t="s">
        <v>3633</v>
      </c>
    </row>
    <row r="89" spans="1:19" ht="60" x14ac:dyDescent="0.25">
      <c r="A89" s="1"/>
      <c r="B89" s="4" t="s">
        <v>537</v>
      </c>
      <c r="C89" s="1"/>
      <c r="D89" s="4" t="s">
        <v>3003</v>
      </c>
      <c r="E89" s="1"/>
      <c r="F89" s="4" t="s">
        <v>3004</v>
      </c>
      <c r="G89" s="4" t="s">
        <v>1012</v>
      </c>
      <c r="H89" s="1">
        <v>12</v>
      </c>
      <c r="I89" s="1" t="s">
        <v>3638</v>
      </c>
      <c r="J89" s="73">
        <v>62892000</v>
      </c>
      <c r="K89" s="1">
        <v>7840</v>
      </c>
      <c r="L89" s="1">
        <v>3998</v>
      </c>
      <c r="M89" s="1">
        <v>3842</v>
      </c>
      <c r="N89" s="1"/>
      <c r="O89" s="1" t="s">
        <v>250</v>
      </c>
      <c r="P89" s="1" t="s">
        <v>3632</v>
      </c>
      <c r="Q89" s="1" t="s">
        <v>3632</v>
      </c>
      <c r="R89" s="4" t="s">
        <v>3634</v>
      </c>
      <c r="S89" s="4" t="s">
        <v>3633</v>
      </c>
    </row>
    <row r="90" spans="1:19" ht="34.9" customHeight="1" x14ac:dyDescent="0.25">
      <c r="A90" s="1"/>
      <c r="B90" s="4"/>
      <c r="C90" s="1"/>
      <c r="D90" s="4"/>
      <c r="E90" s="1"/>
      <c r="F90" s="4"/>
      <c r="G90" s="4"/>
      <c r="H90" s="1"/>
      <c r="I90" s="1"/>
      <c r="J90" s="73"/>
      <c r="K90" s="1"/>
      <c r="L90" s="1"/>
      <c r="M90" s="1"/>
      <c r="N90" s="1"/>
      <c r="O90" s="1"/>
      <c r="P90" s="1"/>
      <c r="Q90" s="1"/>
      <c r="R90" s="4"/>
      <c r="S90" s="4"/>
    </row>
    <row r="91" spans="1:19" ht="120" x14ac:dyDescent="0.25">
      <c r="A91" s="1"/>
      <c r="B91" s="4" t="s">
        <v>827</v>
      </c>
      <c r="C91" s="1"/>
      <c r="D91" s="4" t="s">
        <v>828</v>
      </c>
      <c r="E91" s="1"/>
      <c r="F91" s="4" t="s">
        <v>829</v>
      </c>
      <c r="G91" s="4" t="s">
        <v>1012</v>
      </c>
      <c r="H91" s="1">
        <v>1</v>
      </c>
      <c r="I91" s="1" t="s">
        <v>3282</v>
      </c>
      <c r="J91" s="73">
        <v>7825000</v>
      </c>
      <c r="K91" s="1">
        <v>7840</v>
      </c>
      <c r="L91" s="1">
        <v>3998</v>
      </c>
      <c r="M91" s="1">
        <v>3842</v>
      </c>
      <c r="N91" s="1"/>
      <c r="O91" s="1" t="s">
        <v>2725</v>
      </c>
      <c r="P91" s="1" t="s">
        <v>3585</v>
      </c>
      <c r="Q91" s="1" t="s">
        <v>3585</v>
      </c>
      <c r="R91" s="4" t="s">
        <v>3635</v>
      </c>
      <c r="S91" s="4" t="s">
        <v>3633</v>
      </c>
    </row>
    <row r="92" spans="1:19" ht="120" x14ac:dyDescent="0.25">
      <c r="A92" s="1"/>
      <c r="B92" s="4" t="s">
        <v>827</v>
      </c>
      <c r="C92" s="1"/>
      <c r="D92" s="4" t="s">
        <v>828</v>
      </c>
      <c r="E92" s="1"/>
      <c r="F92" s="4" t="s">
        <v>836</v>
      </c>
      <c r="G92" s="4" t="s">
        <v>1012</v>
      </c>
      <c r="H92" s="1">
        <v>1</v>
      </c>
      <c r="I92" s="1" t="s">
        <v>3282</v>
      </c>
      <c r="J92" s="73">
        <v>9720132.1799999997</v>
      </c>
      <c r="K92" s="1">
        <v>7840</v>
      </c>
      <c r="L92" s="1">
        <v>3998</v>
      </c>
      <c r="M92" s="1">
        <v>3842</v>
      </c>
      <c r="N92" s="1"/>
      <c r="O92" s="1" t="s">
        <v>2725</v>
      </c>
      <c r="P92" s="1" t="s">
        <v>3632</v>
      </c>
      <c r="Q92" s="1" t="s">
        <v>3632</v>
      </c>
      <c r="R92" s="4" t="s">
        <v>3635</v>
      </c>
      <c r="S92" s="4" t="s">
        <v>3633</v>
      </c>
    </row>
    <row r="93" spans="1:19" ht="120" x14ac:dyDescent="0.25">
      <c r="A93" s="1"/>
      <c r="B93" s="4" t="s">
        <v>827</v>
      </c>
      <c r="C93" s="1"/>
      <c r="D93" s="4" t="s">
        <v>828</v>
      </c>
      <c r="E93" s="1"/>
      <c r="F93" s="4" t="s">
        <v>1240</v>
      </c>
      <c r="G93" s="4" t="s">
        <v>1012</v>
      </c>
      <c r="H93" s="1">
        <v>12</v>
      </c>
      <c r="I93" s="1" t="s">
        <v>3638</v>
      </c>
      <c r="J93" s="73">
        <v>317636000</v>
      </c>
      <c r="K93" s="1">
        <v>7840</v>
      </c>
      <c r="L93" s="1">
        <v>3998</v>
      </c>
      <c r="M93" s="1">
        <v>3842</v>
      </c>
      <c r="N93" s="1"/>
      <c r="O93" s="1" t="s">
        <v>250</v>
      </c>
      <c r="P93" s="1" t="s">
        <v>3632</v>
      </c>
      <c r="Q93" s="1" t="s">
        <v>3594</v>
      </c>
      <c r="R93" s="4" t="s">
        <v>3635</v>
      </c>
      <c r="S93" s="4" t="s">
        <v>3633</v>
      </c>
    </row>
    <row r="94" spans="1:19" ht="108.6" customHeight="1" x14ac:dyDescent="0.25">
      <c r="A94" s="1"/>
      <c r="B94" s="4" t="s">
        <v>827</v>
      </c>
      <c r="C94" s="1"/>
      <c r="D94" s="4" t="s">
        <v>828</v>
      </c>
      <c r="E94" s="1"/>
      <c r="F94" s="4" t="s">
        <v>1319</v>
      </c>
      <c r="G94" s="4" t="s">
        <v>1012</v>
      </c>
      <c r="H94" s="1">
        <v>1</v>
      </c>
      <c r="I94" s="1" t="s">
        <v>3282</v>
      </c>
      <c r="J94" s="73">
        <v>34770000</v>
      </c>
      <c r="K94" s="1">
        <v>7840</v>
      </c>
      <c r="L94" s="1">
        <v>3998</v>
      </c>
      <c r="M94" s="1">
        <v>3842</v>
      </c>
      <c r="N94" s="1"/>
      <c r="O94" s="1" t="s">
        <v>2725</v>
      </c>
      <c r="P94" s="1" t="s">
        <v>3589</v>
      </c>
      <c r="Q94" s="1" t="s">
        <v>3589</v>
      </c>
      <c r="R94" s="4" t="s">
        <v>3635</v>
      </c>
      <c r="S94" s="4" t="s">
        <v>3633</v>
      </c>
    </row>
    <row r="95" spans="1:19" ht="285" x14ac:dyDescent="0.25">
      <c r="A95" s="1"/>
      <c r="B95" s="4" t="s">
        <v>827</v>
      </c>
      <c r="C95" s="1"/>
      <c r="D95" s="4" t="s">
        <v>3423</v>
      </c>
      <c r="E95" s="1"/>
      <c r="F95" s="4" t="s">
        <v>3506</v>
      </c>
      <c r="G95" s="4" t="s">
        <v>1012</v>
      </c>
      <c r="H95" s="1">
        <v>1</v>
      </c>
      <c r="I95" s="1" t="s">
        <v>3282</v>
      </c>
      <c r="J95" s="73">
        <v>42947000</v>
      </c>
      <c r="K95" s="1">
        <v>7840</v>
      </c>
      <c r="L95" s="1">
        <v>3998</v>
      </c>
      <c r="M95" s="1">
        <v>3842</v>
      </c>
      <c r="N95" s="1"/>
      <c r="O95" s="1" t="s">
        <v>2725</v>
      </c>
      <c r="P95" s="1" t="s">
        <v>3584</v>
      </c>
      <c r="Q95" s="1" t="s">
        <v>3584</v>
      </c>
      <c r="R95" s="4" t="s">
        <v>3639</v>
      </c>
      <c r="S95" s="4" t="s">
        <v>3633</v>
      </c>
    </row>
    <row r="96" spans="1:19" ht="86.45" customHeight="1" x14ac:dyDescent="0.25">
      <c r="A96" s="1"/>
      <c r="B96" s="4" t="s">
        <v>827</v>
      </c>
      <c r="C96" s="1"/>
      <c r="D96" s="4" t="s">
        <v>3423</v>
      </c>
      <c r="E96" s="1"/>
      <c r="F96" s="4" t="s">
        <v>3091</v>
      </c>
      <c r="G96" s="4" t="s">
        <v>1012</v>
      </c>
      <c r="H96" s="1">
        <v>12</v>
      </c>
      <c r="I96" s="1" t="s">
        <v>3282</v>
      </c>
      <c r="J96" s="73">
        <v>246660000</v>
      </c>
      <c r="K96" s="1">
        <v>7840</v>
      </c>
      <c r="L96" s="1">
        <v>3998</v>
      </c>
      <c r="M96" s="1">
        <v>3842</v>
      </c>
      <c r="N96" s="1"/>
      <c r="O96" s="1" t="s">
        <v>2725</v>
      </c>
      <c r="P96" s="1" t="s">
        <v>3586</v>
      </c>
      <c r="Q96" s="1" t="s">
        <v>3586</v>
      </c>
      <c r="R96" s="4" t="s">
        <v>3639</v>
      </c>
      <c r="S96" s="4" t="s">
        <v>3633</v>
      </c>
    </row>
    <row r="97" spans="1:19" ht="90" x14ac:dyDescent="0.25">
      <c r="A97" s="1"/>
      <c r="B97" s="4" t="s">
        <v>827</v>
      </c>
      <c r="C97" s="1"/>
      <c r="D97" s="4" t="s">
        <v>3423</v>
      </c>
      <c r="E97" s="1"/>
      <c r="F97" s="4" t="s">
        <v>3395</v>
      </c>
      <c r="G97" s="4" t="s">
        <v>1012</v>
      </c>
      <c r="H97" s="1">
        <v>25</v>
      </c>
      <c r="I97" s="1" t="s">
        <v>3282</v>
      </c>
      <c r="J97" s="73">
        <v>46600000</v>
      </c>
      <c r="K97" s="1">
        <v>7840</v>
      </c>
      <c r="L97" s="1">
        <v>3998</v>
      </c>
      <c r="M97" s="1">
        <v>3842</v>
      </c>
      <c r="N97" s="1"/>
      <c r="O97" s="1" t="s">
        <v>3642</v>
      </c>
      <c r="P97" s="1" t="s">
        <v>3584</v>
      </c>
      <c r="Q97" s="1" t="s">
        <v>3643</v>
      </c>
      <c r="R97" s="4" t="s">
        <v>3639</v>
      </c>
      <c r="S97" s="4" t="s">
        <v>3633</v>
      </c>
    </row>
    <row r="98" spans="1:19" ht="100.9" customHeight="1" x14ac:dyDescent="0.25">
      <c r="A98" s="1"/>
      <c r="B98" s="4" t="s">
        <v>827</v>
      </c>
      <c r="C98" s="1"/>
      <c r="D98" s="4" t="s">
        <v>3423</v>
      </c>
      <c r="E98" s="1"/>
      <c r="F98" s="4" t="s">
        <v>3107</v>
      </c>
      <c r="G98" s="4" t="s">
        <v>1012</v>
      </c>
      <c r="H98" s="1">
        <v>31</v>
      </c>
      <c r="I98" s="1" t="s">
        <v>3282</v>
      </c>
      <c r="J98" s="73">
        <v>114950000</v>
      </c>
      <c r="K98" s="1">
        <v>7840</v>
      </c>
      <c r="L98" s="1">
        <v>3998</v>
      </c>
      <c r="M98" s="1">
        <v>3842</v>
      </c>
      <c r="N98" s="1"/>
      <c r="O98" s="1" t="s">
        <v>2715</v>
      </c>
      <c r="P98" s="1" t="s">
        <v>3590</v>
      </c>
      <c r="Q98" s="1" t="s">
        <v>3591</v>
      </c>
      <c r="R98" s="4" t="s">
        <v>3639</v>
      </c>
      <c r="S98" s="4" t="s">
        <v>3633</v>
      </c>
    </row>
    <row r="99" spans="1:19" ht="60" x14ac:dyDescent="0.25">
      <c r="A99" s="1"/>
      <c r="B99" s="4" t="s">
        <v>827</v>
      </c>
      <c r="C99" s="1"/>
      <c r="D99" s="4" t="s">
        <v>3423</v>
      </c>
      <c r="E99" s="1"/>
      <c r="F99" s="4" t="s">
        <v>871</v>
      </c>
      <c r="G99" s="4" t="s">
        <v>1012</v>
      </c>
      <c r="H99" s="1">
        <v>1</v>
      </c>
      <c r="I99" s="1" t="s">
        <v>3282</v>
      </c>
      <c r="J99" s="73">
        <v>8560000</v>
      </c>
      <c r="K99" s="1">
        <v>7840</v>
      </c>
      <c r="L99" s="1">
        <v>3998</v>
      </c>
      <c r="M99" s="1">
        <v>3842</v>
      </c>
      <c r="N99" s="1"/>
      <c r="O99" s="1" t="s">
        <v>2725</v>
      </c>
      <c r="P99" s="1" t="s">
        <v>3586</v>
      </c>
      <c r="Q99" s="1" t="s">
        <v>3586</v>
      </c>
      <c r="R99" s="4" t="s">
        <v>3639</v>
      </c>
      <c r="S99" s="4" t="s">
        <v>3633</v>
      </c>
    </row>
    <row r="100" spans="1:19" ht="60" x14ac:dyDescent="0.25">
      <c r="A100" s="1"/>
      <c r="B100" s="4" t="s">
        <v>827</v>
      </c>
      <c r="C100" s="1"/>
      <c r="D100" s="4" t="s">
        <v>3423</v>
      </c>
      <c r="E100" s="1"/>
      <c r="F100" s="4" t="s">
        <v>881</v>
      </c>
      <c r="G100" s="4" t="s">
        <v>1012</v>
      </c>
      <c r="H100" s="1">
        <v>12</v>
      </c>
      <c r="I100" s="1" t="s">
        <v>3638</v>
      </c>
      <c r="J100" s="73">
        <v>5700000</v>
      </c>
      <c r="K100" s="1">
        <v>7840</v>
      </c>
      <c r="L100" s="1">
        <v>3998</v>
      </c>
      <c r="M100" s="1">
        <v>3842</v>
      </c>
      <c r="N100" s="1"/>
      <c r="O100" s="1" t="s">
        <v>250</v>
      </c>
      <c r="P100" s="1" t="s">
        <v>3632</v>
      </c>
      <c r="Q100" s="1" t="s">
        <v>3594</v>
      </c>
      <c r="R100" s="4" t="s">
        <v>3639</v>
      </c>
      <c r="S100" s="4" t="s">
        <v>3633</v>
      </c>
    </row>
    <row r="101" spans="1:19" ht="43.15" customHeight="1" x14ac:dyDescent="0.25">
      <c r="A101" s="1"/>
      <c r="B101" s="4" t="s">
        <v>827</v>
      </c>
      <c r="C101" s="1"/>
      <c r="D101" s="4" t="s">
        <v>3423</v>
      </c>
      <c r="E101" s="1"/>
      <c r="F101" s="4" t="s">
        <v>1555</v>
      </c>
      <c r="G101" s="4" t="s">
        <v>1012</v>
      </c>
      <c r="H101" s="1">
        <v>2</v>
      </c>
      <c r="I101" s="1" t="s">
        <v>3282</v>
      </c>
      <c r="J101" s="73">
        <v>27700000</v>
      </c>
      <c r="K101" s="1">
        <v>7840</v>
      </c>
      <c r="L101" s="1">
        <v>3998</v>
      </c>
      <c r="M101" s="1">
        <v>3842</v>
      </c>
      <c r="N101" s="1"/>
      <c r="O101" s="1" t="s">
        <v>3644</v>
      </c>
      <c r="P101" s="1" t="s">
        <v>3586</v>
      </c>
      <c r="Q101" s="1" t="s">
        <v>3593</v>
      </c>
      <c r="R101" s="4" t="s">
        <v>3639</v>
      </c>
      <c r="S101" s="4" t="s">
        <v>3633</v>
      </c>
    </row>
    <row r="102" spans="1:19" ht="75" x14ac:dyDescent="0.25">
      <c r="A102" s="1"/>
      <c r="B102" s="4" t="s">
        <v>827</v>
      </c>
      <c r="C102" s="1"/>
      <c r="D102" s="4" t="s">
        <v>3423</v>
      </c>
      <c r="E102" s="1"/>
      <c r="F102" s="4" t="s">
        <v>885</v>
      </c>
      <c r="G102" s="4" t="s">
        <v>1012</v>
      </c>
      <c r="H102" s="1">
        <v>1</v>
      </c>
      <c r="I102" s="1" t="s">
        <v>3282</v>
      </c>
      <c r="J102" s="73">
        <v>45000000</v>
      </c>
      <c r="K102" s="1">
        <v>7840</v>
      </c>
      <c r="L102" s="1">
        <v>3998</v>
      </c>
      <c r="M102" s="1">
        <v>3842</v>
      </c>
      <c r="N102" s="1"/>
      <c r="O102" s="1" t="s">
        <v>2725</v>
      </c>
      <c r="P102" s="1" t="s">
        <v>3584</v>
      </c>
      <c r="Q102" s="1" t="s">
        <v>3584</v>
      </c>
      <c r="R102" s="4" t="s">
        <v>3639</v>
      </c>
      <c r="S102" s="4" t="s">
        <v>3633</v>
      </c>
    </row>
    <row r="103" spans="1:19" ht="72.599999999999994" customHeight="1" x14ac:dyDescent="0.25">
      <c r="A103" s="1"/>
      <c r="B103" s="4" t="s">
        <v>827</v>
      </c>
      <c r="C103" s="1"/>
      <c r="D103" s="4" t="s">
        <v>3423</v>
      </c>
      <c r="E103" s="1"/>
      <c r="F103" s="4" t="s">
        <v>893</v>
      </c>
      <c r="G103" s="4" t="s">
        <v>1012</v>
      </c>
      <c r="H103" s="1">
        <v>1</v>
      </c>
      <c r="I103" s="1" t="s">
        <v>3282</v>
      </c>
      <c r="J103" s="73">
        <v>2030000000</v>
      </c>
      <c r="K103" s="1">
        <v>7840</v>
      </c>
      <c r="L103" s="1">
        <v>3998</v>
      </c>
      <c r="M103" s="1">
        <v>3842</v>
      </c>
      <c r="N103" s="1"/>
      <c r="O103" s="1" t="s">
        <v>2725</v>
      </c>
      <c r="P103" s="1" t="s">
        <v>3591</v>
      </c>
      <c r="Q103" s="1" t="s">
        <v>3591</v>
      </c>
      <c r="R103" s="4" t="s">
        <v>3639</v>
      </c>
      <c r="S103" s="4" t="s">
        <v>3633</v>
      </c>
    </row>
    <row r="104" spans="1:19" ht="85.9" customHeight="1" x14ac:dyDescent="0.25">
      <c r="A104" s="1"/>
      <c r="B104" s="4" t="s">
        <v>827</v>
      </c>
      <c r="C104" s="1"/>
      <c r="D104" s="4" t="s">
        <v>3423</v>
      </c>
      <c r="E104" s="1"/>
      <c r="F104" s="4" t="s">
        <v>1286</v>
      </c>
      <c r="G104" s="4" t="s">
        <v>1012</v>
      </c>
      <c r="H104" s="1">
        <v>4</v>
      </c>
      <c r="I104" s="1" t="s">
        <v>3282</v>
      </c>
      <c r="J104" s="73">
        <v>180000000</v>
      </c>
      <c r="K104" s="1">
        <v>7840</v>
      </c>
      <c r="L104" s="1">
        <v>3998</v>
      </c>
      <c r="M104" s="1">
        <v>3842</v>
      </c>
      <c r="N104" s="1"/>
      <c r="O104" s="1" t="s">
        <v>250</v>
      </c>
      <c r="P104" s="1" t="s">
        <v>3632</v>
      </c>
      <c r="Q104" s="1" t="s">
        <v>3594</v>
      </c>
      <c r="R104" s="4" t="s">
        <v>3639</v>
      </c>
      <c r="S104" s="4" t="s">
        <v>3633</v>
      </c>
    </row>
    <row r="105" spans="1:19" ht="255" x14ac:dyDescent="0.25">
      <c r="A105" s="1"/>
      <c r="B105" s="4" t="s">
        <v>827</v>
      </c>
      <c r="C105" s="1"/>
      <c r="D105" s="4" t="s">
        <v>3424</v>
      </c>
      <c r="E105" s="1"/>
      <c r="F105" s="4" t="s">
        <v>3509</v>
      </c>
      <c r="G105" s="4" t="s">
        <v>1012</v>
      </c>
      <c r="H105" s="1">
        <v>1</v>
      </c>
      <c r="I105" s="1" t="s">
        <v>3282</v>
      </c>
      <c r="J105" s="73">
        <v>40892000</v>
      </c>
      <c r="K105" s="1">
        <v>7840</v>
      </c>
      <c r="L105" s="1">
        <v>3998</v>
      </c>
      <c r="M105" s="1">
        <v>3842</v>
      </c>
      <c r="N105" s="1"/>
      <c r="O105" s="1" t="s">
        <v>2725</v>
      </c>
      <c r="P105" s="1" t="s">
        <v>3587</v>
      </c>
      <c r="Q105" s="1" t="s">
        <v>3587</v>
      </c>
      <c r="R105" s="4" t="s">
        <v>3639</v>
      </c>
      <c r="S105" s="4" t="s">
        <v>3633</v>
      </c>
    </row>
    <row r="106" spans="1:19" ht="135" x14ac:dyDescent="0.25">
      <c r="A106" s="1"/>
      <c r="B106" s="4" t="s">
        <v>827</v>
      </c>
      <c r="C106" s="1"/>
      <c r="D106" s="4" t="s">
        <v>3424</v>
      </c>
      <c r="E106" s="1"/>
      <c r="F106" s="4" t="s">
        <v>3191</v>
      </c>
      <c r="G106" s="4" t="s">
        <v>1012</v>
      </c>
      <c r="H106" s="1">
        <v>1</v>
      </c>
      <c r="I106" s="1" t="s">
        <v>3282</v>
      </c>
      <c r="J106" s="73">
        <v>44630000</v>
      </c>
      <c r="K106" s="1">
        <v>7840</v>
      </c>
      <c r="L106" s="1">
        <v>3998</v>
      </c>
      <c r="M106" s="1">
        <v>3842</v>
      </c>
      <c r="N106" s="1"/>
      <c r="O106" s="1" t="s">
        <v>2725</v>
      </c>
      <c r="P106" s="1" t="s">
        <v>3587</v>
      </c>
      <c r="Q106" s="1" t="s">
        <v>3587</v>
      </c>
      <c r="R106" s="4" t="s">
        <v>3639</v>
      </c>
      <c r="S106" s="4" t="s">
        <v>3633</v>
      </c>
    </row>
    <row r="107" spans="1:19" ht="57.6" customHeight="1" x14ac:dyDescent="0.25">
      <c r="A107" s="1"/>
      <c r="B107" s="4" t="s">
        <v>827</v>
      </c>
      <c r="C107" s="1"/>
      <c r="D107" s="4" t="s">
        <v>3424</v>
      </c>
      <c r="E107" s="1"/>
      <c r="F107" s="4" t="s">
        <v>1309</v>
      </c>
      <c r="G107" s="4" t="s">
        <v>1012</v>
      </c>
      <c r="H107" s="1">
        <v>1</v>
      </c>
      <c r="I107" s="1" t="s">
        <v>3282</v>
      </c>
      <c r="J107" s="73">
        <v>20600000</v>
      </c>
      <c r="K107" s="1">
        <v>7840</v>
      </c>
      <c r="L107" s="1">
        <v>3998</v>
      </c>
      <c r="M107" s="1">
        <v>3842</v>
      </c>
      <c r="N107" s="1"/>
      <c r="O107" s="1" t="s">
        <v>2725</v>
      </c>
      <c r="P107" s="1" t="s">
        <v>3589</v>
      </c>
      <c r="Q107" s="1" t="s">
        <v>3589</v>
      </c>
      <c r="R107" s="4" t="s">
        <v>3639</v>
      </c>
      <c r="S107" s="4" t="s">
        <v>3633</v>
      </c>
    </row>
    <row r="108" spans="1:19" ht="73.900000000000006" customHeight="1" x14ac:dyDescent="0.25">
      <c r="A108" s="1"/>
      <c r="B108" s="4" t="s">
        <v>827</v>
      </c>
      <c r="C108" s="1"/>
      <c r="D108" s="4" t="s">
        <v>3424</v>
      </c>
      <c r="E108" s="1"/>
      <c r="F108" s="4" t="s">
        <v>2645</v>
      </c>
      <c r="G108" s="4" t="s">
        <v>1012</v>
      </c>
      <c r="H108" s="1">
        <v>1</v>
      </c>
      <c r="I108" s="1" t="s">
        <v>3282</v>
      </c>
      <c r="J108" s="73">
        <v>9840000</v>
      </c>
      <c r="K108" s="1">
        <v>7840</v>
      </c>
      <c r="L108" s="1">
        <v>3998</v>
      </c>
      <c r="M108" s="1">
        <v>3842</v>
      </c>
      <c r="N108" s="1"/>
      <c r="O108" s="1" t="s">
        <v>2725</v>
      </c>
      <c r="P108" s="1" t="s">
        <v>3588</v>
      </c>
      <c r="Q108" s="1" t="s">
        <v>3588</v>
      </c>
      <c r="R108" s="4" t="s">
        <v>3639</v>
      </c>
      <c r="S108" s="4" t="s">
        <v>3633</v>
      </c>
    </row>
    <row r="109" spans="1:19" ht="72" customHeight="1" x14ac:dyDescent="0.25">
      <c r="A109" s="1"/>
      <c r="B109" s="4" t="s">
        <v>827</v>
      </c>
      <c r="C109" s="1"/>
      <c r="D109" s="4" t="s">
        <v>3424</v>
      </c>
      <c r="E109" s="1"/>
      <c r="F109" s="4" t="s">
        <v>902</v>
      </c>
      <c r="G109" s="4" t="s">
        <v>1012</v>
      </c>
      <c r="H109" s="1">
        <v>1</v>
      </c>
      <c r="I109" s="1" t="s">
        <v>3282</v>
      </c>
      <c r="J109" s="73">
        <v>420000000</v>
      </c>
      <c r="K109" s="1">
        <v>7840</v>
      </c>
      <c r="L109" s="1">
        <v>3998</v>
      </c>
      <c r="M109" s="1">
        <v>3842</v>
      </c>
      <c r="N109" s="1"/>
      <c r="O109" s="1" t="s">
        <v>2725</v>
      </c>
      <c r="P109" s="1" t="s">
        <v>3584</v>
      </c>
      <c r="Q109" s="1" t="s">
        <v>3584</v>
      </c>
      <c r="R109" s="4" t="s">
        <v>3639</v>
      </c>
      <c r="S109" s="4" t="s">
        <v>3633</v>
      </c>
    </row>
    <row r="110" spans="1:19" ht="105" x14ac:dyDescent="0.25">
      <c r="A110" s="1"/>
      <c r="B110" s="4" t="s">
        <v>827</v>
      </c>
      <c r="C110" s="1"/>
      <c r="D110" s="4" t="s">
        <v>3425</v>
      </c>
      <c r="E110" s="1"/>
      <c r="F110" s="4" t="s">
        <v>912</v>
      </c>
      <c r="G110" s="4" t="s">
        <v>1012</v>
      </c>
      <c r="H110" s="1">
        <v>1</v>
      </c>
      <c r="I110" s="1" t="s">
        <v>3282</v>
      </c>
      <c r="J110" s="73">
        <v>31775000</v>
      </c>
      <c r="K110" s="1">
        <v>7840</v>
      </c>
      <c r="L110" s="1">
        <v>3998</v>
      </c>
      <c r="M110" s="1">
        <v>3842</v>
      </c>
      <c r="N110" s="1"/>
      <c r="O110" s="1" t="s">
        <v>2715</v>
      </c>
      <c r="P110" s="1" t="s">
        <v>3589</v>
      </c>
      <c r="Q110" s="1" t="s">
        <v>3590</v>
      </c>
      <c r="R110" s="4" t="s">
        <v>3639</v>
      </c>
      <c r="S110" s="4" t="s">
        <v>3633</v>
      </c>
    </row>
    <row r="111" spans="1:19" ht="57.6" customHeight="1" x14ac:dyDescent="0.25">
      <c r="A111" s="1"/>
      <c r="B111" s="4" t="s">
        <v>827</v>
      </c>
      <c r="C111" s="1"/>
      <c r="D111" s="4" t="s">
        <v>3425</v>
      </c>
      <c r="E111" s="1"/>
      <c r="F111" s="4" t="s">
        <v>1047</v>
      </c>
      <c r="G111" s="4" t="s">
        <v>1012</v>
      </c>
      <c r="H111" s="1">
        <v>1</v>
      </c>
      <c r="I111" s="1" t="s">
        <v>3282</v>
      </c>
      <c r="J111" s="73">
        <v>11598584.66</v>
      </c>
      <c r="K111" s="1">
        <v>7840</v>
      </c>
      <c r="L111" s="1">
        <v>3998</v>
      </c>
      <c r="M111" s="1">
        <v>3842</v>
      </c>
      <c r="N111" s="1"/>
      <c r="O111" s="1" t="s">
        <v>2725</v>
      </c>
      <c r="P111" s="1" t="s">
        <v>3589</v>
      </c>
      <c r="Q111" s="1" t="s">
        <v>3589</v>
      </c>
      <c r="R111" s="4" t="s">
        <v>3639</v>
      </c>
      <c r="S111" s="4" t="s">
        <v>3633</v>
      </c>
    </row>
    <row r="112" spans="1:19" ht="60" x14ac:dyDescent="0.25">
      <c r="A112" s="1"/>
      <c r="B112" s="4" t="s">
        <v>827</v>
      </c>
      <c r="C112" s="1"/>
      <c r="D112" s="4" t="s">
        <v>3425</v>
      </c>
      <c r="E112" s="1"/>
      <c r="F112" s="4" t="s">
        <v>1534</v>
      </c>
      <c r="G112" s="4" t="s">
        <v>1012</v>
      </c>
      <c r="H112" s="1">
        <v>1</v>
      </c>
      <c r="I112" s="1" t="s">
        <v>126</v>
      </c>
      <c r="J112" s="73">
        <v>68435000</v>
      </c>
      <c r="K112" s="1">
        <v>7840</v>
      </c>
      <c r="L112" s="1">
        <v>3998</v>
      </c>
      <c r="M112" s="1">
        <v>3842</v>
      </c>
      <c r="N112" s="1"/>
      <c r="O112" s="1" t="s">
        <v>2725</v>
      </c>
      <c r="P112" s="1" t="s">
        <v>3584</v>
      </c>
      <c r="Q112" s="1" t="s">
        <v>3584</v>
      </c>
      <c r="R112" s="4" t="s">
        <v>3639</v>
      </c>
      <c r="S112" s="4" t="s">
        <v>3633</v>
      </c>
    </row>
    <row r="113" spans="1:19" ht="124.15" customHeight="1" x14ac:dyDescent="0.25">
      <c r="A113" s="1"/>
      <c r="B113" s="4" t="s">
        <v>827</v>
      </c>
      <c r="C113" s="1"/>
      <c r="D113" s="4" t="s">
        <v>3425</v>
      </c>
      <c r="E113" s="1"/>
      <c r="F113" s="4" t="s">
        <v>955</v>
      </c>
      <c r="G113" s="4" t="s">
        <v>1012</v>
      </c>
      <c r="H113" s="1">
        <v>1</v>
      </c>
      <c r="I113" s="1" t="s">
        <v>3282</v>
      </c>
      <c r="J113" s="73">
        <v>11628000</v>
      </c>
      <c r="K113" s="1">
        <v>7840</v>
      </c>
      <c r="L113" s="1">
        <v>3998</v>
      </c>
      <c r="M113" s="1">
        <v>3842</v>
      </c>
      <c r="N113" s="1"/>
      <c r="O113" s="1" t="s">
        <v>2725</v>
      </c>
      <c r="P113" s="1" t="s">
        <v>3589</v>
      </c>
      <c r="Q113" s="1" t="s">
        <v>3589</v>
      </c>
      <c r="R113" s="4" t="s">
        <v>3639</v>
      </c>
      <c r="S113" s="4" t="s">
        <v>3633</v>
      </c>
    </row>
    <row r="114" spans="1:19" x14ac:dyDescent="0.25">
      <c r="A114" s="1"/>
      <c r="B114" s="4"/>
      <c r="C114" s="1"/>
      <c r="D114" s="1"/>
      <c r="E114" s="1"/>
      <c r="F114" s="4"/>
      <c r="G114" s="4"/>
      <c r="H114" s="1"/>
      <c r="I114" s="1"/>
      <c r="J114" s="73"/>
      <c r="K114" s="1"/>
      <c r="L114" s="1"/>
      <c r="M114" s="1"/>
      <c r="N114" s="1"/>
      <c r="O114" s="1"/>
      <c r="P114" s="1"/>
      <c r="Q114" s="1"/>
      <c r="R114" s="4"/>
      <c r="S114" s="4"/>
    </row>
    <row r="115" spans="1:19" ht="75" x14ac:dyDescent="0.25">
      <c r="A115" s="1"/>
      <c r="B115" s="4" t="s">
        <v>3604</v>
      </c>
      <c r="C115" s="1"/>
      <c r="D115" s="1" t="s">
        <v>3626</v>
      </c>
      <c r="E115" s="1"/>
      <c r="F115" s="4" t="s">
        <v>2777</v>
      </c>
      <c r="G115" s="4" t="s">
        <v>1012</v>
      </c>
      <c r="H115" s="1">
        <v>1</v>
      </c>
      <c r="I115" s="1" t="s">
        <v>3282</v>
      </c>
      <c r="J115" s="73">
        <v>175300000</v>
      </c>
      <c r="K115" s="1">
        <v>7840</v>
      </c>
      <c r="L115" s="1">
        <v>3998</v>
      </c>
      <c r="M115" s="1">
        <v>3842</v>
      </c>
      <c r="N115" s="1"/>
      <c r="O115" s="1" t="s">
        <v>2725</v>
      </c>
      <c r="P115" s="1" t="s">
        <v>3586</v>
      </c>
      <c r="Q115" s="1" t="s">
        <v>3586</v>
      </c>
      <c r="R115" s="4" t="s">
        <v>3000</v>
      </c>
      <c r="S115" s="4" t="s">
        <v>3633</v>
      </c>
    </row>
    <row r="116" spans="1:19" ht="75" x14ac:dyDescent="0.25">
      <c r="A116" s="1"/>
      <c r="B116" s="4" t="s">
        <v>3604</v>
      </c>
      <c r="C116" s="1"/>
      <c r="D116" s="1" t="s">
        <v>3627</v>
      </c>
      <c r="E116" s="1"/>
      <c r="F116" s="4" t="s">
        <v>2764</v>
      </c>
      <c r="G116" s="4" t="s">
        <v>1012</v>
      </c>
      <c r="H116" s="1">
        <v>1</v>
      </c>
      <c r="I116" s="1" t="s">
        <v>126</v>
      </c>
      <c r="J116" s="73">
        <v>32421000</v>
      </c>
      <c r="K116" s="1">
        <v>7840</v>
      </c>
      <c r="L116" s="1">
        <v>3998</v>
      </c>
      <c r="M116" s="1">
        <v>3842</v>
      </c>
      <c r="N116" s="1"/>
      <c r="O116" s="1" t="s">
        <v>2725</v>
      </c>
      <c r="P116" s="1" t="s">
        <v>3589</v>
      </c>
      <c r="Q116" s="1" t="s">
        <v>3589</v>
      </c>
      <c r="R116" s="4" t="s">
        <v>3000</v>
      </c>
      <c r="S116" s="4" t="s">
        <v>3633</v>
      </c>
    </row>
    <row r="117" spans="1:19" ht="86.45" customHeight="1" x14ac:dyDescent="0.25">
      <c r="A117" s="1"/>
      <c r="B117" s="4" t="s">
        <v>3604</v>
      </c>
      <c r="C117" s="1"/>
      <c r="D117" s="1" t="s">
        <v>3627</v>
      </c>
      <c r="E117" s="1"/>
      <c r="F117" s="4" t="s">
        <v>2801</v>
      </c>
      <c r="G117" s="4" t="s">
        <v>1012</v>
      </c>
      <c r="H117" s="1">
        <v>1</v>
      </c>
      <c r="I117" s="1" t="s">
        <v>3282</v>
      </c>
      <c r="J117" s="73">
        <v>28606000</v>
      </c>
      <c r="K117" s="1">
        <v>7840</v>
      </c>
      <c r="L117" s="1">
        <v>3998</v>
      </c>
      <c r="M117" s="1">
        <v>3842</v>
      </c>
      <c r="N117" s="1"/>
      <c r="O117" s="1" t="s">
        <v>2725</v>
      </c>
      <c r="P117" s="1" t="s">
        <v>3590</v>
      </c>
      <c r="Q117" s="1" t="s">
        <v>3590</v>
      </c>
      <c r="R117" s="4" t="s">
        <v>3000</v>
      </c>
      <c r="S117" s="4" t="s">
        <v>3633</v>
      </c>
    </row>
    <row r="118" spans="1:19" ht="60" x14ac:dyDescent="0.25">
      <c r="A118" s="1"/>
      <c r="B118" s="4" t="s">
        <v>3604</v>
      </c>
      <c r="C118" s="1"/>
      <c r="D118" s="1" t="s">
        <v>3627</v>
      </c>
      <c r="E118" s="1"/>
      <c r="F118" s="4" t="s">
        <v>2990</v>
      </c>
      <c r="G118" s="4" t="s">
        <v>1012</v>
      </c>
      <c r="H118" s="1">
        <v>179</v>
      </c>
      <c r="I118" s="1" t="s">
        <v>455</v>
      </c>
      <c r="J118" s="73">
        <v>174923495</v>
      </c>
      <c r="K118" s="1">
        <v>7840</v>
      </c>
      <c r="L118" s="1">
        <v>3998</v>
      </c>
      <c r="M118" s="1">
        <v>3842</v>
      </c>
      <c r="N118" s="1"/>
      <c r="O118" s="1" t="s">
        <v>3637</v>
      </c>
      <c r="P118" s="1" t="s">
        <v>3590</v>
      </c>
      <c r="Q118" s="1" t="s">
        <v>3592</v>
      </c>
      <c r="R118" s="4" t="s">
        <v>3000</v>
      </c>
      <c r="S118" s="4" t="s">
        <v>3633</v>
      </c>
    </row>
    <row r="119" spans="1:19" ht="86.45" customHeight="1" x14ac:dyDescent="0.25">
      <c r="A119" s="1"/>
      <c r="B119" s="4" t="s">
        <v>3604</v>
      </c>
      <c r="C119" s="1"/>
      <c r="D119" s="4" t="s">
        <v>413</v>
      </c>
      <c r="E119" s="1"/>
      <c r="F119" s="4" t="s">
        <v>427</v>
      </c>
      <c r="G119" s="4" t="s">
        <v>1012</v>
      </c>
      <c r="H119" s="1">
        <v>1</v>
      </c>
      <c r="I119" s="1" t="s">
        <v>3282</v>
      </c>
      <c r="J119" s="73">
        <v>1380000</v>
      </c>
      <c r="K119" s="1">
        <v>7840</v>
      </c>
      <c r="L119" s="1">
        <v>3998</v>
      </c>
      <c r="M119" s="1">
        <v>3842</v>
      </c>
      <c r="N119" s="1"/>
      <c r="O119" s="1" t="s">
        <v>2725</v>
      </c>
      <c r="P119" s="1" t="s">
        <v>3591</v>
      </c>
      <c r="Q119" s="1" t="s">
        <v>3591</v>
      </c>
      <c r="R119" s="4" t="s">
        <v>3634</v>
      </c>
      <c r="S119" s="4" t="s">
        <v>3633</v>
      </c>
    </row>
    <row r="120" spans="1:19" ht="60" x14ac:dyDescent="0.25">
      <c r="A120" s="1"/>
      <c r="B120" s="4" t="s">
        <v>3604</v>
      </c>
      <c r="C120" s="1"/>
      <c r="D120" s="4" t="s">
        <v>413</v>
      </c>
      <c r="E120" s="1"/>
      <c r="F120" s="4" t="s">
        <v>461</v>
      </c>
      <c r="G120" s="4" t="s">
        <v>1012</v>
      </c>
      <c r="H120" s="1">
        <v>1</v>
      </c>
      <c r="I120" s="1" t="s">
        <v>3282</v>
      </c>
      <c r="J120" s="73">
        <v>40000000</v>
      </c>
      <c r="K120" s="1">
        <v>7840</v>
      </c>
      <c r="L120" s="1">
        <v>3998</v>
      </c>
      <c r="M120" s="1">
        <v>3842</v>
      </c>
      <c r="N120" s="1"/>
      <c r="O120" s="1" t="s">
        <v>2725</v>
      </c>
      <c r="P120" s="1" t="s">
        <v>3590</v>
      </c>
      <c r="Q120" s="1" t="s">
        <v>3590</v>
      </c>
      <c r="R120" s="4" t="s">
        <v>3320</v>
      </c>
      <c r="S120" s="4" t="s">
        <v>3633</v>
      </c>
    </row>
    <row r="121" spans="1:19" ht="57.6" customHeight="1" x14ac:dyDescent="0.25">
      <c r="A121" s="1"/>
      <c r="B121" s="4" t="s">
        <v>3604</v>
      </c>
      <c r="C121" s="1"/>
      <c r="D121" s="4" t="s">
        <v>413</v>
      </c>
      <c r="E121" s="1"/>
      <c r="F121" s="4" t="s">
        <v>431</v>
      </c>
      <c r="G121" s="4" t="s">
        <v>1012</v>
      </c>
      <c r="H121" s="1">
        <v>1</v>
      </c>
      <c r="I121" s="1" t="s">
        <v>3282</v>
      </c>
      <c r="J121" s="73">
        <v>16220000</v>
      </c>
      <c r="K121" s="1">
        <v>7840</v>
      </c>
      <c r="L121" s="1">
        <v>3998</v>
      </c>
      <c r="M121" s="1">
        <v>3842</v>
      </c>
      <c r="N121" s="1"/>
      <c r="O121" s="1" t="s">
        <v>2725</v>
      </c>
      <c r="P121" s="1" t="s">
        <v>3590</v>
      </c>
      <c r="Q121" s="1" t="s">
        <v>3590</v>
      </c>
      <c r="R121" s="4" t="s">
        <v>3320</v>
      </c>
      <c r="S121" s="4" t="s">
        <v>3633</v>
      </c>
    </row>
    <row r="122" spans="1:19" ht="60" x14ac:dyDescent="0.25">
      <c r="A122" s="1"/>
      <c r="B122" s="4" t="s">
        <v>3604</v>
      </c>
      <c r="C122" s="1"/>
      <c r="D122" s="4" t="s">
        <v>413</v>
      </c>
      <c r="E122" s="1"/>
      <c r="F122" s="4" t="s">
        <v>414</v>
      </c>
      <c r="G122" s="4" t="s">
        <v>1012</v>
      </c>
      <c r="H122" s="1">
        <v>1</v>
      </c>
      <c r="I122" s="1" t="s">
        <v>3282</v>
      </c>
      <c r="J122" s="73">
        <v>1955204.83</v>
      </c>
      <c r="K122" s="1">
        <v>7840</v>
      </c>
      <c r="L122" s="1">
        <v>3998</v>
      </c>
      <c r="M122" s="1">
        <v>3842</v>
      </c>
      <c r="N122" s="1"/>
      <c r="O122" s="1" t="s">
        <v>2725</v>
      </c>
      <c r="P122" s="1" t="s">
        <v>3584</v>
      </c>
      <c r="Q122" s="1" t="s">
        <v>3584</v>
      </c>
      <c r="R122" s="4" t="s">
        <v>3634</v>
      </c>
      <c r="S122" s="4" t="s">
        <v>3633</v>
      </c>
    </row>
    <row r="123" spans="1:19" ht="57.6" customHeight="1" x14ac:dyDescent="0.25">
      <c r="A123" s="1"/>
      <c r="B123" s="4" t="s">
        <v>3604</v>
      </c>
      <c r="C123" s="1"/>
      <c r="D123" s="4" t="s">
        <v>413</v>
      </c>
      <c r="E123" s="1"/>
      <c r="F123" s="4" t="s">
        <v>1567</v>
      </c>
      <c r="G123" s="4" t="s">
        <v>1012</v>
      </c>
      <c r="H123" s="1">
        <v>1</v>
      </c>
      <c r="I123" s="1" t="s">
        <v>3282</v>
      </c>
      <c r="J123" s="73">
        <v>1820000</v>
      </c>
      <c r="K123" s="1">
        <v>7840</v>
      </c>
      <c r="L123" s="1">
        <v>3998</v>
      </c>
      <c r="M123" s="1">
        <v>3842</v>
      </c>
      <c r="N123" s="1"/>
      <c r="O123" s="1" t="s">
        <v>2725</v>
      </c>
      <c r="P123" s="1" t="s">
        <v>3587</v>
      </c>
      <c r="Q123" s="1" t="s">
        <v>3587</v>
      </c>
      <c r="R123" s="4" t="s">
        <v>3639</v>
      </c>
      <c r="S123" s="4" t="s">
        <v>3633</v>
      </c>
    </row>
    <row r="124" spans="1:19" ht="75" x14ac:dyDescent="0.25">
      <c r="A124" s="1"/>
      <c r="B124" s="4" t="s">
        <v>3604</v>
      </c>
      <c r="C124" s="1"/>
      <c r="D124" s="4" t="s">
        <v>3427</v>
      </c>
      <c r="E124" s="1"/>
      <c r="F124" s="4" t="s">
        <v>2466</v>
      </c>
      <c r="G124" s="4" t="s">
        <v>1012</v>
      </c>
      <c r="H124" s="1">
        <v>1</v>
      </c>
      <c r="I124" s="1" t="s">
        <v>3282</v>
      </c>
      <c r="J124" s="73">
        <v>9688000</v>
      </c>
      <c r="K124" s="1">
        <v>7840</v>
      </c>
      <c r="L124" s="1">
        <v>3998</v>
      </c>
      <c r="M124" s="1">
        <v>3842</v>
      </c>
      <c r="N124" s="1"/>
      <c r="O124" s="1" t="s">
        <v>2725</v>
      </c>
      <c r="P124" s="1" t="s">
        <v>3588</v>
      </c>
      <c r="Q124" s="1" t="s">
        <v>3588</v>
      </c>
      <c r="R124" s="4" t="s">
        <v>3639</v>
      </c>
      <c r="S124" s="4" t="s">
        <v>3633</v>
      </c>
    </row>
    <row r="125" spans="1:19" ht="81" customHeight="1" x14ac:dyDescent="0.25">
      <c r="A125" s="1"/>
      <c r="B125" s="4" t="s">
        <v>3604</v>
      </c>
      <c r="C125" s="1"/>
      <c r="D125" s="4" t="s">
        <v>3427</v>
      </c>
      <c r="E125" s="1"/>
      <c r="F125" s="4" t="s">
        <v>3104</v>
      </c>
      <c r="G125" s="4" t="s">
        <v>1012</v>
      </c>
      <c r="H125" s="1">
        <v>1</v>
      </c>
      <c r="I125" s="1" t="s">
        <v>3282</v>
      </c>
      <c r="J125" s="73">
        <v>1915000</v>
      </c>
      <c r="K125" s="1">
        <v>7840</v>
      </c>
      <c r="L125" s="1">
        <v>3998</v>
      </c>
      <c r="M125" s="1">
        <v>3842</v>
      </c>
      <c r="N125" s="1"/>
      <c r="O125" s="1" t="s">
        <v>2725</v>
      </c>
      <c r="P125" s="1" t="s">
        <v>3632</v>
      </c>
      <c r="Q125" s="1" t="s">
        <v>3632</v>
      </c>
      <c r="R125" s="4" t="s">
        <v>3639</v>
      </c>
      <c r="S125" s="4" t="s">
        <v>3633</v>
      </c>
    </row>
    <row r="126" spans="1:19" ht="135" x14ac:dyDescent="0.25">
      <c r="A126" s="1"/>
      <c r="B126" s="4" t="s">
        <v>3604</v>
      </c>
      <c r="C126" s="1"/>
      <c r="D126" s="4" t="s">
        <v>3427</v>
      </c>
      <c r="E126" s="1"/>
      <c r="F126" s="4" t="s">
        <v>468</v>
      </c>
      <c r="G126" s="4" t="s">
        <v>1012</v>
      </c>
      <c r="H126" s="1">
        <v>1</v>
      </c>
      <c r="I126" s="1" t="s">
        <v>3282</v>
      </c>
      <c r="J126" s="73">
        <v>13855000</v>
      </c>
      <c r="K126" s="1">
        <v>7840</v>
      </c>
      <c r="L126" s="1">
        <v>3998</v>
      </c>
      <c r="M126" s="1">
        <v>3842</v>
      </c>
      <c r="N126" s="1"/>
      <c r="O126" s="1" t="s">
        <v>2725</v>
      </c>
      <c r="P126" s="1" t="s">
        <v>3590</v>
      </c>
      <c r="Q126" s="1" t="s">
        <v>3590</v>
      </c>
      <c r="R126" s="4" t="s">
        <v>3639</v>
      </c>
      <c r="S126" s="4" t="s">
        <v>3633</v>
      </c>
    </row>
    <row r="127" spans="1:19" ht="150" x14ac:dyDescent="0.25">
      <c r="A127" s="1"/>
      <c r="B127" s="4" t="s">
        <v>3604</v>
      </c>
      <c r="C127" s="1"/>
      <c r="D127" s="4" t="s">
        <v>3428</v>
      </c>
      <c r="E127" s="1"/>
      <c r="F127" s="4" t="s">
        <v>3319</v>
      </c>
      <c r="G127" s="4" t="s">
        <v>1012</v>
      </c>
      <c r="H127" s="1">
        <v>1</v>
      </c>
      <c r="I127" s="1" t="s">
        <v>126</v>
      </c>
      <c r="J127" s="73">
        <v>14715000</v>
      </c>
      <c r="K127" s="1">
        <v>7840</v>
      </c>
      <c r="L127" s="1">
        <v>3998</v>
      </c>
      <c r="M127" s="1">
        <v>3842</v>
      </c>
      <c r="N127" s="1"/>
      <c r="O127" s="1" t="s">
        <v>2725</v>
      </c>
      <c r="P127" s="1" t="s">
        <v>3589</v>
      </c>
      <c r="Q127" s="1" t="s">
        <v>3589</v>
      </c>
      <c r="R127" s="4" t="s">
        <v>3639</v>
      </c>
      <c r="S127" s="4" t="s">
        <v>3633</v>
      </c>
    </row>
    <row r="128" spans="1:19" x14ac:dyDescent="0.25">
      <c r="A128" s="1"/>
      <c r="B128" s="4"/>
      <c r="C128" s="1"/>
      <c r="D128" s="4"/>
      <c r="E128" s="1"/>
      <c r="F128" s="4"/>
      <c r="G128" s="4"/>
      <c r="H128" s="1"/>
      <c r="I128" s="1"/>
      <c r="J128" s="73"/>
      <c r="K128" s="1"/>
      <c r="L128" s="1"/>
      <c r="M128" s="1"/>
      <c r="N128" s="1"/>
      <c r="O128" s="1"/>
      <c r="P128" s="1"/>
      <c r="Q128" s="1"/>
      <c r="R128" s="4"/>
      <c r="S128" s="4"/>
    </row>
    <row r="129" spans="1:19" ht="55.15" customHeight="1" x14ac:dyDescent="0.25">
      <c r="A129" s="1"/>
      <c r="B129" s="4" t="s">
        <v>3629</v>
      </c>
      <c r="C129" s="1"/>
      <c r="D129" s="4" t="s">
        <v>3628</v>
      </c>
      <c r="E129" s="1"/>
      <c r="F129" s="4" t="s">
        <v>3630</v>
      </c>
      <c r="G129" s="4" t="s">
        <v>1012</v>
      </c>
      <c r="H129" s="1">
        <v>12</v>
      </c>
      <c r="I129" s="1" t="s">
        <v>3638</v>
      </c>
      <c r="J129" s="73">
        <v>26926587.09</v>
      </c>
      <c r="K129" s="1">
        <v>7840</v>
      </c>
      <c r="L129" s="1">
        <v>3998</v>
      </c>
      <c r="M129" s="1">
        <v>3842</v>
      </c>
      <c r="N129" s="1"/>
      <c r="O129" s="1" t="s">
        <v>250</v>
      </c>
      <c r="P129" s="1" t="s">
        <v>3632</v>
      </c>
      <c r="Q129" s="1" t="s">
        <v>3594</v>
      </c>
      <c r="R129" s="4" t="s">
        <v>3635</v>
      </c>
      <c r="S129" s="4" t="s">
        <v>3633</v>
      </c>
    </row>
    <row r="130" spans="1:19" ht="13.15" customHeight="1" x14ac:dyDescent="0.25"/>
    <row r="131" spans="1:19" x14ac:dyDescent="0.25">
      <c r="F131" s="5"/>
      <c r="J131" s="23"/>
      <c r="N131" s="2213" t="s">
        <v>3646</v>
      </c>
      <c r="O131" s="2213"/>
      <c r="P131" s="2213"/>
      <c r="Q131" s="2213"/>
    </row>
    <row r="132" spans="1:19" x14ac:dyDescent="0.25">
      <c r="B132" s="2213" t="s">
        <v>3647</v>
      </c>
      <c r="C132" s="2213"/>
      <c r="D132" s="2213"/>
      <c r="F132" s="5"/>
      <c r="J132" s="23"/>
      <c r="N132" s="2213" t="s">
        <v>3623</v>
      </c>
      <c r="O132" s="2213"/>
      <c r="P132" s="2213"/>
      <c r="Q132" s="2213"/>
    </row>
    <row r="133" spans="1:19" x14ac:dyDescent="0.25">
      <c r="F133" s="5"/>
    </row>
    <row r="134" spans="1:19" ht="14.45" customHeight="1" x14ac:dyDescent="0.25">
      <c r="F134" s="5"/>
    </row>
    <row r="135" spans="1:19" x14ac:dyDescent="0.25">
      <c r="F135" s="5"/>
    </row>
    <row r="136" spans="1:19" x14ac:dyDescent="0.25">
      <c r="B136" s="2213" t="s">
        <v>3631</v>
      </c>
      <c r="C136" s="2213"/>
      <c r="D136" s="2213"/>
      <c r="F136" s="5"/>
      <c r="N136" s="2213" t="s">
        <v>3645</v>
      </c>
      <c r="O136" s="2213"/>
      <c r="P136" s="2213"/>
      <c r="Q136" s="2213"/>
    </row>
    <row r="137" spans="1:19" ht="72" customHeight="1" x14ac:dyDescent="0.25"/>
    <row r="140" spans="1:19" ht="57.6" customHeight="1" x14ac:dyDescent="0.25"/>
    <row r="143" spans="1:19" ht="43.15" customHeight="1" x14ac:dyDescent="0.25"/>
    <row r="145" ht="28.9" customHeight="1" x14ac:dyDescent="0.25"/>
    <row r="146" ht="43.15" customHeight="1" x14ac:dyDescent="0.25"/>
    <row r="147" ht="72" customHeight="1" x14ac:dyDescent="0.25"/>
    <row r="149" ht="72" customHeight="1" x14ac:dyDescent="0.25"/>
    <row r="151" ht="72" customHeight="1" x14ac:dyDescent="0.25"/>
    <row r="153" ht="72" customHeight="1" x14ac:dyDescent="0.25"/>
    <row r="156" ht="172.9" customHeight="1" x14ac:dyDescent="0.25"/>
    <row r="158" ht="43.15" customHeight="1" x14ac:dyDescent="0.25"/>
    <row r="160" ht="57.6" customHeight="1" x14ac:dyDescent="0.25"/>
    <row r="162" ht="57.6" customHeight="1" x14ac:dyDescent="0.25"/>
    <row r="164" ht="43.15" customHeight="1" x14ac:dyDescent="0.25"/>
    <row r="166" ht="43.15" customHeight="1" x14ac:dyDescent="0.25"/>
    <row r="168" ht="43.15" customHeight="1" x14ac:dyDescent="0.25"/>
    <row r="174" ht="28.9" customHeight="1" x14ac:dyDescent="0.25"/>
    <row r="177" ht="129.6" customHeight="1" x14ac:dyDescent="0.25"/>
    <row r="179" ht="72" customHeight="1" x14ac:dyDescent="0.25"/>
    <row r="183" ht="43.15" customHeight="1" x14ac:dyDescent="0.25"/>
    <row r="185" ht="43.15" customHeight="1" x14ac:dyDescent="0.25"/>
    <row r="188" ht="57.6" customHeight="1" x14ac:dyDescent="0.25"/>
    <row r="192" ht="43.15" customHeight="1" x14ac:dyDescent="0.25"/>
    <row r="194" ht="43.15" customHeight="1" x14ac:dyDescent="0.25"/>
    <row r="196" ht="28.9" customHeight="1" x14ac:dyDescent="0.25"/>
    <row r="197" ht="57.6" customHeight="1" x14ac:dyDescent="0.25"/>
    <row r="200" ht="43.15" customHeight="1" x14ac:dyDescent="0.25"/>
    <row r="202" ht="57.6" customHeight="1" x14ac:dyDescent="0.25"/>
    <row r="204" ht="43.15" customHeight="1" x14ac:dyDescent="0.25"/>
    <row r="206" ht="57.6" customHeight="1" x14ac:dyDescent="0.25"/>
    <row r="217" ht="43.15" customHeight="1" x14ac:dyDescent="0.25"/>
    <row r="219" ht="43.15" customHeight="1" x14ac:dyDescent="0.25"/>
    <row r="221" ht="72" customHeight="1" x14ac:dyDescent="0.25"/>
    <row r="224" ht="86.45" customHeight="1" x14ac:dyDescent="0.25"/>
    <row r="226" ht="43.15" customHeight="1" x14ac:dyDescent="0.25"/>
    <row r="227" ht="28.9" customHeight="1" x14ac:dyDescent="0.25"/>
  </sheetData>
  <mergeCells count="21">
    <mergeCell ref="B136:D136"/>
    <mergeCell ref="N136:Q136"/>
    <mergeCell ref="G15:G16"/>
    <mergeCell ref="H15:H16"/>
    <mergeCell ref="I15:I16"/>
    <mergeCell ref="J15:J16"/>
    <mergeCell ref="K15:N15"/>
    <mergeCell ref="O15:Q15"/>
    <mergeCell ref="N131:Q131"/>
    <mergeCell ref="B132:D132"/>
    <mergeCell ref="N132:Q132"/>
    <mergeCell ref="A15:A16"/>
    <mergeCell ref="B15:F15"/>
    <mergeCell ref="D13:I13"/>
    <mergeCell ref="A7:S7"/>
    <mergeCell ref="A8:S8"/>
    <mergeCell ref="D10:I10"/>
    <mergeCell ref="D11:I11"/>
    <mergeCell ref="D12:I12"/>
    <mergeCell ref="R15:R16"/>
    <mergeCell ref="S15:S16"/>
  </mergeCells>
  <pageMargins left="0.5" right="0.5" top="0.75" bottom="1" header="0.3" footer="0.3"/>
  <pageSetup paperSize="5" scale="70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696A4-F92A-464C-89DD-18EFD195F055}">
  <dimension ref="A1:AA1036"/>
  <sheetViews>
    <sheetView topLeftCell="H9" zoomScale="80" zoomScaleNormal="80" workbookViewId="0">
      <pane ySplit="1800" topLeftCell="A1004" activePane="bottomLeft"/>
      <selection activeCell="Q3" sqref="Q3"/>
      <selection pane="bottomLeft" activeCell="O1014" sqref="O1014"/>
    </sheetView>
  </sheetViews>
  <sheetFormatPr defaultRowHeight="15" x14ac:dyDescent="0.25"/>
  <cols>
    <col min="1" max="3" width="3.28515625" customWidth="1"/>
    <col min="4" max="4" width="2.5703125" customWidth="1"/>
    <col min="5" max="7" width="3.28515625" customWidth="1"/>
    <col min="8" max="8" width="27" customWidth="1"/>
    <col min="9" max="9" width="18.5703125" customWidth="1"/>
    <col min="10" max="10" width="9" customWidth="1"/>
    <col min="11" max="11" width="13" style="5" customWidth="1"/>
    <col min="12" max="12" width="17.7109375" style="68" bestFit="1" customWidth="1"/>
    <col min="13" max="13" width="16.28515625" style="68" bestFit="1" customWidth="1"/>
    <col min="14" max="14" width="16.140625" style="68" customWidth="1"/>
    <col min="15" max="15" width="18.28515625" style="68" customWidth="1"/>
    <col min="16" max="18" width="16.140625" style="68" bestFit="1" customWidth="1"/>
    <col min="19" max="19" width="14.85546875" style="68" bestFit="1" customWidth="1"/>
    <col min="20" max="22" width="16.140625" style="68" bestFit="1" customWidth="1"/>
    <col min="23" max="23" width="15.28515625" style="68" customWidth="1"/>
    <col min="24" max="24" width="17.7109375" bestFit="1" customWidth="1"/>
    <col min="25" max="25" width="19.7109375" customWidth="1"/>
    <col min="26" max="26" width="24.42578125" customWidth="1"/>
    <col min="27" max="27" width="15.5703125" customWidth="1"/>
  </cols>
  <sheetData>
    <row r="1" spans="1:24" ht="26.25" x14ac:dyDescent="0.4">
      <c r="A1" s="2229" t="s">
        <v>3578</v>
      </c>
      <c r="B1" s="2229"/>
      <c r="C1" s="2229"/>
      <c r="D1" s="2229"/>
      <c r="E1" s="2229"/>
      <c r="F1" s="2229"/>
      <c r="G1" s="2229"/>
      <c r="H1" s="2229"/>
      <c r="I1" s="2229"/>
      <c r="J1" s="2229"/>
      <c r="K1" s="2229"/>
      <c r="L1" s="2229"/>
      <c r="M1" s="2229"/>
      <c r="N1" s="2229"/>
      <c r="O1" s="2229"/>
      <c r="P1" s="2229"/>
      <c r="Q1" s="2229"/>
      <c r="R1" s="2229"/>
      <c r="S1" s="2229"/>
      <c r="T1" s="2229"/>
      <c r="U1" s="2229"/>
      <c r="V1" s="2229"/>
      <c r="W1" s="2229"/>
      <c r="X1" s="2229"/>
    </row>
    <row r="2" spans="1:24" ht="26.25" x14ac:dyDescent="0.4">
      <c r="A2" s="2229" t="s">
        <v>2398</v>
      </c>
      <c r="B2" s="2229"/>
      <c r="C2" s="2229"/>
      <c r="D2" s="2229"/>
      <c r="E2" s="2229"/>
      <c r="F2" s="2229"/>
      <c r="G2" s="2229"/>
      <c r="H2" s="2229"/>
      <c r="I2" s="2229"/>
      <c r="J2" s="2229"/>
      <c r="K2" s="2229"/>
      <c r="L2" s="2229"/>
      <c r="M2" s="2229"/>
      <c r="N2" s="2229"/>
      <c r="O2" s="2229"/>
      <c r="P2" s="2229"/>
      <c r="Q2" s="2229"/>
      <c r="R2" s="2229"/>
      <c r="S2" s="2229"/>
      <c r="T2" s="2229"/>
      <c r="U2" s="2229"/>
      <c r="V2" s="2229"/>
      <c r="W2" s="2229"/>
      <c r="X2" s="2229"/>
    </row>
    <row r="3" spans="1:24" ht="26.25" x14ac:dyDescent="0.4">
      <c r="A3" s="1881"/>
      <c r="B3" s="1881"/>
      <c r="C3" s="1881"/>
      <c r="D3" s="1881"/>
      <c r="E3" s="1881"/>
      <c r="F3" s="1881"/>
      <c r="G3" s="1881"/>
      <c r="H3" s="1881"/>
      <c r="I3" s="1881"/>
      <c r="J3" s="1881"/>
      <c r="K3" s="1881"/>
      <c r="L3" s="1881"/>
      <c r="M3" s="1881"/>
      <c r="N3" s="1881"/>
      <c r="O3" s="1881"/>
      <c r="P3" s="1881"/>
      <c r="Q3" s="1881"/>
      <c r="R3" s="1881"/>
      <c r="S3" s="1881"/>
      <c r="T3" s="1881"/>
      <c r="U3" s="1881"/>
      <c r="V3" s="1881"/>
      <c r="W3" s="1881"/>
      <c r="X3" s="1881"/>
    </row>
    <row r="4" spans="1:24" ht="26.25" x14ac:dyDescent="0.4">
      <c r="A4" s="1881"/>
      <c r="B4" s="1881"/>
      <c r="C4" s="1881"/>
      <c r="D4" s="1881"/>
      <c r="E4" s="1881"/>
      <c r="F4" s="1881"/>
      <c r="G4" s="1881"/>
      <c r="H4" s="1881"/>
      <c r="I4" s="1881"/>
      <c r="J4" s="1881"/>
      <c r="K4" s="1881"/>
      <c r="L4" s="1881"/>
      <c r="M4" s="1881"/>
      <c r="N4" s="1881"/>
      <c r="O4" s="1881"/>
      <c r="P4" s="1881"/>
      <c r="Q4" s="1881"/>
      <c r="R4" s="1881"/>
      <c r="S4" s="1881"/>
      <c r="T4" s="1881"/>
      <c r="U4" s="1881"/>
      <c r="V4" s="1881"/>
      <c r="W4" s="1881"/>
      <c r="X4" s="1881"/>
    </row>
    <row r="5" spans="1:24" ht="26.25" x14ac:dyDescent="0.4">
      <c r="A5" s="1881"/>
      <c r="B5" s="1881"/>
      <c r="C5" s="1881"/>
      <c r="D5" s="1881"/>
      <c r="E5" s="1881"/>
      <c r="F5" s="1881"/>
      <c r="G5" s="1881"/>
      <c r="H5" s="1881"/>
      <c r="I5" s="1881"/>
      <c r="J5" s="1881"/>
      <c r="K5" s="1881"/>
      <c r="L5" s="1881"/>
      <c r="M5" s="1881"/>
      <c r="N5" s="1881"/>
      <c r="O5" s="1881"/>
      <c r="P5" s="1881"/>
      <c r="Q5" s="1881"/>
      <c r="R5" s="1881"/>
      <c r="S5" s="1881"/>
      <c r="T5" s="1881"/>
      <c r="U5" s="1881"/>
      <c r="V5" s="1881"/>
      <c r="W5" s="1881"/>
      <c r="X5" s="1881"/>
    </row>
    <row r="6" spans="1:24" ht="26.25" x14ac:dyDescent="0.4">
      <c r="A6" s="1881"/>
      <c r="B6" s="1881"/>
      <c r="C6" s="1881"/>
      <c r="D6" s="1881"/>
      <c r="E6" s="1881"/>
      <c r="F6" s="1881"/>
      <c r="G6" s="1881"/>
      <c r="H6" s="1881"/>
      <c r="I6" s="1881"/>
      <c r="J6" s="1881"/>
      <c r="K6" s="1881"/>
      <c r="L6" s="1881"/>
      <c r="M6" s="1881"/>
      <c r="N6" s="1881"/>
      <c r="O6" s="1881"/>
      <c r="P6" s="1881"/>
      <c r="Q6" s="1881"/>
      <c r="R6" s="1881"/>
      <c r="S6" s="1881"/>
      <c r="T6" s="1881"/>
      <c r="U6" s="1881"/>
      <c r="V6" s="1881"/>
      <c r="W6" s="1881"/>
      <c r="X6" s="1881"/>
    </row>
    <row r="7" spans="1:24" ht="26.25" x14ac:dyDescent="0.4">
      <c r="A7" s="1881"/>
      <c r="B7" s="1881"/>
      <c r="C7" s="1881"/>
      <c r="D7" s="1881"/>
      <c r="E7" s="1881"/>
      <c r="F7" s="1881"/>
      <c r="G7" s="1881"/>
      <c r="H7" s="1881"/>
      <c r="I7" s="1881"/>
      <c r="J7" s="1881"/>
      <c r="K7" s="1881"/>
      <c r="L7" s="1881"/>
      <c r="M7" s="1881"/>
      <c r="N7" s="1881"/>
      <c r="O7" s="1881"/>
      <c r="P7" s="1881"/>
      <c r="Q7" s="1881"/>
      <c r="R7" s="1881"/>
      <c r="S7" s="1881"/>
      <c r="T7" s="1881"/>
      <c r="U7" s="1881"/>
      <c r="V7" s="1881"/>
      <c r="W7" s="1881"/>
      <c r="X7" s="1881"/>
    </row>
    <row r="8" spans="1:24" ht="26.25" x14ac:dyDescent="0.4">
      <c r="A8" s="1881"/>
      <c r="B8" s="1881"/>
      <c r="C8" s="1881"/>
      <c r="D8" s="1881"/>
      <c r="E8" s="1881"/>
      <c r="F8" s="1881"/>
      <c r="G8" s="1881"/>
      <c r="H8" s="1881"/>
      <c r="I8" s="1881"/>
      <c r="J8" s="1881"/>
      <c r="K8" s="1881"/>
      <c r="L8" s="1881"/>
      <c r="M8" s="1881"/>
      <c r="N8" s="1881"/>
      <c r="O8" s="1881"/>
      <c r="P8" s="1881"/>
      <c r="Q8" s="1881"/>
      <c r="R8" s="1881"/>
      <c r="S8" s="1881"/>
      <c r="T8" s="1881"/>
      <c r="U8" s="1881"/>
      <c r="V8" s="1881"/>
      <c r="W8" s="1881"/>
      <c r="X8" s="1881"/>
    </row>
    <row r="9" spans="1:24" ht="26.25" x14ac:dyDescent="0.4">
      <c r="A9" s="1881"/>
      <c r="B9" s="1881"/>
      <c r="C9" s="1881"/>
      <c r="D9" s="1881"/>
      <c r="E9" s="1881"/>
      <c r="F9" s="1881"/>
      <c r="G9" s="1881"/>
      <c r="H9" s="1881"/>
      <c r="I9" s="1881"/>
      <c r="J9" s="1881"/>
      <c r="K9" s="1881"/>
      <c r="L9" s="1881"/>
      <c r="M9" s="1881"/>
      <c r="N9" s="1881"/>
      <c r="O9" s="1881"/>
      <c r="P9" s="1881"/>
      <c r="Q9" s="1881"/>
      <c r="R9" s="1881"/>
      <c r="S9" s="1881"/>
      <c r="T9" s="1881"/>
      <c r="U9" s="1881"/>
      <c r="V9" s="1881"/>
      <c r="W9" s="1881"/>
      <c r="X9" s="1881"/>
    </row>
    <row r="10" spans="1:24" x14ac:dyDescent="0.25">
      <c r="A10" s="2230"/>
      <c r="B10" s="2230"/>
      <c r="C10" s="2230"/>
      <c r="D10" s="2230"/>
      <c r="E10" s="2230"/>
      <c r="F10" s="2230"/>
      <c r="G10" s="2230"/>
      <c r="H10" s="2230"/>
      <c r="I10" s="2230"/>
      <c r="J10" s="2230"/>
      <c r="K10" s="2230"/>
      <c r="L10" s="2230"/>
      <c r="M10" s="2230"/>
      <c r="N10" s="2230"/>
      <c r="O10" s="2230"/>
      <c r="P10" s="2230"/>
      <c r="Q10" s="2230"/>
      <c r="R10" s="2230"/>
      <c r="S10" s="2230"/>
      <c r="T10" s="2230"/>
      <c r="U10" s="2230"/>
      <c r="V10" s="2230"/>
      <c r="W10" s="2230"/>
      <c r="X10" s="2230"/>
    </row>
    <row r="11" spans="1:24" x14ac:dyDescent="0.25">
      <c r="A11" s="2231" t="s">
        <v>3359</v>
      </c>
      <c r="B11" s="2231"/>
      <c r="C11" s="2231"/>
      <c r="D11" s="2231"/>
      <c r="E11" s="2231"/>
      <c r="F11" s="2231"/>
      <c r="G11" s="2231"/>
      <c r="H11" s="2216" t="s">
        <v>3579</v>
      </c>
      <c r="I11" s="2232" t="s">
        <v>3361</v>
      </c>
      <c r="J11" s="2234" t="s">
        <v>3362</v>
      </c>
      <c r="K11" s="1863" t="s">
        <v>3580</v>
      </c>
      <c r="L11" s="2236" t="s">
        <v>3581</v>
      </c>
      <c r="M11" s="2237"/>
      <c r="N11" s="2237"/>
      <c r="O11" s="2237"/>
      <c r="P11" s="2237"/>
      <c r="Q11" s="2237"/>
      <c r="R11" s="2237"/>
      <c r="S11" s="2237"/>
      <c r="T11" s="2237"/>
      <c r="U11" s="2237"/>
      <c r="V11" s="2237"/>
      <c r="W11" s="2238"/>
      <c r="X11" s="2239" t="s">
        <v>26</v>
      </c>
    </row>
    <row r="12" spans="1:24" x14ac:dyDescent="0.25">
      <c r="A12" s="2231"/>
      <c r="B12" s="2231"/>
      <c r="C12" s="2231"/>
      <c r="D12" s="2231"/>
      <c r="E12" s="2231"/>
      <c r="F12" s="2231"/>
      <c r="G12" s="2231"/>
      <c r="H12" s="2216"/>
      <c r="I12" s="2233"/>
      <c r="J12" s="2235"/>
      <c r="K12" s="1863" t="s">
        <v>3582</v>
      </c>
      <c r="L12" s="1861" t="s">
        <v>3583</v>
      </c>
      <c r="M12" s="1861" t="s">
        <v>3584</v>
      </c>
      <c r="N12" s="1861" t="s">
        <v>3585</v>
      </c>
      <c r="O12" s="1861" t="s">
        <v>3586</v>
      </c>
      <c r="P12" s="1861" t="s">
        <v>3587</v>
      </c>
      <c r="Q12" s="1861" t="s">
        <v>3588</v>
      </c>
      <c r="R12" s="1861" t="s">
        <v>3589</v>
      </c>
      <c r="S12" s="1861" t="s">
        <v>3590</v>
      </c>
      <c r="T12" s="1861" t="s">
        <v>3591</v>
      </c>
      <c r="U12" s="1861" t="s">
        <v>3592</v>
      </c>
      <c r="V12" s="1861" t="s">
        <v>3593</v>
      </c>
      <c r="W12" s="1861" t="s">
        <v>3594</v>
      </c>
      <c r="X12" s="2240"/>
    </row>
    <row r="13" spans="1:24" x14ac:dyDescent="0.25">
      <c r="A13" s="2225">
        <v>1</v>
      </c>
      <c r="B13" s="2225"/>
      <c r="C13" s="2225"/>
      <c r="D13" s="2225">
        <v>2</v>
      </c>
      <c r="E13" s="2225"/>
      <c r="F13" s="2225"/>
      <c r="G13" s="2225"/>
      <c r="H13" s="1548">
        <v>3</v>
      </c>
      <c r="I13" s="890">
        <v>4</v>
      </c>
      <c r="J13" s="2226">
        <v>5</v>
      </c>
      <c r="K13" s="2227"/>
      <c r="L13" s="2227"/>
      <c r="M13" s="2227"/>
      <c r="N13" s="2227"/>
      <c r="O13" s="2227"/>
      <c r="P13" s="2227"/>
      <c r="Q13" s="2227"/>
      <c r="R13" s="2227"/>
      <c r="S13" s="2227"/>
      <c r="T13" s="2227"/>
      <c r="U13" s="2227"/>
      <c r="V13" s="2227"/>
      <c r="W13" s="2228"/>
      <c r="X13" s="1862">
        <v>6</v>
      </c>
    </row>
    <row r="14" spans="1:24" x14ac:dyDescent="0.25">
      <c r="A14" s="25" t="s">
        <v>998</v>
      </c>
      <c r="B14" s="25" t="s">
        <v>999</v>
      </c>
      <c r="C14" s="25" t="s">
        <v>1000</v>
      </c>
      <c r="D14" s="25" t="s">
        <v>998</v>
      </c>
      <c r="E14" s="25" t="s">
        <v>999</v>
      </c>
      <c r="F14" s="25" t="s">
        <v>1000</v>
      </c>
      <c r="G14" s="25" t="s">
        <v>1001</v>
      </c>
      <c r="H14" s="1"/>
      <c r="I14" s="73"/>
      <c r="J14" s="4"/>
      <c r="K14" s="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1"/>
    </row>
    <row r="15" spans="1:24" x14ac:dyDescent="0.25">
      <c r="A15" s="25"/>
      <c r="B15" s="25"/>
      <c r="C15" s="25"/>
      <c r="D15" s="25">
        <v>4</v>
      </c>
      <c r="E15" s="25"/>
      <c r="F15" s="25"/>
      <c r="G15" s="25"/>
      <c r="H15" s="4" t="s">
        <v>3365</v>
      </c>
      <c r="I15" s="73"/>
      <c r="J15" s="4"/>
      <c r="K15" s="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1"/>
    </row>
    <row r="16" spans="1:24" x14ac:dyDescent="0.25">
      <c r="A16" s="25"/>
      <c r="B16" s="25"/>
      <c r="C16" s="25"/>
      <c r="D16" s="25">
        <v>4</v>
      </c>
      <c r="E16" s="25">
        <v>1</v>
      </c>
      <c r="F16" s="25"/>
      <c r="G16" s="25"/>
      <c r="H16" s="4" t="s">
        <v>1208</v>
      </c>
      <c r="I16" s="73"/>
      <c r="J16" s="4"/>
      <c r="K16" s="4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1"/>
    </row>
    <row r="17" spans="1:25" x14ac:dyDescent="0.25">
      <c r="A17" s="25"/>
      <c r="B17" s="25"/>
      <c r="C17" s="25"/>
      <c r="D17" s="25">
        <v>4</v>
      </c>
      <c r="E17" s="25">
        <v>1</v>
      </c>
      <c r="F17" s="25">
        <v>1</v>
      </c>
      <c r="G17" s="25" t="s">
        <v>3366</v>
      </c>
      <c r="H17" s="4" t="s">
        <v>3367</v>
      </c>
      <c r="I17" s="73">
        <v>424024020</v>
      </c>
      <c r="J17" s="4" t="s">
        <v>1223</v>
      </c>
      <c r="K17" s="4"/>
      <c r="L17" s="73">
        <v>35335335</v>
      </c>
      <c r="M17" s="73">
        <v>35335335</v>
      </c>
      <c r="N17" s="73">
        <v>35335335</v>
      </c>
      <c r="O17" s="73">
        <v>35335335</v>
      </c>
      <c r="P17" s="73">
        <v>35335335</v>
      </c>
      <c r="Q17" s="73">
        <v>35335335</v>
      </c>
      <c r="R17" s="73">
        <v>35335335</v>
      </c>
      <c r="S17" s="73">
        <v>35335335</v>
      </c>
      <c r="T17" s="73">
        <v>35335335</v>
      </c>
      <c r="U17" s="73">
        <v>35335335</v>
      </c>
      <c r="V17" s="73">
        <v>35335335</v>
      </c>
      <c r="W17" s="73">
        <v>35335335</v>
      </c>
      <c r="X17" s="73">
        <f>SUM(L17:W17)</f>
        <v>424024020</v>
      </c>
      <c r="Y17" s="23">
        <f>I17-X17</f>
        <v>0</v>
      </c>
    </row>
    <row r="18" spans="1:25" ht="30" x14ac:dyDescent="0.25">
      <c r="A18" s="25"/>
      <c r="B18" s="25"/>
      <c r="C18" s="25"/>
      <c r="D18" s="25">
        <v>4</v>
      </c>
      <c r="E18" s="25">
        <v>1</v>
      </c>
      <c r="F18" s="25">
        <v>3</v>
      </c>
      <c r="G18" s="25"/>
      <c r="H18" s="4" t="s">
        <v>3368</v>
      </c>
      <c r="I18" s="73"/>
      <c r="J18" s="4"/>
      <c r="K18" s="4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>
        <f t="shared" ref="X18:X34" si="0">SUM(L18:W18)</f>
        <v>0</v>
      </c>
      <c r="Y18" s="23">
        <f t="shared" ref="Y18:Y34" si="1">I18-X18</f>
        <v>0</v>
      </c>
    </row>
    <row r="19" spans="1:25" ht="30" x14ac:dyDescent="0.25">
      <c r="A19" s="25"/>
      <c r="B19" s="25"/>
      <c r="C19" s="25"/>
      <c r="D19" s="25">
        <v>4</v>
      </c>
      <c r="E19" s="25">
        <v>1</v>
      </c>
      <c r="F19" s="25">
        <v>3</v>
      </c>
      <c r="G19" s="25" t="s">
        <v>3366</v>
      </c>
      <c r="H19" s="4" t="s">
        <v>3369</v>
      </c>
      <c r="I19" s="73">
        <v>83760000</v>
      </c>
      <c r="J19" s="4" t="s">
        <v>2178</v>
      </c>
      <c r="K19" s="4"/>
      <c r="L19" s="73">
        <v>6980000</v>
      </c>
      <c r="M19" s="73">
        <v>6980000</v>
      </c>
      <c r="N19" s="73">
        <v>6980000</v>
      </c>
      <c r="O19" s="73">
        <v>6980000</v>
      </c>
      <c r="P19" s="73">
        <v>6980000</v>
      </c>
      <c r="Q19" s="73">
        <v>6980000</v>
      </c>
      <c r="R19" s="73">
        <v>6980000</v>
      </c>
      <c r="S19" s="73">
        <v>6980000</v>
      </c>
      <c r="T19" s="73">
        <v>6980000</v>
      </c>
      <c r="U19" s="73">
        <v>6980000</v>
      </c>
      <c r="V19" s="73">
        <v>6980000</v>
      </c>
      <c r="W19" s="73">
        <v>6980000</v>
      </c>
      <c r="X19" s="73">
        <f t="shared" si="0"/>
        <v>83760000</v>
      </c>
      <c r="Y19" s="23">
        <f t="shared" si="1"/>
        <v>0</v>
      </c>
    </row>
    <row r="20" spans="1:25" x14ac:dyDescent="0.25">
      <c r="A20" s="25"/>
      <c r="B20" s="25"/>
      <c r="C20" s="25"/>
      <c r="D20" s="25">
        <v>4</v>
      </c>
      <c r="E20" s="25">
        <v>2</v>
      </c>
      <c r="F20" s="25"/>
      <c r="G20" s="25"/>
      <c r="H20" s="4" t="s">
        <v>3370</v>
      </c>
      <c r="I20" s="73"/>
      <c r="J20" s="4"/>
      <c r="K20" s="4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>
        <f t="shared" si="0"/>
        <v>0</v>
      </c>
      <c r="Y20" s="23">
        <f t="shared" si="1"/>
        <v>0</v>
      </c>
    </row>
    <row r="21" spans="1:25" x14ac:dyDescent="0.25">
      <c r="A21" s="25"/>
      <c r="B21" s="25"/>
      <c r="C21" s="25"/>
      <c r="D21" s="25">
        <v>4</v>
      </c>
      <c r="E21" s="25">
        <v>2</v>
      </c>
      <c r="F21" s="25">
        <v>1</v>
      </c>
      <c r="G21" s="25"/>
      <c r="H21" s="4" t="s">
        <v>1221</v>
      </c>
      <c r="I21" s="73"/>
      <c r="J21" s="4"/>
      <c r="K21" s="4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>
        <f t="shared" si="0"/>
        <v>0</v>
      </c>
      <c r="Y21" s="23">
        <f t="shared" si="1"/>
        <v>0</v>
      </c>
    </row>
    <row r="22" spans="1:25" x14ac:dyDescent="0.25">
      <c r="A22" s="25"/>
      <c r="B22" s="25"/>
      <c r="C22" s="25"/>
      <c r="D22" s="25">
        <v>4</v>
      </c>
      <c r="E22" s="25">
        <v>2</v>
      </c>
      <c r="F22" s="25">
        <v>1</v>
      </c>
      <c r="G22" s="25" t="s">
        <v>3366</v>
      </c>
      <c r="H22" s="4" t="s">
        <v>1221</v>
      </c>
      <c r="I22" s="73">
        <v>373456000</v>
      </c>
      <c r="J22" s="4" t="s">
        <v>1410</v>
      </c>
      <c r="K22" s="4"/>
      <c r="L22" s="73">
        <v>31121333</v>
      </c>
      <c r="M22" s="73">
        <v>31121333</v>
      </c>
      <c r="N22" s="73">
        <v>31121333</v>
      </c>
      <c r="O22" s="73">
        <v>31121333</v>
      </c>
      <c r="P22" s="73">
        <v>31121333</v>
      </c>
      <c r="Q22" s="73">
        <v>31121333</v>
      </c>
      <c r="R22" s="73">
        <v>31121333</v>
      </c>
      <c r="S22" s="73">
        <v>31121333</v>
      </c>
      <c r="T22" s="73">
        <v>31121333</v>
      </c>
      <c r="U22" s="73">
        <v>31121333</v>
      </c>
      <c r="V22" s="73">
        <v>31121333</v>
      </c>
      <c r="W22" s="73">
        <v>31121337</v>
      </c>
      <c r="X22" s="73">
        <f t="shared" si="0"/>
        <v>373456000</v>
      </c>
      <c r="Y22" s="23">
        <f t="shared" si="1"/>
        <v>0</v>
      </c>
    </row>
    <row r="23" spans="1:25" ht="45" x14ac:dyDescent="0.25">
      <c r="A23" s="25"/>
      <c r="B23" s="25"/>
      <c r="C23" s="25"/>
      <c r="D23" s="25">
        <v>4</v>
      </c>
      <c r="E23" s="25">
        <v>2</v>
      </c>
      <c r="F23" s="25">
        <v>2</v>
      </c>
      <c r="G23" s="25"/>
      <c r="H23" s="4" t="s">
        <v>3371</v>
      </c>
      <c r="I23" s="73"/>
      <c r="J23" s="4"/>
      <c r="K23" s="4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>
        <f t="shared" si="0"/>
        <v>0</v>
      </c>
      <c r="Y23" s="23">
        <f t="shared" si="1"/>
        <v>0</v>
      </c>
    </row>
    <row r="24" spans="1:25" x14ac:dyDescent="0.25">
      <c r="A24" s="25"/>
      <c r="B24" s="25"/>
      <c r="C24" s="25"/>
      <c r="D24" s="25">
        <v>4</v>
      </c>
      <c r="E24" s="25">
        <v>2</v>
      </c>
      <c r="F24" s="25">
        <v>2</v>
      </c>
      <c r="G24" s="25" t="s">
        <v>3366</v>
      </c>
      <c r="H24" s="4" t="s">
        <v>3372</v>
      </c>
      <c r="I24" s="73">
        <v>4781071935</v>
      </c>
      <c r="J24" s="4" t="s">
        <v>1506</v>
      </c>
      <c r="K24" s="4"/>
      <c r="L24" s="73">
        <v>398422661</v>
      </c>
      <c r="M24" s="73">
        <v>398422661</v>
      </c>
      <c r="N24" s="73">
        <v>398422661</v>
      </c>
      <c r="O24" s="73">
        <v>398422661</v>
      </c>
      <c r="P24" s="73">
        <v>398422661</v>
      </c>
      <c r="Q24" s="73">
        <v>398422661</v>
      </c>
      <c r="R24" s="73">
        <v>398422661</v>
      </c>
      <c r="S24" s="73">
        <v>398422661</v>
      </c>
      <c r="T24" s="73">
        <v>398422661</v>
      </c>
      <c r="U24" s="73">
        <v>398422661</v>
      </c>
      <c r="V24" s="73">
        <v>398422661</v>
      </c>
      <c r="W24" s="73">
        <v>398422664</v>
      </c>
      <c r="X24" s="73">
        <f t="shared" si="0"/>
        <v>4781071935</v>
      </c>
      <c r="Y24" s="23">
        <f t="shared" si="1"/>
        <v>0</v>
      </c>
    </row>
    <row r="25" spans="1:25" ht="30" x14ac:dyDescent="0.25">
      <c r="A25" s="25"/>
      <c r="B25" s="25"/>
      <c r="C25" s="25"/>
      <c r="D25" s="25">
        <v>4</v>
      </c>
      <c r="E25" s="25">
        <v>2</v>
      </c>
      <c r="F25" s="25">
        <v>2</v>
      </c>
      <c r="G25" s="25" t="s">
        <v>3366</v>
      </c>
      <c r="H25" s="4" t="s">
        <v>3373</v>
      </c>
      <c r="I25" s="73">
        <v>42836246</v>
      </c>
      <c r="J25" s="4" t="s">
        <v>2177</v>
      </c>
      <c r="K25" s="4"/>
      <c r="L25" s="73">
        <v>3569687</v>
      </c>
      <c r="M25" s="73">
        <v>3569687</v>
      </c>
      <c r="N25" s="73">
        <v>3569687</v>
      </c>
      <c r="O25" s="73">
        <v>3569687</v>
      </c>
      <c r="P25" s="73">
        <v>3569687</v>
      </c>
      <c r="Q25" s="73">
        <v>3569687</v>
      </c>
      <c r="R25" s="73">
        <v>3569687</v>
      </c>
      <c r="S25" s="73">
        <v>3569687</v>
      </c>
      <c r="T25" s="73">
        <v>3569687</v>
      </c>
      <c r="U25" s="73">
        <v>3569687</v>
      </c>
      <c r="V25" s="73">
        <v>3569687</v>
      </c>
      <c r="W25" s="73">
        <v>3569689</v>
      </c>
      <c r="X25" s="73">
        <f t="shared" si="0"/>
        <v>42836246</v>
      </c>
      <c r="Y25" s="23">
        <f t="shared" si="1"/>
        <v>0</v>
      </c>
    </row>
    <row r="26" spans="1:25" x14ac:dyDescent="0.25">
      <c r="A26" s="25"/>
      <c r="B26" s="25"/>
      <c r="C26" s="25"/>
      <c r="D26" s="25">
        <v>4</v>
      </c>
      <c r="E26" s="25">
        <v>2</v>
      </c>
      <c r="F26" s="25">
        <v>3</v>
      </c>
      <c r="G26" s="25"/>
      <c r="H26" s="4" t="s">
        <v>3374</v>
      </c>
      <c r="I26" s="73"/>
      <c r="J26" s="4"/>
      <c r="K26" s="4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>
        <f t="shared" si="0"/>
        <v>0</v>
      </c>
      <c r="Y26" s="23">
        <f t="shared" si="1"/>
        <v>0</v>
      </c>
    </row>
    <row r="27" spans="1:25" x14ac:dyDescent="0.25">
      <c r="A27" s="25"/>
      <c r="B27" s="25"/>
      <c r="C27" s="25"/>
      <c r="D27" s="25">
        <v>4</v>
      </c>
      <c r="E27" s="25">
        <v>2</v>
      </c>
      <c r="F27" s="25">
        <v>3</v>
      </c>
      <c r="G27" s="25" t="s">
        <v>3366</v>
      </c>
      <c r="H27" s="4" t="s">
        <v>3374</v>
      </c>
      <c r="I27" s="73">
        <v>2274189797</v>
      </c>
      <c r="J27" s="4" t="s">
        <v>1220</v>
      </c>
      <c r="K27" s="4"/>
      <c r="L27" s="73">
        <v>189515816</v>
      </c>
      <c r="M27" s="73">
        <v>189515816</v>
      </c>
      <c r="N27" s="73">
        <v>189515816</v>
      </c>
      <c r="O27" s="73">
        <v>189515816</v>
      </c>
      <c r="P27" s="73">
        <v>189515816</v>
      </c>
      <c r="Q27" s="73">
        <v>189515816</v>
      </c>
      <c r="R27" s="73">
        <v>189515816</v>
      </c>
      <c r="S27" s="73">
        <v>189515816</v>
      </c>
      <c r="T27" s="73">
        <v>189515816</v>
      </c>
      <c r="U27" s="73">
        <v>189515816</v>
      </c>
      <c r="V27" s="73">
        <v>189515816</v>
      </c>
      <c r="W27" s="73">
        <v>189515821</v>
      </c>
      <c r="X27" s="73">
        <f>SUM(L27:W27)</f>
        <v>2274189797</v>
      </c>
      <c r="Y27" s="23">
        <f t="shared" si="1"/>
        <v>0</v>
      </c>
    </row>
    <row r="28" spans="1:25" x14ac:dyDescent="0.25">
      <c r="A28" s="25"/>
      <c r="B28" s="25"/>
      <c r="C28" s="25"/>
      <c r="D28" s="25">
        <v>4</v>
      </c>
      <c r="E28" s="25">
        <v>2</v>
      </c>
      <c r="F28" s="25">
        <v>4</v>
      </c>
      <c r="G28" s="25"/>
      <c r="H28" s="4" t="s">
        <v>3375</v>
      </c>
      <c r="I28" s="73"/>
      <c r="J28" s="4"/>
      <c r="K28" s="4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>
        <f t="shared" si="0"/>
        <v>0</v>
      </c>
      <c r="Y28" s="23">
        <f t="shared" si="1"/>
        <v>0</v>
      </c>
    </row>
    <row r="29" spans="1:25" ht="30" x14ac:dyDescent="0.25">
      <c r="A29" s="25"/>
      <c r="B29" s="25"/>
      <c r="C29" s="25"/>
      <c r="D29" s="25">
        <v>4</v>
      </c>
      <c r="E29" s="25">
        <v>2</v>
      </c>
      <c r="F29" s="25">
        <v>4</v>
      </c>
      <c r="G29" s="25" t="s">
        <v>3366</v>
      </c>
      <c r="H29" s="4" t="s">
        <v>3376</v>
      </c>
      <c r="I29" s="73">
        <v>119400000</v>
      </c>
      <c r="J29" s="4" t="s">
        <v>3300</v>
      </c>
      <c r="K29" s="4"/>
      <c r="L29" s="73">
        <v>6200000</v>
      </c>
      <c r="M29" s="73">
        <v>6200000</v>
      </c>
      <c r="N29" s="73">
        <v>6200000</v>
      </c>
      <c r="O29" s="73">
        <v>6200000</v>
      </c>
      <c r="P29" s="73">
        <v>6200000</v>
      </c>
      <c r="Q29" s="73">
        <v>6200000</v>
      </c>
      <c r="R29" s="73">
        <v>6200000</v>
      </c>
      <c r="S29" s="73">
        <v>6200000</v>
      </c>
      <c r="T29" s="73">
        <v>6200000</v>
      </c>
      <c r="U29" s="73">
        <v>6200000</v>
      </c>
      <c r="V29" s="73">
        <v>51200000</v>
      </c>
      <c r="W29" s="73">
        <v>6200000</v>
      </c>
      <c r="X29" s="73">
        <f t="shared" si="0"/>
        <v>119400000</v>
      </c>
      <c r="Y29" s="23">
        <f t="shared" si="1"/>
        <v>0</v>
      </c>
    </row>
    <row r="30" spans="1:25" ht="30" x14ac:dyDescent="0.25">
      <c r="A30" s="25"/>
      <c r="B30" s="25"/>
      <c r="C30" s="25"/>
      <c r="D30" s="25">
        <v>4</v>
      </c>
      <c r="E30" s="25">
        <v>2</v>
      </c>
      <c r="F30" s="25">
        <v>5</v>
      </c>
      <c r="G30" s="25"/>
      <c r="H30" s="4" t="s">
        <v>3377</v>
      </c>
      <c r="I30" s="73"/>
      <c r="J30" s="4"/>
      <c r="K30" s="4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>
        <f t="shared" si="0"/>
        <v>0</v>
      </c>
      <c r="Y30" s="23">
        <f t="shared" si="1"/>
        <v>0</v>
      </c>
    </row>
    <row r="31" spans="1:25" ht="30" x14ac:dyDescent="0.25">
      <c r="A31" s="25"/>
      <c r="B31" s="25"/>
      <c r="C31" s="25"/>
      <c r="D31" s="25">
        <v>4</v>
      </c>
      <c r="E31" s="25">
        <v>2</v>
      </c>
      <c r="F31" s="25">
        <v>5</v>
      </c>
      <c r="G31" s="25" t="s">
        <v>3366</v>
      </c>
      <c r="H31" s="4" t="s">
        <v>3377</v>
      </c>
      <c r="I31" s="73">
        <v>2450000000</v>
      </c>
      <c r="J31" s="4" t="s">
        <v>1365</v>
      </c>
      <c r="K31" s="4"/>
      <c r="L31" s="73"/>
      <c r="M31" s="73"/>
      <c r="N31" s="73">
        <v>2450000000</v>
      </c>
      <c r="O31" s="73"/>
      <c r="P31" s="73"/>
      <c r="Q31" s="73"/>
      <c r="R31" s="73"/>
      <c r="S31" s="73"/>
      <c r="T31" s="73"/>
      <c r="U31" s="73"/>
      <c r="V31" s="73"/>
      <c r="W31" s="73"/>
      <c r="X31" s="73">
        <f t="shared" si="0"/>
        <v>2450000000</v>
      </c>
      <c r="Y31" s="23">
        <f t="shared" si="1"/>
        <v>0</v>
      </c>
    </row>
    <row r="32" spans="1:25" x14ac:dyDescent="0.25">
      <c r="A32" s="25"/>
      <c r="B32" s="25"/>
      <c r="C32" s="25"/>
      <c r="D32" s="25">
        <v>4</v>
      </c>
      <c r="E32" s="25">
        <v>3</v>
      </c>
      <c r="F32" s="25"/>
      <c r="G32" s="25"/>
      <c r="H32" s="4" t="s">
        <v>3378</v>
      </c>
      <c r="I32" s="73"/>
      <c r="J32" s="4"/>
      <c r="K32" s="4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>
        <f t="shared" si="0"/>
        <v>0</v>
      </c>
      <c r="Y32" s="23">
        <f t="shared" si="1"/>
        <v>0</v>
      </c>
    </row>
    <row r="33" spans="1:25" x14ac:dyDescent="0.25">
      <c r="A33" s="25"/>
      <c r="B33" s="25"/>
      <c r="C33" s="25"/>
      <c r="D33" s="25">
        <v>4</v>
      </c>
      <c r="E33" s="25">
        <v>3</v>
      </c>
      <c r="F33" s="25">
        <v>6</v>
      </c>
      <c r="G33" s="25"/>
      <c r="H33" s="4" t="s">
        <v>3295</v>
      </c>
      <c r="I33" s="73"/>
      <c r="J33" s="4"/>
      <c r="K33" s="4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>
        <f t="shared" si="0"/>
        <v>0</v>
      </c>
      <c r="Y33" s="23">
        <f t="shared" si="1"/>
        <v>0</v>
      </c>
    </row>
    <row r="34" spans="1:25" ht="30" x14ac:dyDescent="0.25">
      <c r="A34" s="25"/>
      <c r="B34" s="25"/>
      <c r="C34" s="25"/>
      <c r="D34" s="25">
        <v>4</v>
      </c>
      <c r="E34" s="25">
        <v>3</v>
      </c>
      <c r="F34" s="25">
        <v>6</v>
      </c>
      <c r="G34" s="25" t="s">
        <v>3366</v>
      </c>
      <c r="H34" s="4" t="s">
        <v>3295</v>
      </c>
      <c r="I34" s="73">
        <v>30422000</v>
      </c>
      <c r="J34" s="4" t="s">
        <v>3431</v>
      </c>
      <c r="K34" s="4"/>
      <c r="L34" s="73">
        <v>2535166</v>
      </c>
      <c r="M34" s="73">
        <v>2535166</v>
      </c>
      <c r="N34" s="73">
        <v>2535166</v>
      </c>
      <c r="O34" s="73">
        <v>2535166</v>
      </c>
      <c r="P34" s="73">
        <v>2535166</v>
      </c>
      <c r="Q34" s="73">
        <v>2535166</v>
      </c>
      <c r="R34" s="73">
        <v>2535166</v>
      </c>
      <c r="S34" s="73">
        <v>2535166</v>
      </c>
      <c r="T34" s="73">
        <v>2535166</v>
      </c>
      <c r="U34" s="73">
        <v>2535166</v>
      </c>
      <c r="V34" s="73">
        <v>2535166</v>
      </c>
      <c r="W34" s="73">
        <v>2535174</v>
      </c>
      <c r="X34" s="73">
        <f t="shared" si="0"/>
        <v>30422000</v>
      </c>
      <c r="Y34" s="23">
        <f t="shared" si="1"/>
        <v>0</v>
      </c>
    </row>
    <row r="35" spans="1:25" x14ac:dyDescent="0.25">
      <c r="A35" s="25"/>
      <c r="B35" s="25"/>
      <c r="C35" s="25"/>
      <c r="D35" s="25"/>
      <c r="E35" s="25"/>
      <c r="F35" s="25"/>
      <c r="G35" s="25"/>
      <c r="H35" s="1"/>
      <c r="I35" s="73"/>
      <c r="J35" s="4"/>
      <c r="K35" s="4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1"/>
    </row>
    <row r="36" spans="1:25" x14ac:dyDescent="0.25">
      <c r="A36" s="25"/>
      <c r="B36" s="25"/>
      <c r="C36" s="25"/>
      <c r="D36" s="25"/>
      <c r="E36" s="25"/>
      <c r="F36" s="25"/>
      <c r="G36" s="25"/>
      <c r="H36" s="1" t="s">
        <v>3379</v>
      </c>
      <c r="I36" s="73">
        <v>10579159998</v>
      </c>
      <c r="J36" s="4"/>
      <c r="K36" s="4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1"/>
    </row>
    <row r="37" spans="1:25" x14ac:dyDescent="0.25">
      <c r="A37" s="25"/>
      <c r="B37" s="25"/>
      <c r="C37" s="25"/>
      <c r="D37" s="25">
        <v>5</v>
      </c>
      <c r="E37" s="25"/>
      <c r="F37" s="25"/>
      <c r="G37" s="25"/>
      <c r="H37" s="1" t="s">
        <v>3380</v>
      </c>
      <c r="I37" s="73"/>
      <c r="J37" s="4"/>
      <c r="K37" s="4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1"/>
    </row>
    <row r="38" spans="1:25" ht="30" x14ac:dyDescent="0.25">
      <c r="A38" s="1868">
        <v>1</v>
      </c>
      <c r="B38" s="1869"/>
      <c r="C38" s="1869"/>
      <c r="D38" s="1869"/>
      <c r="E38" s="1869"/>
      <c r="F38" s="1869"/>
      <c r="G38" s="1869"/>
      <c r="H38" s="1870" t="str">
        <f>'BID 1 b'!B5</f>
        <v>: Penyelenggaraan Pemerintahan Desa</v>
      </c>
      <c r="I38" s="1871">
        <f>I40+I47+I52+I59+I90+I95+I99+I107+I113+I119+I124+I132+I137+I142+I146+I150+I154+I159+I172+I178+I184+I190+I196+I202+I208+I214+I221+I227+I235+I245+I255+I265+I272+I277+I282+I286</f>
        <v>7050427587</v>
      </c>
      <c r="J38" s="1869"/>
      <c r="K38" s="1870"/>
      <c r="L38" s="1871"/>
      <c r="M38" s="1871"/>
      <c r="N38" s="1871"/>
      <c r="O38" s="1871"/>
      <c r="P38" s="1871"/>
      <c r="Q38" s="1871"/>
      <c r="R38" s="1871"/>
      <c r="S38" s="1871"/>
      <c r="T38" s="1871"/>
      <c r="U38" s="1871"/>
      <c r="V38" s="1871"/>
      <c r="W38" s="1871"/>
      <c r="X38" s="1869"/>
    </row>
    <row r="39" spans="1:25" ht="75" x14ac:dyDescent="0.25">
      <c r="A39" s="1490">
        <v>1</v>
      </c>
      <c r="B39" s="1490">
        <v>1</v>
      </c>
      <c r="C39" s="865"/>
      <c r="D39" s="865"/>
      <c r="E39" s="865"/>
      <c r="F39" s="865"/>
      <c r="G39" s="865"/>
      <c r="H39" s="1061" t="str">
        <f>'BID 1 b'!B6</f>
        <v>: Penyelenggaraan Belanja Penghasilan Tetap, Tunjangan dan Operasional Pemerintah Desa ( Maksimal 30% )</v>
      </c>
      <c r="I39" s="1063"/>
      <c r="J39" s="865"/>
      <c r="K39" s="1061"/>
      <c r="L39" s="1063"/>
      <c r="M39" s="1063"/>
      <c r="N39" s="1063"/>
      <c r="O39" s="1063"/>
      <c r="P39" s="1063"/>
      <c r="Q39" s="1063"/>
      <c r="R39" s="1063"/>
      <c r="S39" s="1063"/>
      <c r="T39" s="1063"/>
      <c r="U39" s="1063"/>
      <c r="V39" s="1063"/>
      <c r="W39" s="1063"/>
      <c r="X39" s="865"/>
    </row>
    <row r="40" spans="1:25" ht="45" x14ac:dyDescent="0.25">
      <c r="A40" s="1490">
        <v>1</v>
      </c>
      <c r="B40" s="1490">
        <v>1</v>
      </c>
      <c r="C40" s="1490" t="s">
        <v>3366</v>
      </c>
      <c r="D40" s="865"/>
      <c r="E40" s="865"/>
      <c r="F40" s="865"/>
      <c r="G40" s="865"/>
      <c r="H40" s="1061" t="str">
        <f>'BID 1 b'!B7</f>
        <v>: Penyediaan Penghasilan tetap dan Tunjangan Perbekel</v>
      </c>
      <c r="I40" s="1063">
        <f>SUM(I41:I46)</f>
        <v>180740000</v>
      </c>
      <c r="J40" s="1061" t="s">
        <v>3387</v>
      </c>
      <c r="K40" s="1061" t="s">
        <v>3595</v>
      </c>
      <c r="L40" s="1063"/>
      <c r="M40" s="1063"/>
      <c r="N40" s="1063"/>
      <c r="O40" s="1063"/>
      <c r="P40" s="1063"/>
      <c r="Q40" s="1063"/>
      <c r="R40" s="1063"/>
      <c r="S40" s="1063"/>
      <c r="T40" s="1063"/>
      <c r="U40" s="1063"/>
      <c r="V40" s="1063"/>
      <c r="W40" s="1063"/>
      <c r="X40" s="865"/>
      <c r="Y40" s="23">
        <f>I40*X40</f>
        <v>0</v>
      </c>
    </row>
    <row r="41" spans="1:25" x14ac:dyDescent="0.25">
      <c r="A41" s="1"/>
      <c r="B41" s="1"/>
      <c r="C41" s="1"/>
      <c r="D41" s="1">
        <v>5</v>
      </c>
      <c r="E41" s="1">
        <v>1</v>
      </c>
      <c r="F41" s="1"/>
      <c r="G41" s="1"/>
      <c r="H41" s="1" t="str">
        <f>'BID 1 b'!B13</f>
        <v xml:space="preserve">Belanja Pegawai </v>
      </c>
      <c r="I41" s="73"/>
      <c r="J41" s="1"/>
      <c r="K41" s="4" t="s">
        <v>3595</v>
      </c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1"/>
    </row>
    <row r="42" spans="1:25" ht="30" x14ac:dyDescent="0.25">
      <c r="A42" s="1"/>
      <c r="B42" s="1"/>
      <c r="C42" s="1"/>
      <c r="D42" s="1"/>
      <c r="E42" s="1"/>
      <c r="F42" s="1">
        <v>1</v>
      </c>
      <c r="G42" s="1"/>
      <c r="H42" s="4" t="str">
        <f>'BID 1 b'!B14</f>
        <v>Penghasilan tetap dan Tunjangan Perbekel</v>
      </c>
      <c r="I42" s="73"/>
      <c r="J42" s="1"/>
      <c r="K42" s="4" t="s">
        <v>3595</v>
      </c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1"/>
    </row>
    <row r="43" spans="1:25" x14ac:dyDescent="0.25">
      <c r="A43" s="1"/>
      <c r="B43" s="1"/>
      <c r="C43" s="1"/>
      <c r="D43" s="1"/>
      <c r="E43" s="1"/>
      <c r="F43" s="1"/>
      <c r="G43" s="1489" t="s">
        <v>3366</v>
      </c>
      <c r="H43" s="4" t="str">
        <f>'BID 1 b'!B15</f>
        <v>Penghasilan Tetap Perbekel</v>
      </c>
      <c r="I43" s="73">
        <f>'BID 1 b'!F15</f>
        <v>65340000</v>
      </c>
      <c r="J43" s="1" t="s">
        <v>1220</v>
      </c>
      <c r="K43" s="4" t="s">
        <v>3595</v>
      </c>
      <c r="L43" s="73">
        <v>5445000</v>
      </c>
      <c r="M43" s="73">
        <v>5445000</v>
      </c>
      <c r="N43" s="73">
        <v>5445000</v>
      </c>
      <c r="O43" s="73">
        <v>5445000</v>
      </c>
      <c r="P43" s="73">
        <v>5445000</v>
      </c>
      <c r="Q43" s="73">
        <v>5445000</v>
      </c>
      <c r="R43" s="73">
        <v>5445000</v>
      </c>
      <c r="S43" s="73">
        <v>5445000</v>
      </c>
      <c r="T43" s="73">
        <v>5445000</v>
      </c>
      <c r="U43" s="73">
        <v>5445000</v>
      </c>
      <c r="V43" s="73">
        <v>5445000</v>
      </c>
      <c r="W43" s="73">
        <v>5445000</v>
      </c>
      <c r="X43" s="1864">
        <f>SUM(L43:W43)</f>
        <v>65340000</v>
      </c>
      <c r="Y43" s="23">
        <f>X43-I43</f>
        <v>0</v>
      </c>
    </row>
    <row r="44" spans="1:25" x14ac:dyDescent="0.25">
      <c r="A44" s="1"/>
      <c r="B44" s="1"/>
      <c r="C44" s="1"/>
      <c r="D44" s="1"/>
      <c r="E44" s="1"/>
      <c r="F44" s="1"/>
      <c r="G44" s="1489" t="s">
        <v>3386</v>
      </c>
      <c r="H44" s="4" t="str">
        <f>'BID 1 b'!B16</f>
        <v>Penghasilan ke 13</v>
      </c>
      <c r="I44" s="73">
        <f>'BID 1 b'!F16</f>
        <v>5500000</v>
      </c>
      <c r="J44" s="1" t="s">
        <v>1506</v>
      </c>
      <c r="K44" s="4" t="s">
        <v>3595</v>
      </c>
      <c r="L44" s="73"/>
      <c r="M44" s="73"/>
      <c r="N44" s="73"/>
      <c r="O44" s="73"/>
      <c r="P44" s="73"/>
      <c r="Q44" s="73"/>
      <c r="R44" s="73">
        <v>5500000</v>
      </c>
      <c r="S44" s="73"/>
      <c r="T44" s="73"/>
      <c r="U44" s="73"/>
      <c r="V44" s="73"/>
      <c r="W44" s="73"/>
      <c r="X44" s="1864">
        <f t="shared" ref="X44:X51" si="2">SUM(L44:W44)</f>
        <v>5500000</v>
      </c>
      <c r="Y44" s="23">
        <f t="shared" ref="Y44:Y107" si="3">X44-I44</f>
        <v>0</v>
      </c>
    </row>
    <row r="45" spans="1:25" x14ac:dyDescent="0.25">
      <c r="A45" s="1"/>
      <c r="B45" s="1"/>
      <c r="C45" s="1"/>
      <c r="D45" s="1"/>
      <c r="E45" s="1"/>
      <c r="F45" s="1"/>
      <c r="G45" s="1489" t="s">
        <v>3386</v>
      </c>
      <c r="H45" s="4" t="str">
        <f>'BID 1 b'!B17</f>
        <v>Tunjangan Perbekel</v>
      </c>
      <c r="I45" s="73">
        <f>'BID 1 b'!F17</f>
        <v>104400000</v>
      </c>
      <c r="J45" s="1" t="s">
        <v>1506</v>
      </c>
      <c r="K45" s="4" t="s">
        <v>3595</v>
      </c>
      <c r="L45" s="73">
        <v>8700000</v>
      </c>
      <c r="M45" s="73">
        <v>8700000</v>
      </c>
      <c r="N45" s="73">
        <v>8700000</v>
      </c>
      <c r="O45" s="73">
        <v>8700000</v>
      </c>
      <c r="P45" s="73">
        <v>8700000</v>
      </c>
      <c r="Q45" s="73">
        <v>8700000</v>
      </c>
      <c r="R45" s="73">
        <v>8700000</v>
      </c>
      <c r="S45" s="73">
        <v>8700000</v>
      </c>
      <c r="T45" s="73">
        <v>8700000</v>
      </c>
      <c r="U45" s="73">
        <v>8700000</v>
      </c>
      <c r="V45" s="73">
        <v>8700000</v>
      </c>
      <c r="W45" s="73">
        <v>8700000</v>
      </c>
      <c r="X45" s="1864">
        <f t="shared" si="2"/>
        <v>104400000</v>
      </c>
      <c r="Y45" s="23">
        <f t="shared" si="3"/>
        <v>0</v>
      </c>
    </row>
    <row r="46" spans="1:25" x14ac:dyDescent="0.25">
      <c r="A46" s="1"/>
      <c r="B46" s="1"/>
      <c r="C46" s="1"/>
      <c r="D46" s="1"/>
      <c r="E46" s="1"/>
      <c r="F46" s="1"/>
      <c r="G46" s="1489" t="s">
        <v>3386</v>
      </c>
      <c r="H46" s="4" t="str">
        <f>'BID 1 b'!B18</f>
        <v>Tunjangan Hari Raya</v>
      </c>
      <c r="I46" s="73">
        <f>'BID 1 b'!F18</f>
        <v>5500000</v>
      </c>
      <c r="J46" s="1" t="s">
        <v>1506</v>
      </c>
      <c r="K46" s="4" t="s">
        <v>3595</v>
      </c>
      <c r="L46" s="73"/>
      <c r="M46" s="73"/>
      <c r="N46" s="73">
        <v>5500000</v>
      </c>
      <c r="O46" s="73"/>
      <c r="P46" s="73"/>
      <c r="Q46" s="73"/>
      <c r="R46" s="73"/>
      <c r="S46" s="73"/>
      <c r="T46" s="73"/>
      <c r="U46" s="73"/>
      <c r="V46" s="73"/>
      <c r="W46" s="73"/>
      <c r="X46" s="1864">
        <f t="shared" si="2"/>
        <v>5500000</v>
      </c>
      <c r="Y46" s="23">
        <f t="shared" si="3"/>
        <v>0</v>
      </c>
    </row>
    <row r="47" spans="1:25" ht="45" x14ac:dyDescent="0.25">
      <c r="A47" s="865">
        <v>1</v>
      </c>
      <c r="B47" s="865">
        <v>1</v>
      </c>
      <c r="C47" s="1490" t="s">
        <v>3386</v>
      </c>
      <c r="D47" s="865"/>
      <c r="E47" s="865"/>
      <c r="F47" s="865"/>
      <c r="G47" s="865"/>
      <c r="H47" s="1061" t="str">
        <f>'BID 1 b'!B36</f>
        <v>: Penyediaan Penghasilan tetap dan Tunjangan Perangkat Desa</v>
      </c>
      <c r="I47" s="1063">
        <f>SUM(I48:I51)</f>
        <v>1049635167</v>
      </c>
      <c r="J47" s="1061" t="s">
        <v>3387</v>
      </c>
      <c r="K47" s="1061" t="s">
        <v>3595</v>
      </c>
      <c r="L47" s="1063"/>
      <c r="M47" s="1063"/>
      <c r="N47" s="1063"/>
      <c r="O47" s="1063"/>
      <c r="P47" s="1063"/>
      <c r="Q47" s="1063"/>
      <c r="R47" s="1063"/>
      <c r="S47" s="1063"/>
      <c r="T47" s="1063"/>
      <c r="U47" s="1063"/>
      <c r="V47" s="1063"/>
      <c r="W47" s="1063"/>
      <c r="X47" s="1866">
        <f t="shared" si="2"/>
        <v>0</v>
      </c>
      <c r="Y47" s="23">
        <f>X47-I47</f>
        <v>-1049635167</v>
      </c>
    </row>
    <row r="48" spans="1:25" x14ac:dyDescent="0.25">
      <c r="A48" s="1"/>
      <c r="B48" s="1"/>
      <c r="C48" s="1489"/>
      <c r="D48" s="1">
        <v>5</v>
      </c>
      <c r="E48" s="1">
        <v>1</v>
      </c>
      <c r="F48" s="1"/>
      <c r="G48" s="1"/>
      <c r="H48" s="1" t="str">
        <f>'BID 1 b'!B41</f>
        <v xml:space="preserve">Belanja Pegawai </v>
      </c>
      <c r="I48" s="73"/>
      <c r="J48" s="1"/>
      <c r="K48" s="4" t="s">
        <v>3595</v>
      </c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1864">
        <f t="shared" si="2"/>
        <v>0</v>
      </c>
      <c r="Y48" s="23">
        <f t="shared" si="3"/>
        <v>0</v>
      </c>
    </row>
    <row r="49" spans="1:26" ht="30" x14ac:dyDescent="0.25">
      <c r="A49" s="1"/>
      <c r="B49" s="1"/>
      <c r="C49" s="1"/>
      <c r="D49" s="1"/>
      <c r="E49" s="1"/>
      <c r="F49" s="1">
        <v>2</v>
      </c>
      <c r="G49" s="1"/>
      <c r="H49" s="4" t="str">
        <f>'BID 1 b'!B42</f>
        <v>Penghasilan tetap dan Tunjangan Perangkat Desa</v>
      </c>
      <c r="I49" s="73"/>
      <c r="J49" s="1"/>
      <c r="K49" s="4" t="s">
        <v>3595</v>
      </c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1864">
        <f t="shared" si="2"/>
        <v>0</v>
      </c>
      <c r="Y49" s="23">
        <f t="shared" si="3"/>
        <v>0</v>
      </c>
    </row>
    <row r="50" spans="1:26" ht="30" x14ac:dyDescent="0.25">
      <c r="A50" s="1"/>
      <c r="B50" s="1"/>
      <c r="C50" s="1"/>
      <c r="D50" s="1"/>
      <c r="E50" s="1"/>
      <c r="F50" s="1"/>
      <c r="G50" s="1489" t="s">
        <v>3366</v>
      </c>
      <c r="H50" s="4" t="str">
        <f>'BID 1 b'!B43</f>
        <v>Penghasilan tetap Perangkat Desa</v>
      </c>
      <c r="I50" s="73">
        <f>SUM('BID 1 b'!F44:F48)</f>
        <v>522935167</v>
      </c>
      <c r="J50" s="1" t="s">
        <v>1220</v>
      </c>
      <c r="K50" s="4" t="s">
        <v>3595</v>
      </c>
      <c r="L50" s="73">
        <v>43610013</v>
      </c>
      <c r="M50" s="73">
        <v>43575014</v>
      </c>
      <c r="N50" s="73">
        <v>43575014</v>
      </c>
      <c r="O50" s="73">
        <v>43575014</v>
      </c>
      <c r="P50" s="73">
        <v>43575014</v>
      </c>
      <c r="Q50" s="73">
        <v>43575014</v>
      </c>
      <c r="R50" s="73">
        <v>43575014</v>
      </c>
      <c r="S50" s="73">
        <v>43575014</v>
      </c>
      <c r="T50" s="73">
        <v>43575014</v>
      </c>
      <c r="U50" s="73">
        <v>43575014</v>
      </c>
      <c r="V50" s="73">
        <v>43575014</v>
      </c>
      <c r="W50" s="73">
        <v>43575014</v>
      </c>
      <c r="X50" s="1864">
        <f t="shared" si="2"/>
        <v>522935167</v>
      </c>
      <c r="Y50" s="23">
        <f t="shared" si="3"/>
        <v>0</v>
      </c>
    </row>
    <row r="51" spans="1:26" x14ac:dyDescent="0.25">
      <c r="A51" s="1"/>
      <c r="B51" s="1"/>
      <c r="C51" s="1"/>
      <c r="D51" s="1"/>
      <c r="E51" s="1"/>
      <c r="F51" s="1"/>
      <c r="G51" s="1489" t="s">
        <v>3386</v>
      </c>
      <c r="H51" s="1" t="str">
        <f>'BID 1 b'!B49</f>
        <v>Tunjangan Perangkat Desa</v>
      </c>
      <c r="I51" s="73">
        <f>SUM('BID 1 b'!F50:F61)</f>
        <v>526700000</v>
      </c>
      <c r="J51" s="1" t="s">
        <v>1506</v>
      </c>
      <c r="K51" s="4" t="s">
        <v>3595</v>
      </c>
      <c r="L51" s="73">
        <v>36300000</v>
      </c>
      <c r="M51" s="73">
        <v>36300000</v>
      </c>
      <c r="N51" s="73">
        <v>80400000</v>
      </c>
      <c r="O51" s="73">
        <v>36300000</v>
      </c>
      <c r="P51" s="73">
        <v>36300000</v>
      </c>
      <c r="Q51" s="73">
        <v>36300000</v>
      </c>
      <c r="R51" s="73">
        <v>80400000</v>
      </c>
      <c r="S51" s="73">
        <v>36300000</v>
      </c>
      <c r="T51" s="73">
        <v>36300000</v>
      </c>
      <c r="U51" s="73">
        <v>36300000</v>
      </c>
      <c r="V51" s="73">
        <v>36300000</v>
      </c>
      <c r="W51" s="73">
        <v>39200000</v>
      </c>
      <c r="X51" s="1864">
        <f t="shared" si="2"/>
        <v>526700000</v>
      </c>
      <c r="Y51" s="23">
        <f t="shared" si="3"/>
        <v>0</v>
      </c>
    </row>
    <row r="52" spans="1:26" ht="60" x14ac:dyDescent="0.25">
      <c r="A52" s="865">
        <v>1</v>
      </c>
      <c r="B52" s="865">
        <v>1</v>
      </c>
      <c r="C52" s="1490" t="s">
        <v>3388</v>
      </c>
      <c r="D52" s="865"/>
      <c r="E52" s="865"/>
      <c r="F52" s="865"/>
      <c r="G52" s="865"/>
      <c r="H52" s="1061" t="str">
        <f>'BID 1 b'!B79</f>
        <v>Penyediaan Jaminan Kesehatan dan Ketenaga Kerjaan Bagi Perbekel dan Perangkat Desa</v>
      </c>
      <c r="I52" s="1063">
        <f>SUM(I53:I58)</f>
        <v>77761313</v>
      </c>
      <c r="J52" s="1061" t="s">
        <v>3602</v>
      </c>
      <c r="K52" s="1061" t="s">
        <v>3595</v>
      </c>
      <c r="L52" s="1063"/>
      <c r="M52" s="1063"/>
      <c r="N52" s="1063"/>
      <c r="O52" s="1063"/>
      <c r="P52" s="1063"/>
      <c r="Q52" s="1063"/>
      <c r="R52" s="1063"/>
      <c r="S52" s="1063"/>
      <c r="T52" s="1063"/>
      <c r="U52" s="1063"/>
      <c r="V52" s="1063"/>
      <c r="W52" s="1063"/>
      <c r="X52" s="1866">
        <f t="shared" ref="X52:X115" si="4">SUM(L52:W52)</f>
        <v>0</v>
      </c>
      <c r="Y52" s="23">
        <f t="shared" si="3"/>
        <v>-77761313</v>
      </c>
    </row>
    <row r="53" spans="1:26" x14ac:dyDescent="0.25">
      <c r="A53" s="1"/>
      <c r="B53" s="1"/>
      <c r="C53" s="1"/>
      <c r="D53" s="1">
        <v>5</v>
      </c>
      <c r="E53" s="1">
        <v>1</v>
      </c>
      <c r="F53" s="1"/>
      <c r="G53" s="1"/>
      <c r="H53" s="4" t="str">
        <f>'BID 1 b'!B84</f>
        <v>Belanja Pegawai :</v>
      </c>
      <c r="I53" s="73"/>
      <c r="J53" s="1"/>
      <c r="K53" s="4" t="s">
        <v>3595</v>
      </c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1864">
        <f t="shared" si="4"/>
        <v>0</v>
      </c>
      <c r="Y53" s="23">
        <f t="shared" si="3"/>
        <v>0</v>
      </c>
    </row>
    <row r="54" spans="1:26" ht="30" x14ac:dyDescent="0.25">
      <c r="A54" s="1"/>
      <c r="B54" s="1"/>
      <c r="C54" s="1"/>
      <c r="D54" s="1"/>
      <c r="E54" s="1"/>
      <c r="F54" s="1">
        <v>3</v>
      </c>
      <c r="G54" s="1"/>
      <c r="H54" s="4" t="str">
        <f>'BID 1 b'!B85</f>
        <v>Jaminan sosial Perbekel dan Perangkat Desa</v>
      </c>
      <c r="I54" s="73"/>
      <c r="J54" s="1"/>
      <c r="K54" s="4" t="s">
        <v>3595</v>
      </c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1864">
        <f t="shared" si="4"/>
        <v>0</v>
      </c>
      <c r="Y54" s="23">
        <f t="shared" si="3"/>
        <v>0</v>
      </c>
    </row>
    <row r="55" spans="1:26" x14ac:dyDescent="0.25">
      <c r="A55" s="1"/>
      <c r="B55" s="1"/>
      <c r="C55" s="1"/>
      <c r="D55" s="1"/>
      <c r="E55" s="1"/>
      <c r="F55" s="1"/>
      <c r="G55" s="1489" t="s">
        <v>3366</v>
      </c>
      <c r="H55" s="4" t="str">
        <f>'BID 1 b'!B86</f>
        <v xml:space="preserve">Jaminan Kesehatan perbekel </v>
      </c>
      <c r="I55" s="73">
        <f>'BID 1 b'!F86</f>
        <v>660000</v>
      </c>
      <c r="J55" s="1" t="s">
        <v>1220</v>
      </c>
      <c r="K55" s="4" t="s">
        <v>3595</v>
      </c>
      <c r="L55" s="73">
        <v>55000</v>
      </c>
      <c r="M55" s="73">
        <v>55000</v>
      </c>
      <c r="N55" s="73">
        <v>55000</v>
      </c>
      <c r="O55" s="73">
        <v>55000</v>
      </c>
      <c r="P55" s="73">
        <v>55000</v>
      </c>
      <c r="Q55" s="73">
        <v>55000</v>
      </c>
      <c r="R55" s="73">
        <v>55000</v>
      </c>
      <c r="S55" s="73">
        <v>55000</v>
      </c>
      <c r="T55" s="73">
        <v>55000</v>
      </c>
      <c r="U55" s="73">
        <v>55000</v>
      </c>
      <c r="V55" s="73">
        <v>55000</v>
      </c>
      <c r="W55" s="73">
        <v>55000</v>
      </c>
      <c r="X55" s="1864">
        <f t="shared" si="4"/>
        <v>660000</v>
      </c>
      <c r="Y55" s="23">
        <f t="shared" si="3"/>
        <v>0</v>
      </c>
    </row>
    <row r="56" spans="1:26" ht="30" x14ac:dyDescent="0.25">
      <c r="A56" s="1"/>
      <c r="B56" s="1"/>
      <c r="C56" s="1"/>
      <c r="D56" s="1"/>
      <c r="E56" s="1"/>
      <c r="F56" s="1"/>
      <c r="G56" s="1489" t="s">
        <v>3386</v>
      </c>
      <c r="H56" s="4" t="str">
        <f>'BID 1 b'!B87</f>
        <v>Jaminan Kesehatan Perangkat Desa</v>
      </c>
      <c r="I56" s="73">
        <f>SUM('BID 1 b'!F88:F91)</f>
        <v>6264833</v>
      </c>
      <c r="J56" s="1" t="s">
        <v>1220</v>
      </c>
      <c r="K56" s="4" t="s">
        <v>3595</v>
      </c>
      <c r="L56" s="73">
        <v>489987</v>
      </c>
      <c r="M56" s="73">
        <v>524986</v>
      </c>
      <c r="N56" s="73">
        <v>524986</v>
      </c>
      <c r="O56" s="73">
        <v>524986</v>
      </c>
      <c r="P56" s="73">
        <v>524986</v>
      </c>
      <c r="Q56" s="73">
        <v>524986</v>
      </c>
      <c r="R56" s="73">
        <v>524986</v>
      </c>
      <c r="S56" s="73">
        <v>524986</v>
      </c>
      <c r="T56" s="73">
        <v>524986</v>
      </c>
      <c r="U56" s="73">
        <v>524986</v>
      </c>
      <c r="V56" s="73">
        <v>524986</v>
      </c>
      <c r="W56" s="73">
        <v>524986</v>
      </c>
      <c r="X56" s="1864">
        <f t="shared" si="4"/>
        <v>6264833</v>
      </c>
      <c r="Y56" s="23">
        <f t="shared" si="3"/>
        <v>0</v>
      </c>
    </row>
    <row r="57" spans="1:26" ht="30" x14ac:dyDescent="0.25">
      <c r="A57" s="1"/>
      <c r="B57" s="1"/>
      <c r="C57" s="1"/>
      <c r="D57" s="1"/>
      <c r="E57" s="1"/>
      <c r="F57" s="1"/>
      <c r="G57" s="1489" t="s">
        <v>3388</v>
      </c>
      <c r="H57" s="4" t="str">
        <f>'BID 1 b'!B92</f>
        <v>Jaminan Ketenagakerjaan Perbekel</v>
      </c>
      <c r="I57" s="73">
        <f>'BID 1 b'!F92</f>
        <v>10632960</v>
      </c>
      <c r="J57" s="1" t="s">
        <v>1506</v>
      </c>
      <c r="K57" s="4" t="s">
        <v>3595</v>
      </c>
      <c r="L57" s="73">
        <v>886080</v>
      </c>
      <c r="M57" s="73">
        <v>886080</v>
      </c>
      <c r="N57" s="73">
        <v>886080</v>
      </c>
      <c r="O57" s="73">
        <v>886080</v>
      </c>
      <c r="P57" s="73">
        <v>886080</v>
      </c>
      <c r="Q57" s="73">
        <v>886080</v>
      </c>
      <c r="R57" s="73">
        <v>886080</v>
      </c>
      <c r="S57" s="73">
        <v>886080</v>
      </c>
      <c r="T57" s="73">
        <v>886080</v>
      </c>
      <c r="U57" s="73">
        <v>886080</v>
      </c>
      <c r="V57" s="73">
        <v>886080</v>
      </c>
      <c r="W57" s="73">
        <v>886080</v>
      </c>
      <c r="X57" s="1864">
        <f t="shared" si="4"/>
        <v>10632960</v>
      </c>
      <c r="Y57" s="23">
        <f t="shared" si="3"/>
        <v>0</v>
      </c>
    </row>
    <row r="58" spans="1:26" ht="30" x14ac:dyDescent="0.25">
      <c r="A58" s="1"/>
      <c r="B58" s="1"/>
      <c r="C58" s="1"/>
      <c r="D58" s="1"/>
      <c r="E58" s="1"/>
      <c r="F58" s="1"/>
      <c r="G58" s="1489" t="s">
        <v>3389</v>
      </c>
      <c r="H58" s="4" t="str">
        <f>'BID 1 b'!B93</f>
        <v>Jaminan Ketenagakerajaan Perangkat Desa</v>
      </c>
      <c r="I58" s="73">
        <f>SUM('BID 1 b'!F94:F96)</f>
        <v>60203520</v>
      </c>
      <c r="J58" s="1" t="s">
        <v>1506</v>
      </c>
      <c r="K58" s="4" t="s">
        <v>3595</v>
      </c>
      <c r="L58" s="73">
        <v>5016960</v>
      </c>
      <c r="M58" s="73">
        <v>5016960</v>
      </c>
      <c r="N58" s="73">
        <v>5016960</v>
      </c>
      <c r="O58" s="73">
        <v>5016960</v>
      </c>
      <c r="P58" s="73">
        <v>5016960</v>
      </c>
      <c r="Q58" s="73">
        <v>5016960</v>
      </c>
      <c r="R58" s="73">
        <v>5016960</v>
      </c>
      <c r="S58" s="73">
        <v>5016960</v>
      </c>
      <c r="T58" s="73">
        <v>5016960</v>
      </c>
      <c r="U58" s="73">
        <v>5016960</v>
      </c>
      <c r="V58" s="73">
        <v>5016960</v>
      </c>
      <c r="W58" s="73">
        <v>5016960</v>
      </c>
      <c r="X58" s="1864">
        <f t="shared" si="4"/>
        <v>60203520</v>
      </c>
      <c r="Y58" s="23">
        <f t="shared" si="3"/>
        <v>0</v>
      </c>
    </row>
    <row r="59" spans="1:26" ht="30" x14ac:dyDescent="0.25">
      <c r="A59" s="865">
        <v>1</v>
      </c>
      <c r="B59" s="865">
        <v>1</v>
      </c>
      <c r="C59" s="1490" t="s">
        <v>3389</v>
      </c>
      <c r="D59" s="865"/>
      <c r="E59" s="865"/>
      <c r="F59" s="865"/>
      <c r="G59" s="865"/>
      <c r="H59" s="1061" t="str">
        <f>'BID 1 b'!B113</f>
        <v>: Penyediaan Operasional Pemerintah Desa</v>
      </c>
      <c r="I59" s="1063">
        <f>SUM(I60:I89)</f>
        <v>712389600.84000003</v>
      </c>
      <c r="J59" s="865" t="s">
        <v>1220</v>
      </c>
      <c r="K59" s="1061" t="s">
        <v>3595</v>
      </c>
      <c r="L59" s="1063"/>
      <c r="M59" s="1063"/>
      <c r="N59" s="1063"/>
      <c r="O59" s="1063"/>
      <c r="P59" s="1063"/>
      <c r="Q59" s="1063"/>
      <c r="R59" s="1063"/>
      <c r="S59" s="1063"/>
      <c r="T59" s="1063"/>
      <c r="U59" s="1063"/>
      <c r="V59" s="1063"/>
      <c r="W59" s="1063"/>
      <c r="X59" s="1063"/>
      <c r="Y59" s="23">
        <f>X59-I59</f>
        <v>-712389600.84000003</v>
      </c>
      <c r="Z59" s="23"/>
    </row>
    <row r="60" spans="1:26" x14ac:dyDescent="0.25">
      <c r="A60" s="1"/>
      <c r="B60" s="1"/>
      <c r="C60" s="1"/>
      <c r="D60" s="1">
        <v>5</v>
      </c>
      <c r="E60" s="1">
        <v>2</v>
      </c>
      <c r="F60" s="1"/>
      <c r="G60" s="1"/>
      <c r="H60" s="4" t="str">
        <f>'BID 1 b'!B118</f>
        <v>Belanja Barang Jasa :</v>
      </c>
      <c r="I60" s="73"/>
      <c r="J60" s="1"/>
      <c r="K60" s="4" t="s">
        <v>3595</v>
      </c>
      <c r="L60" s="73"/>
      <c r="M60" s="98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1864"/>
      <c r="Y60" s="23">
        <f t="shared" si="3"/>
        <v>0</v>
      </c>
    </row>
    <row r="61" spans="1:26" ht="30" x14ac:dyDescent="0.25">
      <c r="A61" s="1"/>
      <c r="B61" s="1"/>
      <c r="C61" s="1"/>
      <c r="D61" s="1"/>
      <c r="E61" s="1"/>
      <c r="F61" s="1">
        <v>1</v>
      </c>
      <c r="G61" s="1"/>
      <c r="H61" s="4" t="str">
        <f>'BID 1 b'!B119</f>
        <v>Belanja Barang Perlengkapan</v>
      </c>
      <c r="I61" s="73"/>
      <c r="J61" s="1"/>
      <c r="K61" s="4" t="s">
        <v>3595</v>
      </c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1864"/>
      <c r="Y61" s="23">
        <f t="shared" si="3"/>
        <v>0</v>
      </c>
    </row>
    <row r="62" spans="1:26" ht="30" x14ac:dyDescent="0.25">
      <c r="A62" s="1"/>
      <c r="B62" s="1"/>
      <c r="C62" s="1"/>
      <c r="D62" s="1"/>
      <c r="E62" s="1"/>
      <c r="F62" s="1"/>
      <c r="G62" s="1489" t="s">
        <v>3366</v>
      </c>
      <c r="H62" s="4" t="str">
        <f>'BID 1 b'!B120</f>
        <v>Belanja perlengkapan alat tulis kantor dan Benda Pos</v>
      </c>
      <c r="I62" s="73">
        <f>SUM('BID 1 b'!F121:F159)</f>
        <v>66960950</v>
      </c>
      <c r="J62" s="1" t="s">
        <v>1220</v>
      </c>
      <c r="K62" s="4" t="s">
        <v>3595</v>
      </c>
      <c r="L62" s="73">
        <v>11885013</v>
      </c>
      <c r="M62" s="73">
        <v>1807564</v>
      </c>
      <c r="N62" s="73">
        <v>1807564</v>
      </c>
      <c r="O62" s="73">
        <v>8142956</v>
      </c>
      <c r="P62" s="73">
        <v>8732397</v>
      </c>
      <c r="Q62" s="73">
        <v>1807564</v>
      </c>
      <c r="R62" s="73">
        <v>1807564</v>
      </c>
      <c r="S62" s="73">
        <v>1807564</v>
      </c>
      <c r="T62" s="73">
        <v>1807564</v>
      </c>
      <c r="U62" s="73">
        <v>1807564</v>
      </c>
      <c r="V62" s="73">
        <v>24185041</v>
      </c>
      <c r="W62" s="73">
        <v>1362595</v>
      </c>
      <c r="X62" s="1864">
        <f t="shared" si="4"/>
        <v>66960950</v>
      </c>
      <c r="Y62" s="23">
        <f t="shared" si="3"/>
        <v>0</v>
      </c>
      <c r="Z62" s="23"/>
    </row>
    <row r="63" spans="1:26" ht="30" x14ac:dyDescent="0.25">
      <c r="A63" s="1"/>
      <c r="B63" s="1"/>
      <c r="C63" s="1"/>
      <c r="D63" s="1"/>
      <c r="E63" s="1"/>
      <c r="F63" s="1"/>
      <c r="G63" s="1489" t="s">
        <v>3386</v>
      </c>
      <c r="H63" s="4" t="str">
        <f>'BID 1 b'!B160</f>
        <v>Belanja Perlengkapan alat alat listrik</v>
      </c>
      <c r="I63" s="73">
        <f>SUM('BID 1 b'!F161:F163)</f>
        <v>3820000</v>
      </c>
      <c r="J63" s="1" t="s">
        <v>1220</v>
      </c>
      <c r="K63" s="4" t="s">
        <v>3595</v>
      </c>
      <c r="L63" s="73">
        <v>3820000</v>
      </c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1864">
        <f t="shared" si="4"/>
        <v>3820000</v>
      </c>
      <c r="Y63" s="23">
        <f t="shared" si="3"/>
        <v>0</v>
      </c>
      <c r="Z63" s="23"/>
    </row>
    <row r="64" spans="1:26" ht="45" x14ac:dyDescent="0.25">
      <c r="A64" s="1"/>
      <c r="B64" s="1"/>
      <c r="C64" s="1"/>
      <c r="D64" s="1"/>
      <c r="E64" s="1"/>
      <c r="F64" s="1"/>
      <c r="G64" s="1489" t="s">
        <v>3388</v>
      </c>
      <c r="H64" s="4" t="str">
        <f>'BID 1 b'!B165</f>
        <v xml:space="preserve">Belanja perlengkapan alat alat rumah tangga/peralatan dan Bahan kebersihan </v>
      </c>
      <c r="I64" s="73">
        <f>SUM('BID 1 b'!F166:F177)</f>
        <v>11602000</v>
      </c>
      <c r="J64" s="1" t="s">
        <v>1220</v>
      </c>
      <c r="K64" s="4" t="s">
        <v>3595</v>
      </c>
      <c r="L64" s="73">
        <v>11602000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1864">
        <f t="shared" si="4"/>
        <v>11602000</v>
      </c>
      <c r="Y64" s="23">
        <f t="shared" si="3"/>
        <v>0</v>
      </c>
    </row>
    <row r="65" spans="1:26" ht="45" x14ac:dyDescent="0.25">
      <c r="A65" s="1"/>
      <c r="B65" s="1"/>
      <c r="C65" s="1"/>
      <c r="D65" s="1"/>
      <c r="E65" s="1"/>
      <c r="F65" s="1"/>
      <c r="G65" s="1489" t="s">
        <v>3389</v>
      </c>
      <c r="H65" s="4" t="str">
        <f>'BID 1 b'!B178</f>
        <v>Belanja bahan bakar minyak/ gas/ isi ulang tabung pemadam kebakaran</v>
      </c>
      <c r="I65" s="73">
        <f>SUM('BID 1 b'!F179:F182)</f>
        <v>21686000</v>
      </c>
      <c r="J65" s="1" t="s">
        <v>1220</v>
      </c>
      <c r="K65" s="4" t="s">
        <v>3595</v>
      </c>
      <c r="L65" s="73">
        <v>1450000</v>
      </c>
      <c r="M65" s="73">
        <v>1450000</v>
      </c>
      <c r="N65" s="73">
        <v>1450000</v>
      </c>
      <c r="O65" s="73">
        <v>1450000</v>
      </c>
      <c r="P65" s="73">
        <v>5736000</v>
      </c>
      <c r="Q65" s="73">
        <v>1450000</v>
      </c>
      <c r="R65" s="73">
        <v>1450000</v>
      </c>
      <c r="S65" s="73">
        <v>1450000</v>
      </c>
      <c r="T65" s="73">
        <v>1450000</v>
      </c>
      <c r="U65" s="73">
        <v>1450000</v>
      </c>
      <c r="V65" s="73">
        <v>1450000</v>
      </c>
      <c r="W65" s="73">
        <v>1450000</v>
      </c>
      <c r="X65" s="1864">
        <f t="shared" si="4"/>
        <v>21686000</v>
      </c>
      <c r="Y65" s="23">
        <f t="shared" si="3"/>
        <v>0</v>
      </c>
    </row>
    <row r="66" spans="1:26" ht="45" x14ac:dyDescent="0.25">
      <c r="A66" s="1"/>
      <c r="B66" s="1"/>
      <c r="C66" s="1"/>
      <c r="D66" s="1"/>
      <c r="E66" s="1"/>
      <c r="F66" s="1"/>
      <c r="G66" s="1489" t="s">
        <v>3390</v>
      </c>
      <c r="H66" s="4" t="str">
        <f>'BID 1 b'!B184</f>
        <v xml:space="preserve">Belanja Perlengkapan Cetak/ pengadaan - Belanja barang cetak dan pengadaan </v>
      </c>
      <c r="I66" s="73">
        <f>SUM('BID 1 b'!F185:F199)</f>
        <v>23430000</v>
      </c>
      <c r="J66" s="1" t="s">
        <v>1220</v>
      </c>
      <c r="K66" s="4" t="s">
        <v>3595</v>
      </c>
      <c r="L66" s="73">
        <v>4535252</v>
      </c>
      <c r="M66" s="73">
        <v>4408644</v>
      </c>
      <c r="N66" s="73"/>
      <c r="O66" s="73">
        <v>4617085</v>
      </c>
      <c r="P66" s="73">
        <v>4617085</v>
      </c>
      <c r="Q66" s="73"/>
      <c r="R66" s="73"/>
      <c r="S66" s="73">
        <v>4617085</v>
      </c>
      <c r="T66" s="73"/>
      <c r="U66" s="73">
        <v>634849</v>
      </c>
      <c r="V66" s="73"/>
      <c r="W66" s="73"/>
      <c r="X66" s="1864">
        <f t="shared" si="4"/>
        <v>23430000</v>
      </c>
      <c r="Y66" s="23">
        <f t="shared" si="3"/>
        <v>0</v>
      </c>
    </row>
    <row r="67" spans="1:26" ht="60" x14ac:dyDescent="0.25">
      <c r="A67" s="1"/>
      <c r="B67" s="1"/>
      <c r="C67" s="1"/>
      <c r="D67" s="1"/>
      <c r="E67" s="1"/>
      <c r="F67" s="1"/>
      <c r="G67" s="1489" t="s">
        <v>3391</v>
      </c>
      <c r="H67" s="4" t="str">
        <f>'BID 1 b'!B201</f>
        <v>Belanja perlengkapan barang konsumsi (makan/ minum) Belanja Barang konsumsi</v>
      </c>
      <c r="I67" s="73">
        <f>SUM('BID 1 b'!F202:F207)</f>
        <v>11865000</v>
      </c>
      <c r="J67" s="1" t="s">
        <v>1220</v>
      </c>
      <c r="K67" s="4" t="s">
        <v>3595</v>
      </c>
      <c r="L67" s="73">
        <v>162500</v>
      </c>
      <c r="M67" s="73">
        <v>162500</v>
      </c>
      <c r="N67" s="73">
        <v>162500</v>
      </c>
      <c r="O67" s="73">
        <v>162500</v>
      </c>
      <c r="P67" s="73">
        <v>162500</v>
      </c>
      <c r="Q67" s="73">
        <v>162500</v>
      </c>
      <c r="R67" s="73">
        <v>162500</v>
      </c>
      <c r="S67" s="73">
        <v>162500</v>
      </c>
      <c r="T67" s="73">
        <v>9016268</v>
      </c>
      <c r="U67" s="73">
        <v>162500</v>
      </c>
      <c r="V67" s="73">
        <v>162500</v>
      </c>
      <c r="W67" s="73">
        <v>1223732</v>
      </c>
      <c r="X67" s="1864">
        <f t="shared" si="4"/>
        <v>11865000</v>
      </c>
      <c r="Y67" s="23">
        <f t="shared" si="3"/>
        <v>0</v>
      </c>
      <c r="Z67" s="68"/>
    </row>
    <row r="68" spans="1:26" x14ac:dyDescent="0.25">
      <c r="A68" s="1"/>
      <c r="B68" s="1"/>
      <c r="C68" s="1"/>
      <c r="D68" s="1"/>
      <c r="E68" s="1"/>
      <c r="F68" s="1"/>
      <c r="G68" s="1489" t="s">
        <v>3392</v>
      </c>
      <c r="H68" s="1" t="str">
        <f>'BID 1 b'!B209</f>
        <v>Belanja Bahan Material</v>
      </c>
      <c r="I68" s="73">
        <f>'BID 1 b'!F210</f>
        <v>15000000</v>
      </c>
      <c r="J68" s="1" t="s">
        <v>1220</v>
      </c>
      <c r="K68" s="4" t="s">
        <v>3595</v>
      </c>
      <c r="L68" s="73"/>
      <c r="M68" s="73"/>
      <c r="N68" s="73"/>
      <c r="O68" s="73">
        <v>15000000</v>
      </c>
      <c r="P68" s="73"/>
      <c r="Q68" s="73"/>
      <c r="R68" s="73"/>
      <c r="S68" s="73"/>
      <c r="T68" s="73"/>
      <c r="U68" s="73"/>
      <c r="V68" s="73"/>
      <c r="W68" s="73"/>
      <c r="X68" s="1864">
        <f t="shared" si="4"/>
        <v>15000000</v>
      </c>
      <c r="Y68" s="23">
        <f t="shared" si="3"/>
        <v>0</v>
      </c>
      <c r="Z68" s="23"/>
    </row>
    <row r="69" spans="1:26" ht="30" x14ac:dyDescent="0.25">
      <c r="A69" s="1"/>
      <c r="B69" s="1"/>
      <c r="C69" s="1"/>
      <c r="D69" s="1"/>
      <c r="E69" s="1"/>
      <c r="F69" s="1"/>
      <c r="G69" s="1489" t="s">
        <v>3393</v>
      </c>
      <c r="H69" s="4" t="str">
        <f>'BID 1 b'!B212</f>
        <v>Belanja bendera/ umbul umbul/ spanduk</v>
      </c>
      <c r="I69" s="73">
        <f>SUM('BID 1 b'!F213:F218)</f>
        <v>16935000</v>
      </c>
      <c r="J69" s="1" t="s">
        <v>1220</v>
      </c>
      <c r="K69" s="4" t="s">
        <v>3595</v>
      </c>
      <c r="L69" s="73"/>
      <c r="M69" s="73">
        <v>10000000</v>
      </c>
      <c r="N69" s="73"/>
      <c r="O69" s="73"/>
      <c r="P69" s="73">
        <v>6935000</v>
      </c>
      <c r="Q69" s="73"/>
      <c r="R69" s="73"/>
      <c r="S69" s="73"/>
      <c r="T69" s="73"/>
      <c r="U69" s="73"/>
      <c r="V69" s="73"/>
      <c r="W69" s="73"/>
      <c r="X69" s="1864">
        <f t="shared" si="4"/>
        <v>16935000</v>
      </c>
      <c r="Y69" s="23">
        <f t="shared" si="3"/>
        <v>0</v>
      </c>
    </row>
    <row r="70" spans="1:26" ht="30" x14ac:dyDescent="0.25">
      <c r="A70" s="1"/>
      <c r="B70" s="1"/>
      <c r="C70" s="1"/>
      <c r="D70" s="1"/>
      <c r="E70" s="1"/>
      <c r="F70" s="1"/>
      <c r="G70" s="1489" t="s">
        <v>3394</v>
      </c>
      <c r="H70" s="4" t="str">
        <f>'BID 1 b'!B220</f>
        <v>Belanja Pakaian Dinas/ seragam/ atribut</v>
      </c>
      <c r="I70" s="73">
        <f>SUM('BID 1 b'!F221:F222)</f>
        <v>28489000</v>
      </c>
      <c r="J70" s="1" t="s">
        <v>1220</v>
      </c>
      <c r="K70" s="4" t="s">
        <v>3595</v>
      </c>
      <c r="L70" s="73"/>
      <c r="M70" s="73"/>
      <c r="N70" s="73">
        <v>28489000</v>
      </c>
      <c r="O70" s="73"/>
      <c r="P70" s="73"/>
      <c r="Q70" s="73"/>
      <c r="R70" s="73"/>
      <c r="S70" s="73"/>
      <c r="T70" s="73"/>
      <c r="U70" s="73"/>
      <c r="V70" s="73"/>
      <c r="W70" s="73"/>
      <c r="X70" s="1864">
        <f t="shared" si="4"/>
        <v>28489000</v>
      </c>
      <c r="Y70" s="23">
        <f t="shared" si="3"/>
        <v>0</v>
      </c>
    </row>
    <row r="71" spans="1:26" x14ac:dyDescent="0.25">
      <c r="A71" s="1"/>
      <c r="B71" s="1"/>
      <c r="C71" s="1"/>
      <c r="D71" s="1"/>
      <c r="E71" s="1"/>
      <c r="F71" s="1"/>
      <c r="G71" s="1">
        <v>10</v>
      </c>
      <c r="H71" s="1" t="str">
        <f>'BID 1 b'!B224</f>
        <v>Belanja obat obatan</v>
      </c>
      <c r="I71" s="73">
        <f>'BID 1 b'!F225</f>
        <v>309000</v>
      </c>
      <c r="J71" s="1" t="s">
        <v>1220</v>
      </c>
      <c r="K71" s="4" t="s">
        <v>3595</v>
      </c>
      <c r="L71" s="73">
        <v>309000</v>
      </c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1864">
        <f t="shared" si="4"/>
        <v>309000</v>
      </c>
      <c r="Y71" s="23">
        <f t="shared" si="3"/>
        <v>0</v>
      </c>
    </row>
    <row r="72" spans="1:26" ht="30" x14ac:dyDescent="0.25">
      <c r="A72" s="1"/>
      <c r="B72" s="1"/>
      <c r="C72" s="1"/>
      <c r="D72" s="1"/>
      <c r="E72" s="1"/>
      <c r="F72" s="1"/>
      <c r="G72" s="1">
        <v>90</v>
      </c>
      <c r="H72" s="4" t="str">
        <f>'BID 1 b'!B227</f>
        <v>Belanja Upakara, Upakara dan Aci Aci</v>
      </c>
      <c r="I72" s="73">
        <f>'BID 1 b'!F228+'BID 1 b'!F229</f>
        <v>12600000</v>
      </c>
      <c r="J72" s="1" t="s">
        <v>1220</v>
      </c>
      <c r="K72" s="4" t="s">
        <v>3595</v>
      </c>
      <c r="L72" s="73">
        <v>1050000</v>
      </c>
      <c r="M72" s="73">
        <v>1050000</v>
      </c>
      <c r="N72" s="73">
        <v>1050000</v>
      </c>
      <c r="O72" s="73">
        <v>1050000</v>
      </c>
      <c r="P72" s="73">
        <v>1050000</v>
      </c>
      <c r="Q72" s="73">
        <v>1050000</v>
      </c>
      <c r="R72" s="73">
        <v>1050000</v>
      </c>
      <c r="S72" s="73">
        <v>1050000</v>
      </c>
      <c r="T72" s="73">
        <v>1050000</v>
      </c>
      <c r="U72" s="73">
        <v>1050000</v>
      </c>
      <c r="V72" s="73">
        <v>1050000</v>
      </c>
      <c r="W72" s="73">
        <v>1050000</v>
      </c>
      <c r="X72" s="1864">
        <f t="shared" si="4"/>
        <v>12600000</v>
      </c>
      <c r="Y72" s="23">
        <f t="shared" si="3"/>
        <v>0</v>
      </c>
    </row>
    <row r="73" spans="1:26" x14ac:dyDescent="0.25">
      <c r="A73" s="1"/>
      <c r="B73" s="1"/>
      <c r="C73" s="1"/>
      <c r="D73" s="1">
        <v>5</v>
      </c>
      <c r="E73" s="1">
        <v>2</v>
      </c>
      <c r="F73" s="1">
        <v>2</v>
      </c>
      <c r="G73" s="1"/>
      <c r="H73" s="1" t="str">
        <f>'BID 1 b'!B231</f>
        <v>Belanja jasa honorarium</v>
      </c>
      <c r="I73" s="73"/>
      <c r="J73" s="1"/>
      <c r="K73" s="4" t="s">
        <v>3595</v>
      </c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1864">
        <f t="shared" si="4"/>
        <v>0</v>
      </c>
      <c r="Y73" s="23">
        <f t="shared" si="3"/>
        <v>0</v>
      </c>
    </row>
    <row r="74" spans="1:26" ht="30" x14ac:dyDescent="0.25">
      <c r="A74" s="1"/>
      <c r="B74" s="1"/>
      <c r="C74" s="1"/>
      <c r="D74" s="1"/>
      <c r="E74" s="1"/>
      <c r="F74" s="1"/>
      <c r="G74" s="1489" t="s">
        <v>3391</v>
      </c>
      <c r="H74" s="4" t="str">
        <f>'BID 1 b'!B232</f>
        <v>Honorarium PKPKD dan PPKD</v>
      </c>
      <c r="I74" s="73">
        <f>SUM('BID 1 b'!F233:F239)</f>
        <v>159150000</v>
      </c>
      <c r="J74" s="1" t="s">
        <v>1220</v>
      </c>
      <c r="K74" s="4" t="s">
        <v>3595</v>
      </c>
      <c r="L74" s="73">
        <v>13200000</v>
      </c>
      <c r="M74" s="73">
        <v>13200000</v>
      </c>
      <c r="N74" s="73">
        <v>13200000</v>
      </c>
      <c r="O74" s="73">
        <v>13200000</v>
      </c>
      <c r="P74" s="73">
        <v>13200000</v>
      </c>
      <c r="Q74" s="73">
        <v>13200000</v>
      </c>
      <c r="R74" s="73">
        <v>13200000</v>
      </c>
      <c r="S74" s="73">
        <v>13200000</v>
      </c>
      <c r="T74" s="73">
        <v>13200000</v>
      </c>
      <c r="U74" s="73">
        <v>13200000</v>
      </c>
      <c r="V74" s="73">
        <v>13200000</v>
      </c>
      <c r="W74" s="73">
        <v>13950000</v>
      </c>
      <c r="X74" s="1864">
        <f t="shared" si="4"/>
        <v>159150000</v>
      </c>
      <c r="Y74" s="23">
        <f t="shared" si="3"/>
        <v>0</v>
      </c>
    </row>
    <row r="75" spans="1:26" x14ac:dyDescent="0.25">
      <c r="A75" s="1"/>
      <c r="B75" s="1"/>
      <c r="C75" s="1"/>
      <c r="D75" s="1">
        <v>5</v>
      </c>
      <c r="E75" s="1">
        <v>2</v>
      </c>
      <c r="F75" s="1">
        <v>3</v>
      </c>
      <c r="G75" s="1"/>
      <c r="H75" s="4" t="str">
        <f>'BID 1 b'!B241</f>
        <v>Belanja Perjalanan Dinas</v>
      </c>
      <c r="I75" s="73"/>
      <c r="J75" s="1"/>
      <c r="K75" s="4" t="s">
        <v>3595</v>
      </c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1864">
        <f t="shared" si="4"/>
        <v>0</v>
      </c>
      <c r="Y75" s="23">
        <f t="shared" si="3"/>
        <v>0</v>
      </c>
    </row>
    <row r="76" spans="1:26" ht="30" x14ac:dyDescent="0.25">
      <c r="A76" s="1"/>
      <c r="B76" s="1"/>
      <c r="C76" s="1"/>
      <c r="D76" s="1"/>
      <c r="E76" s="1"/>
      <c r="F76" s="1"/>
      <c r="G76" s="1489" t="s">
        <v>3386</v>
      </c>
      <c r="H76" s="4" t="str">
        <f>'BID 1 b'!B242</f>
        <v>Perjalanan Dinas Luar Kabupaten/ Kota</v>
      </c>
      <c r="I76" s="73">
        <f>'BID 1 b'!F242</f>
        <v>50000000</v>
      </c>
      <c r="J76" s="1" t="s">
        <v>1220</v>
      </c>
      <c r="K76" s="4" t="s">
        <v>3595</v>
      </c>
      <c r="L76" s="73"/>
      <c r="M76" s="73"/>
      <c r="N76" s="73">
        <v>11025143</v>
      </c>
      <c r="O76" s="73"/>
      <c r="P76" s="73"/>
      <c r="Q76" s="73"/>
      <c r="R76" s="73"/>
      <c r="S76" s="73"/>
      <c r="T76" s="73">
        <v>4617085</v>
      </c>
      <c r="U76" s="73">
        <v>22836004</v>
      </c>
      <c r="V76" s="73"/>
      <c r="W76" s="73">
        <v>11521768</v>
      </c>
      <c r="X76" s="1864">
        <f t="shared" si="4"/>
        <v>50000000</v>
      </c>
      <c r="Y76" s="23">
        <f t="shared" si="3"/>
        <v>0</v>
      </c>
    </row>
    <row r="77" spans="1:26" ht="30" x14ac:dyDescent="0.25">
      <c r="A77" s="1"/>
      <c r="B77" s="1"/>
      <c r="C77" s="1"/>
      <c r="D77" s="1">
        <v>5</v>
      </c>
      <c r="E77" s="1">
        <v>2</v>
      </c>
      <c r="F77" s="1">
        <v>5</v>
      </c>
      <c r="G77" s="1"/>
      <c r="H77" s="4" t="str">
        <f>'BID 1 b'!B244</f>
        <v>Belanja Operasional Perkantoran</v>
      </c>
      <c r="I77" s="73"/>
      <c r="J77" s="1"/>
      <c r="K77" s="4" t="s">
        <v>3595</v>
      </c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1864">
        <f t="shared" si="4"/>
        <v>0</v>
      </c>
      <c r="Y77" s="23">
        <f t="shared" si="3"/>
        <v>0</v>
      </c>
    </row>
    <row r="78" spans="1:26" x14ac:dyDescent="0.25">
      <c r="A78" s="1"/>
      <c r="B78" s="1"/>
      <c r="C78" s="1"/>
      <c r="D78" s="1"/>
      <c r="E78" s="1"/>
      <c r="F78" s="1"/>
      <c r="G78" s="1489" t="s">
        <v>3366</v>
      </c>
      <c r="H78" s="1" t="str">
        <f>'BID 1 b'!B245</f>
        <v>Belanja jasa layanan listrik</v>
      </c>
      <c r="I78" s="73">
        <f>'BID 1 b'!F245</f>
        <v>36600000</v>
      </c>
      <c r="J78" s="1" t="s">
        <v>1220</v>
      </c>
      <c r="K78" s="4" t="s">
        <v>3595</v>
      </c>
      <c r="L78" s="73">
        <v>3050000</v>
      </c>
      <c r="M78" s="73">
        <v>3050000</v>
      </c>
      <c r="N78" s="73">
        <v>3050000</v>
      </c>
      <c r="O78" s="73">
        <v>3050000</v>
      </c>
      <c r="P78" s="73">
        <v>3050000</v>
      </c>
      <c r="Q78" s="73">
        <v>3050000</v>
      </c>
      <c r="R78" s="73">
        <v>3050000</v>
      </c>
      <c r="S78" s="73">
        <v>3050000</v>
      </c>
      <c r="T78" s="73">
        <v>3050000</v>
      </c>
      <c r="U78" s="73">
        <v>3050000</v>
      </c>
      <c r="V78" s="73">
        <v>3050000</v>
      </c>
      <c r="W78" s="73">
        <v>3050000</v>
      </c>
      <c r="X78" s="1864">
        <f t="shared" si="4"/>
        <v>36600000</v>
      </c>
      <c r="Y78" s="23">
        <f t="shared" si="3"/>
        <v>0</v>
      </c>
    </row>
    <row r="79" spans="1:26" ht="30" x14ac:dyDescent="0.25">
      <c r="A79" s="1"/>
      <c r="B79" s="1"/>
      <c r="C79" s="1"/>
      <c r="D79" s="1"/>
      <c r="E79" s="1"/>
      <c r="F79" s="1"/>
      <c r="G79" s="1489" t="s">
        <v>3388</v>
      </c>
      <c r="H79" s="4" t="str">
        <f>'BID 1 b'!B246</f>
        <v>Belanja jasa langganan majalah/ surat kabar</v>
      </c>
      <c r="I79" s="73">
        <f>'BID 1 b'!F246</f>
        <v>1440000</v>
      </c>
      <c r="J79" s="1" t="s">
        <v>1220</v>
      </c>
      <c r="K79" s="4" t="s">
        <v>3595</v>
      </c>
      <c r="L79" s="73">
        <v>120000</v>
      </c>
      <c r="M79" s="73">
        <v>120000</v>
      </c>
      <c r="N79" s="73">
        <v>120000</v>
      </c>
      <c r="O79" s="73">
        <v>120000</v>
      </c>
      <c r="P79" s="73">
        <v>120000</v>
      </c>
      <c r="Q79" s="73">
        <v>120000</v>
      </c>
      <c r="R79" s="73">
        <v>120000</v>
      </c>
      <c r="S79" s="73">
        <v>120000</v>
      </c>
      <c r="T79" s="73">
        <v>120000</v>
      </c>
      <c r="U79" s="73">
        <v>120000</v>
      </c>
      <c r="V79" s="73">
        <v>120000</v>
      </c>
      <c r="W79" s="73">
        <v>120000</v>
      </c>
      <c r="X79" s="1864">
        <f t="shared" si="4"/>
        <v>1440000</v>
      </c>
      <c r="Y79" s="23">
        <f t="shared" si="3"/>
        <v>0</v>
      </c>
    </row>
    <row r="80" spans="1:26" ht="30" x14ac:dyDescent="0.25">
      <c r="A80" s="1"/>
      <c r="B80" s="1"/>
      <c r="C80" s="1"/>
      <c r="D80" s="1"/>
      <c r="E80" s="1"/>
      <c r="F80" s="1"/>
      <c r="G80" s="1489" t="s">
        <v>3389</v>
      </c>
      <c r="H80" s="4" t="str">
        <f>'BID 1 b'!B247</f>
        <v>Belanja jasa langganan telepon</v>
      </c>
      <c r="I80" s="73">
        <f>'BID 1 b'!F247</f>
        <v>1200000</v>
      </c>
      <c r="J80" s="1" t="s">
        <v>1220</v>
      </c>
      <c r="K80" s="4" t="s">
        <v>3595</v>
      </c>
      <c r="L80" s="73">
        <v>100000</v>
      </c>
      <c r="M80" s="73">
        <v>100000</v>
      </c>
      <c r="N80" s="73">
        <v>100000</v>
      </c>
      <c r="O80" s="73">
        <v>100000</v>
      </c>
      <c r="P80" s="73">
        <v>100000</v>
      </c>
      <c r="Q80" s="73">
        <v>100000</v>
      </c>
      <c r="R80" s="73">
        <v>100000</v>
      </c>
      <c r="S80" s="73">
        <v>100000</v>
      </c>
      <c r="T80" s="73">
        <v>100000</v>
      </c>
      <c r="U80" s="73">
        <v>100000</v>
      </c>
      <c r="V80" s="73">
        <v>100000</v>
      </c>
      <c r="W80" s="73">
        <v>100000</v>
      </c>
      <c r="X80" s="1864">
        <f t="shared" si="4"/>
        <v>1200000</v>
      </c>
      <c r="Y80" s="23">
        <f t="shared" si="3"/>
        <v>0</v>
      </c>
    </row>
    <row r="81" spans="1:25" ht="30" x14ac:dyDescent="0.25">
      <c r="A81" s="1"/>
      <c r="B81" s="1"/>
      <c r="C81" s="1"/>
      <c r="D81" s="1"/>
      <c r="E81" s="1"/>
      <c r="F81" s="1"/>
      <c r="G81" s="1489" t="s">
        <v>3390</v>
      </c>
      <c r="H81" s="4" t="str">
        <f>'BID 1 b'!B248</f>
        <v>Belanja jasa langganan internet</v>
      </c>
      <c r="I81" s="73">
        <f>'BID 1 b'!F248</f>
        <v>15600000</v>
      </c>
      <c r="J81" s="1" t="s">
        <v>1220</v>
      </c>
      <c r="K81" s="4" t="s">
        <v>3595</v>
      </c>
      <c r="L81" s="73">
        <v>1300000</v>
      </c>
      <c r="M81" s="73">
        <v>1300000</v>
      </c>
      <c r="N81" s="73">
        <v>1300000</v>
      </c>
      <c r="O81" s="73">
        <v>1300000</v>
      </c>
      <c r="P81" s="73">
        <v>1300000</v>
      </c>
      <c r="Q81" s="73">
        <v>1300000</v>
      </c>
      <c r="R81" s="73">
        <v>1300000</v>
      </c>
      <c r="S81" s="73">
        <v>1300000</v>
      </c>
      <c r="T81" s="73">
        <v>1300000</v>
      </c>
      <c r="U81" s="73">
        <v>1300000</v>
      </c>
      <c r="V81" s="73">
        <v>1300000</v>
      </c>
      <c r="W81" s="73">
        <v>1300000</v>
      </c>
      <c r="X81" s="1864">
        <f t="shared" si="4"/>
        <v>15600000</v>
      </c>
      <c r="Y81" s="23">
        <f t="shared" si="3"/>
        <v>0</v>
      </c>
    </row>
    <row r="82" spans="1:25" s="1903" customFormat="1" ht="30" x14ac:dyDescent="0.25">
      <c r="A82" s="1898"/>
      <c r="B82" s="1898"/>
      <c r="C82" s="1898"/>
      <c r="D82" s="1898"/>
      <c r="E82" s="1898"/>
      <c r="F82" s="1898"/>
      <c r="G82" s="1904" t="s">
        <v>3392</v>
      </c>
      <c r="H82" s="1899" t="str">
        <f>'BID 1 b'!B260</f>
        <v>Belanja Jasa Perpanjangan ijin/ pajak</v>
      </c>
      <c r="I82" s="1900">
        <f>'BID 1 b'!F261</f>
        <v>92845785.840000004</v>
      </c>
      <c r="J82" s="1898" t="s">
        <v>1506</v>
      </c>
      <c r="K82" s="1899" t="s">
        <v>3595</v>
      </c>
      <c r="L82" s="1900">
        <v>7737148.8200000003</v>
      </c>
      <c r="M82" s="1900">
        <v>7737148.8200000003</v>
      </c>
      <c r="N82" s="1900">
        <v>7737148.8200000003</v>
      </c>
      <c r="O82" s="1900">
        <v>7737148.8200000003</v>
      </c>
      <c r="P82" s="1900">
        <v>7737148.8200000003</v>
      </c>
      <c r="Q82" s="1900">
        <v>7737148.8200000003</v>
      </c>
      <c r="R82" s="1900">
        <v>7737148.8200000003</v>
      </c>
      <c r="S82" s="1900">
        <v>7737148.8200000003</v>
      </c>
      <c r="T82" s="1900">
        <v>7737148.8200000003</v>
      </c>
      <c r="U82" s="1900">
        <v>7737148.8200000003</v>
      </c>
      <c r="V82" s="1900">
        <v>7737148.8200000003</v>
      </c>
      <c r="W82" s="1900">
        <v>7737148.8200000003</v>
      </c>
      <c r="X82" s="1901">
        <f t="shared" si="4"/>
        <v>92845785.839999974</v>
      </c>
      <c r="Y82" s="1902">
        <f t="shared" si="3"/>
        <v>0</v>
      </c>
    </row>
    <row r="83" spans="1:25" ht="30" x14ac:dyDescent="0.25">
      <c r="A83" s="1"/>
      <c r="B83" s="1"/>
      <c r="C83" s="1"/>
      <c r="D83" s="1"/>
      <c r="E83" s="1"/>
      <c r="F83" s="1"/>
      <c r="G83" s="1489" t="s">
        <v>3392</v>
      </c>
      <c r="H83" s="4" t="str">
        <f>'BID 1 b'!B249</f>
        <v>Belanja Jasa Perpanjangan ijin/ pajak</v>
      </c>
      <c r="I83" s="73">
        <f>SUM('BID 1 b'!F250:F259)</f>
        <v>33961200</v>
      </c>
      <c r="J83" s="1" t="s">
        <v>1220</v>
      </c>
      <c r="K83" s="4" t="s">
        <v>3595</v>
      </c>
      <c r="L83" s="73"/>
      <c r="M83" s="73"/>
      <c r="N83" s="73"/>
      <c r="O83" s="73"/>
      <c r="P83" s="73"/>
      <c r="Q83" s="73">
        <v>14205967</v>
      </c>
      <c r="R83" s="73"/>
      <c r="S83" s="73"/>
      <c r="T83" s="73"/>
      <c r="U83" s="73"/>
      <c r="V83" s="73"/>
      <c r="W83" s="73">
        <v>19755233</v>
      </c>
      <c r="X83" s="1864">
        <f t="shared" si="4"/>
        <v>33961200</v>
      </c>
      <c r="Y83" s="23">
        <f t="shared" si="3"/>
        <v>0</v>
      </c>
    </row>
    <row r="84" spans="1:25" ht="30" x14ac:dyDescent="0.25">
      <c r="A84" s="1"/>
      <c r="B84" s="1"/>
      <c r="C84" s="1"/>
      <c r="D84" s="1"/>
      <c r="E84" s="1"/>
      <c r="F84" s="1"/>
      <c r="G84" s="1489" t="s">
        <v>3392</v>
      </c>
      <c r="H84" s="1" t="str">
        <f>'BID 1 b'!B262</f>
        <v>Pajak Bunga Bank</v>
      </c>
      <c r="I84" s="73">
        <f>'BID 1 b'!F263</f>
        <v>10800000</v>
      </c>
      <c r="J84" s="4" t="s">
        <v>3295</v>
      </c>
      <c r="K84" s="4" t="s">
        <v>3595</v>
      </c>
      <c r="L84" s="73">
        <v>900000</v>
      </c>
      <c r="M84" s="73">
        <v>900000</v>
      </c>
      <c r="N84" s="73">
        <v>900000</v>
      </c>
      <c r="O84" s="73">
        <v>900000</v>
      </c>
      <c r="P84" s="73">
        <v>900000</v>
      </c>
      <c r="Q84" s="73">
        <v>900000</v>
      </c>
      <c r="R84" s="73">
        <v>900000</v>
      </c>
      <c r="S84" s="73">
        <v>900000</v>
      </c>
      <c r="T84" s="73">
        <v>900000</v>
      </c>
      <c r="U84" s="73">
        <v>900000</v>
      </c>
      <c r="V84" s="73">
        <v>900000</v>
      </c>
      <c r="W84" s="73">
        <v>900000</v>
      </c>
      <c r="X84" s="1864">
        <f t="shared" si="4"/>
        <v>10800000</v>
      </c>
      <c r="Y84" s="23">
        <f t="shared" si="3"/>
        <v>0</v>
      </c>
    </row>
    <row r="85" spans="1:25" ht="30" x14ac:dyDescent="0.25">
      <c r="A85" s="1"/>
      <c r="B85" s="1"/>
      <c r="C85" s="1"/>
      <c r="D85" s="1"/>
      <c r="E85" s="1"/>
      <c r="F85" s="1"/>
      <c r="G85" s="1">
        <v>99</v>
      </c>
      <c r="H85" s="1" t="str">
        <f>'BID 1 b'!B264</f>
        <v>Biaya Administrasi Bank</v>
      </c>
      <c r="I85" s="73">
        <f>'BID 1 b'!F265</f>
        <v>120000</v>
      </c>
      <c r="J85" s="4" t="s">
        <v>3295</v>
      </c>
      <c r="K85" s="4" t="s">
        <v>3595</v>
      </c>
      <c r="L85" s="73">
        <v>10000</v>
      </c>
      <c r="M85" s="73">
        <v>10000</v>
      </c>
      <c r="N85" s="73">
        <v>10000</v>
      </c>
      <c r="O85" s="73">
        <v>10000</v>
      </c>
      <c r="P85" s="73">
        <v>10000</v>
      </c>
      <c r="Q85" s="73">
        <v>10000</v>
      </c>
      <c r="R85" s="73">
        <v>10000</v>
      </c>
      <c r="S85" s="73">
        <v>10000</v>
      </c>
      <c r="T85" s="73">
        <v>10000</v>
      </c>
      <c r="U85" s="73">
        <v>10000</v>
      </c>
      <c r="V85" s="73">
        <v>10000</v>
      </c>
      <c r="W85" s="73">
        <v>10000</v>
      </c>
      <c r="X85" s="1864">
        <f t="shared" si="4"/>
        <v>120000</v>
      </c>
      <c r="Y85" s="23">
        <f t="shared" si="3"/>
        <v>0</v>
      </c>
    </row>
    <row r="86" spans="1:25" x14ac:dyDescent="0.25">
      <c r="A86" s="1"/>
      <c r="B86" s="1"/>
      <c r="C86" s="1"/>
      <c r="D86" s="1">
        <v>5</v>
      </c>
      <c r="E86" s="1">
        <v>2</v>
      </c>
      <c r="F86" s="1">
        <v>6</v>
      </c>
      <c r="G86" s="1"/>
      <c r="H86" s="1" t="str">
        <f>'BID 1 b'!B266</f>
        <v>Belanja Pemeliharaan</v>
      </c>
      <c r="I86" s="73"/>
      <c r="J86" s="1"/>
      <c r="K86" s="4" t="s">
        <v>3595</v>
      </c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1864">
        <f t="shared" si="4"/>
        <v>0</v>
      </c>
      <c r="Y86" s="23">
        <f t="shared" si="3"/>
        <v>0</v>
      </c>
    </row>
    <row r="87" spans="1:25" ht="30" x14ac:dyDescent="0.25">
      <c r="A87" s="1"/>
      <c r="B87" s="1"/>
      <c r="C87" s="1"/>
      <c r="D87" s="1"/>
      <c r="E87" s="1"/>
      <c r="F87" s="1"/>
      <c r="G87" s="1489" t="s">
        <v>3386</v>
      </c>
      <c r="H87" s="4" t="str">
        <f>'BID 1 b'!B267</f>
        <v>Belanja Pemeliharaan Kendaraan Bermotor</v>
      </c>
      <c r="I87" s="73">
        <f>SUM('BID 1 b'!F269:F273)</f>
        <v>19050000</v>
      </c>
      <c r="J87" s="1" t="s">
        <v>1220</v>
      </c>
      <c r="K87" s="4" t="s">
        <v>3595</v>
      </c>
      <c r="L87" s="73">
        <v>1587500</v>
      </c>
      <c r="M87" s="73">
        <v>1587500</v>
      </c>
      <c r="N87" s="73">
        <v>1587500</v>
      </c>
      <c r="O87" s="73">
        <v>1587500</v>
      </c>
      <c r="P87" s="73">
        <v>1587500</v>
      </c>
      <c r="Q87" s="73">
        <v>1587500</v>
      </c>
      <c r="R87" s="73">
        <v>1587500</v>
      </c>
      <c r="S87" s="73">
        <v>1587500</v>
      </c>
      <c r="T87" s="73">
        <v>1587500</v>
      </c>
      <c r="U87" s="73">
        <v>1587500</v>
      </c>
      <c r="V87" s="73">
        <v>1587500</v>
      </c>
      <c r="W87" s="73">
        <v>1587500</v>
      </c>
      <c r="X87" s="1864">
        <f t="shared" si="4"/>
        <v>19050000</v>
      </c>
      <c r="Y87" s="23">
        <f t="shared" si="3"/>
        <v>0</v>
      </c>
    </row>
    <row r="88" spans="1:25" ht="30" x14ac:dyDescent="0.25">
      <c r="A88" s="1"/>
      <c r="B88" s="1"/>
      <c r="C88" s="1"/>
      <c r="D88" s="1"/>
      <c r="E88" s="1"/>
      <c r="F88" s="1"/>
      <c r="G88" s="1489" t="s">
        <v>3388</v>
      </c>
      <c r="H88" s="4" t="str">
        <f>'BID 1 b'!B275</f>
        <v xml:space="preserve">Belanja pemeliharaan peralatan </v>
      </c>
      <c r="I88" s="73">
        <f>SUM('BID 1 b'!F276:F293)</f>
        <v>68425665</v>
      </c>
      <c r="J88" s="1" t="s">
        <v>1220</v>
      </c>
      <c r="K88" s="4" t="s">
        <v>3595</v>
      </c>
      <c r="L88" s="73">
        <v>3740943</v>
      </c>
      <c r="M88" s="73"/>
      <c r="N88" s="73"/>
      <c r="O88" s="73"/>
      <c r="P88" s="73">
        <v>10937392</v>
      </c>
      <c r="Q88" s="73"/>
      <c r="R88" s="73">
        <v>25213967</v>
      </c>
      <c r="S88" s="73">
        <v>11720145</v>
      </c>
      <c r="T88" s="73"/>
      <c r="U88" s="73"/>
      <c r="V88" s="73"/>
      <c r="W88" s="73">
        <v>16813218</v>
      </c>
      <c r="X88" s="1864">
        <f t="shared" si="4"/>
        <v>68425665</v>
      </c>
      <c r="Y88" s="23">
        <f t="shared" si="3"/>
        <v>0</v>
      </c>
    </row>
    <row r="89" spans="1:25" ht="60" x14ac:dyDescent="0.25">
      <c r="A89" s="1"/>
      <c r="B89" s="1"/>
      <c r="C89" s="1"/>
      <c r="D89" s="1"/>
      <c r="E89" s="1"/>
      <c r="F89" s="1"/>
      <c r="G89" s="1489" t="s">
        <v>3393</v>
      </c>
      <c r="H89" s="4" t="str">
        <f>'BID 1 b'!B295</f>
        <v>Belanja pemeliharaan jaringan dan instalasi ( Lisrik, Telepon, Internet, Kominikasi, Dll)</v>
      </c>
      <c r="I89" s="73">
        <f>SUM('BID 1 b'!F296:F301)</f>
        <v>10500000</v>
      </c>
      <c r="J89" s="1" t="s">
        <v>1220</v>
      </c>
      <c r="K89" s="4" t="s">
        <v>3595</v>
      </c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>
        <v>10500000</v>
      </c>
      <c r="X89" s="1864">
        <f t="shared" si="4"/>
        <v>10500000</v>
      </c>
      <c r="Y89" s="23">
        <f t="shared" si="3"/>
        <v>0</v>
      </c>
    </row>
    <row r="90" spans="1:25" ht="46.9" customHeight="1" x14ac:dyDescent="0.25">
      <c r="A90" s="865">
        <v>1</v>
      </c>
      <c r="B90" s="865">
        <v>1</v>
      </c>
      <c r="C90" s="1490" t="s">
        <v>3389</v>
      </c>
      <c r="D90" s="865"/>
      <c r="E90" s="865"/>
      <c r="F90" s="865"/>
      <c r="G90" s="865"/>
      <c r="H90" s="1061" t="str">
        <f>'BID 1 b'!B318</f>
        <v>: Penyediaan Oprasional Pemerinthanan Desa ( Kegiatan Rapat - Rapat)</v>
      </c>
      <c r="I90" s="1063">
        <f>SUM(I91:I94)</f>
        <v>37980000</v>
      </c>
      <c r="J90" s="865" t="s">
        <v>1220</v>
      </c>
      <c r="K90" s="1061" t="s">
        <v>3595</v>
      </c>
      <c r="L90" s="1063"/>
      <c r="M90" s="1063"/>
      <c r="N90" s="1063"/>
      <c r="O90" s="1063"/>
      <c r="P90" s="1063"/>
      <c r="Q90" s="1063"/>
      <c r="R90" s="1063"/>
      <c r="S90" s="1063"/>
      <c r="T90" s="1063"/>
      <c r="U90" s="1063"/>
      <c r="V90" s="1063"/>
      <c r="W90" s="1063"/>
      <c r="X90" s="1866">
        <f t="shared" si="4"/>
        <v>0</v>
      </c>
      <c r="Y90" s="23">
        <f t="shared" si="3"/>
        <v>-37980000</v>
      </c>
    </row>
    <row r="91" spans="1:25" x14ac:dyDescent="0.25">
      <c r="A91" s="1"/>
      <c r="B91" s="1"/>
      <c r="C91" s="1"/>
      <c r="D91" s="1">
        <v>5</v>
      </c>
      <c r="E91" s="1">
        <v>2</v>
      </c>
      <c r="F91" s="1"/>
      <c r="G91" s="1"/>
      <c r="H91" s="4" t="str">
        <f>'BID 1 b'!B323</f>
        <v>Belanja Barang Jasa :</v>
      </c>
      <c r="I91" s="73"/>
      <c r="J91" s="1"/>
      <c r="K91" s="4" t="s">
        <v>3595</v>
      </c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1864">
        <f t="shared" si="4"/>
        <v>0</v>
      </c>
      <c r="Y91" s="23">
        <f t="shared" si="3"/>
        <v>0</v>
      </c>
    </row>
    <row r="92" spans="1:25" ht="30" x14ac:dyDescent="0.25">
      <c r="A92" s="1"/>
      <c r="B92" s="1"/>
      <c r="C92" s="1"/>
      <c r="D92" s="1"/>
      <c r="E92" s="1"/>
      <c r="F92" s="1">
        <v>1</v>
      </c>
      <c r="G92" s="1"/>
      <c r="H92" s="4" t="str">
        <f>'BID 1 b'!B324</f>
        <v>Belanja Barang Perlengkapan</v>
      </c>
      <c r="I92" s="73"/>
      <c r="J92" s="1"/>
      <c r="K92" s="4" t="s">
        <v>3595</v>
      </c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1864">
        <f t="shared" si="4"/>
        <v>0</v>
      </c>
      <c r="Y92" s="23">
        <f t="shared" si="3"/>
        <v>0</v>
      </c>
    </row>
    <row r="93" spans="1:25" ht="60" x14ac:dyDescent="0.25">
      <c r="A93" s="1"/>
      <c r="B93" s="1"/>
      <c r="C93" s="1"/>
      <c r="D93" s="1"/>
      <c r="E93" s="1"/>
      <c r="F93" s="1"/>
      <c r="G93" s="1489" t="s">
        <v>3391</v>
      </c>
      <c r="H93" s="4" t="str">
        <f>'BID 1 b'!B325</f>
        <v>Belanja Perlengkapan barang konsumsi (makan/minum) - Belanja barang konsumsi</v>
      </c>
      <c r="I93" s="73">
        <f>'BID 1 b'!F326</f>
        <v>36000000</v>
      </c>
      <c r="J93" s="1" t="s">
        <v>1220</v>
      </c>
      <c r="K93" s="4" t="s">
        <v>3595</v>
      </c>
      <c r="L93" s="73">
        <f>I93/12</f>
        <v>3000000</v>
      </c>
      <c r="M93" s="73">
        <v>3000000</v>
      </c>
      <c r="N93" s="73">
        <v>3000000</v>
      </c>
      <c r="O93" s="73">
        <v>3000000</v>
      </c>
      <c r="P93" s="73">
        <v>3000000</v>
      </c>
      <c r="Q93" s="73">
        <v>3000000</v>
      </c>
      <c r="R93" s="73">
        <v>3000000</v>
      </c>
      <c r="S93" s="73">
        <v>3000000</v>
      </c>
      <c r="T93" s="73">
        <v>3000000</v>
      </c>
      <c r="U93" s="73">
        <v>3000000</v>
      </c>
      <c r="V93" s="73">
        <v>3000000</v>
      </c>
      <c r="W93" s="73">
        <v>3000000</v>
      </c>
      <c r="X93" s="1864">
        <f t="shared" si="4"/>
        <v>36000000</v>
      </c>
      <c r="Y93" s="23">
        <f t="shared" si="3"/>
        <v>0</v>
      </c>
    </row>
    <row r="94" spans="1:25" ht="30" x14ac:dyDescent="0.25">
      <c r="A94" s="1"/>
      <c r="B94" s="1"/>
      <c r="C94" s="1"/>
      <c r="D94" s="1"/>
      <c r="E94" s="1"/>
      <c r="F94" s="1"/>
      <c r="G94" s="1">
        <v>90</v>
      </c>
      <c r="H94" s="4" t="str">
        <f>'BID 1 b'!B328</f>
        <v>Belanja Upakara, Upacara Dan Aci-aci</v>
      </c>
      <c r="I94" s="73">
        <f>SUM('BID 1 b'!F329:F331)</f>
        <v>1980000</v>
      </c>
      <c r="J94" s="1" t="s">
        <v>1220</v>
      </c>
      <c r="K94" s="4" t="s">
        <v>3595</v>
      </c>
      <c r="L94" s="73">
        <v>165000</v>
      </c>
      <c r="M94" s="73">
        <v>165000</v>
      </c>
      <c r="N94" s="73">
        <v>165000</v>
      </c>
      <c r="O94" s="73">
        <v>165000</v>
      </c>
      <c r="P94" s="73">
        <v>165000</v>
      </c>
      <c r="Q94" s="73">
        <v>165000</v>
      </c>
      <c r="R94" s="73">
        <v>165000</v>
      </c>
      <c r="S94" s="73">
        <v>165000</v>
      </c>
      <c r="T94" s="73">
        <v>165000</v>
      </c>
      <c r="U94" s="73">
        <v>165000</v>
      </c>
      <c r="V94" s="73">
        <v>165000</v>
      </c>
      <c r="W94" s="73">
        <v>165000</v>
      </c>
      <c r="X94" s="1864">
        <f t="shared" si="4"/>
        <v>1980000</v>
      </c>
      <c r="Y94" s="23">
        <f t="shared" si="3"/>
        <v>0</v>
      </c>
    </row>
    <row r="95" spans="1:25" x14ac:dyDescent="0.25">
      <c r="A95" s="865">
        <v>1</v>
      </c>
      <c r="B95" s="865">
        <v>1</v>
      </c>
      <c r="C95" s="1490" t="s">
        <v>3390</v>
      </c>
      <c r="D95" s="865"/>
      <c r="E95" s="865"/>
      <c r="F95" s="865"/>
      <c r="G95" s="865"/>
      <c r="H95" s="1061" t="str">
        <f>'BID 1 b'!B348</f>
        <v>: Penyediaan tunjangan BPD</v>
      </c>
      <c r="I95" s="1063">
        <f>I98</f>
        <v>457800000</v>
      </c>
      <c r="J95" s="865" t="s">
        <v>1506</v>
      </c>
      <c r="K95" s="1061" t="s">
        <v>3595</v>
      </c>
      <c r="L95" s="1063"/>
      <c r="M95" s="1063"/>
      <c r="N95" s="1063"/>
      <c r="O95" s="1063"/>
      <c r="P95" s="1063"/>
      <c r="Q95" s="1063"/>
      <c r="R95" s="1063"/>
      <c r="S95" s="1063"/>
      <c r="T95" s="1063"/>
      <c r="U95" s="1063"/>
      <c r="V95" s="1063"/>
      <c r="W95" s="1063"/>
      <c r="X95" s="1866">
        <f t="shared" si="4"/>
        <v>0</v>
      </c>
      <c r="Y95" s="23">
        <f t="shared" si="3"/>
        <v>-457800000</v>
      </c>
    </row>
    <row r="96" spans="1:25" x14ac:dyDescent="0.25">
      <c r="A96" s="1"/>
      <c r="B96" s="1"/>
      <c r="C96" s="1"/>
      <c r="D96" s="1">
        <v>5</v>
      </c>
      <c r="E96" s="1">
        <v>1</v>
      </c>
      <c r="F96" s="1"/>
      <c r="G96" s="1"/>
      <c r="H96" s="1" t="str">
        <f>'BID 1 b'!B354</f>
        <v>Belanja Pegawai</v>
      </c>
      <c r="I96" s="73"/>
      <c r="J96" s="1"/>
      <c r="K96" s="4" t="s">
        <v>3595</v>
      </c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1864">
        <f t="shared" si="4"/>
        <v>0</v>
      </c>
      <c r="Y96" s="23">
        <f t="shared" si="3"/>
        <v>0</v>
      </c>
    </row>
    <row r="97" spans="1:25" x14ac:dyDescent="0.25">
      <c r="A97" s="1"/>
      <c r="B97" s="1"/>
      <c r="C97" s="1"/>
      <c r="D97" s="1"/>
      <c r="E97" s="1"/>
      <c r="F97" s="1">
        <v>4</v>
      </c>
      <c r="G97" s="1"/>
      <c r="H97" s="1" t="str">
        <f>'BID 1 b'!B355</f>
        <v>Tunjangan BPD</v>
      </c>
      <c r="I97" s="73"/>
      <c r="J97" s="1"/>
      <c r="K97" s="4" t="s">
        <v>3595</v>
      </c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1864">
        <f t="shared" si="4"/>
        <v>0</v>
      </c>
      <c r="Y97" s="23">
        <f t="shared" si="3"/>
        <v>0</v>
      </c>
    </row>
    <row r="98" spans="1:25" x14ac:dyDescent="0.25">
      <c r="A98" s="1"/>
      <c r="B98" s="1"/>
      <c r="C98" s="1"/>
      <c r="D98" s="1"/>
      <c r="E98" s="1"/>
      <c r="F98" s="1"/>
      <c r="G98" s="1489" t="s">
        <v>3366</v>
      </c>
      <c r="H98" s="1" t="str">
        <f>'BID 1 b'!B356</f>
        <v>Tunjangan Kedudukan BPD</v>
      </c>
      <c r="I98" s="73">
        <f>SUM('BID 1 b'!F357:F372)</f>
        <v>457800000</v>
      </c>
      <c r="J98" s="1" t="s">
        <v>1506</v>
      </c>
      <c r="K98" s="4" t="s">
        <v>3595</v>
      </c>
      <c r="L98" s="73">
        <v>32700000</v>
      </c>
      <c r="M98" s="73">
        <v>32700000</v>
      </c>
      <c r="N98" s="73">
        <v>65400000</v>
      </c>
      <c r="O98" s="73">
        <v>32700000</v>
      </c>
      <c r="P98" s="73">
        <v>32700000</v>
      </c>
      <c r="Q98" s="73">
        <v>32700000</v>
      </c>
      <c r="R98" s="73">
        <v>65400000</v>
      </c>
      <c r="S98" s="73">
        <v>32700000</v>
      </c>
      <c r="T98" s="73">
        <v>32700000</v>
      </c>
      <c r="U98" s="73">
        <v>32700000</v>
      </c>
      <c r="V98" s="73">
        <v>32700000</v>
      </c>
      <c r="W98" s="73">
        <v>32700000</v>
      </c>
      <c r="X98" s="1864">
        <f t="shared" si="4"/>
        <v>457800000</v>
      </c>
      <c r="Y98" s="23">
        <f t="shared" si="3"/>
        <v>0</v>
      </c>
    </row>
    <row r="99" spans="1:25" ht="30" x14ac:dyDescent="0.25">
      <c r="A99" s="865">
        <v>1</v>
      </c>
      <c r="B99" s="865">
        <v>1</v>
      </c>
      <c r="C99" s="1490" t="s">
        <v>3391</v>
      </c>
      <c r="D99" s="865"/>
      <c r="E99" s="865"/>
      <c r="F99" s="865"/>
      <c r="G99" s="865"/>
      <c r="H99" s="1061" t="str">
        <f>'BID 1 b'!B391</f>
        <v>: Penyediaan Operasional BPD</v>
      </c>
      <c r="I99" s="1063">
        <f>SUM(I100:I106)</f>
        <v>32282000</v>
      </c>
      <c r="J99" s="865" t="s">
        <v>1220</v>
      </c>
      <c r="K99" s="1061" t="s">
        <v>3595</v>
      </c>
      <c r="L99" s="1063"/>
      <c r="M99" s="1063"/>
      <c r="N99" s="1063"/>
      <c r="O99" s="1063"/>
      <c r="P99" s="1063"/>
      <c r="Q99" s="1063"/>
      <c r="R99" s="1063"/>
      <c r="S99" s="1063"/>
      <c r="T99" s="1063"/>
      <c r="U99" s="1063"/>
      <c r="V99" s="1063"/>
      <c r="W99" s="1063"/>
      <c r="X99" s="1866">
        <f t="shared" si="4"/>
        <v>0</v>
      </c>
      <c r="Y99" s="23">
        <f t="shared" si="3"/>
        <v>-32282000</v>
      </c>
    </row>
    <row r="100" spans="1:25" x14ac:dyDescent="0.25">
      <c r="A100" s="1"/>
      <c r="B100" s="1"/>
      <c r="C100" s="1"/>
      <c r="D100" s="1">
        <v>5</v>
      </c>
      <c r="E100" s="1">
        <v>2</v>
      </c>
      <c r="F100" s="1"/>
      <c r="G100" s="1"/>
      <c r="H100" s="4" t="str">
        <f>'BID 1 b'!B397</f>
        <v>Belanja Barang Jasa :</v>
      </c>
      <c r="I100" s="73"/>
      <c r="J100" s="1"/>
      <c r="K100" s="4" t="s">
        <v>3595</v>
      </c>
      <c r="L100" s="73">
        <f>SUM(L101:L106)</f>
        <v>0</v>
      </c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1864">
        <f t="shared" si="4"/>
        <v>0</v>
      </c>
      <c r="Y100" s="23">
        <f t="shared" si="3"/>
        <v>0</v>
      </c>
    </row>
    <row r="101" spans="1:25" ht="30" x14ac:dyDescent="0.25">
      <c r="A101" s="1"/>
      <c r="B101" s="1"/>
      <c r="C101" s="1"/>
      <c r="D101" s="1"/>
      <c r="E101" s="1"/>
      <c r="F101" s="1">
        <v>1</v>
      </c>
      <c r="G101" s="1"/>
      <c r="H101" s="4" t="str">
        <f>'BID 1 b'!B398</f>
        <v>Belanja Barang Perlengkapan</v>
      </c>
      <c r="I101" s="73"/>
      <c r="J101" s="1"/>
      <c r="K101" s="4" t="s">
        <v>3595</v>
      </c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1864">
        <f t="shared" si="4"/>
        <v>0</v>
      </c>
      <c r="Y101" s="23">
        <f t="shared" si="3"/>
        <v>0</v>
      </c>
    </row>
    <row r="102" spans="1:25" ht="30" x14ac:dyDescent="0.25">
      <c r="A102" s="1"/>
      <c r="B102" s="1"/>
      <c r="C102" s="1"/>
      <c r="D102" s="1"/>
      <c r="E102" s="1"/>
      <c r="F102" s="1"/>
      <c r="G102" s="1489" t="s">
        <v>3366</v>
      </c>
      <c r="H102" s="4" t="str">
        <f>'BID 1 b'!B399</f>
        <v>Belanja alat tulis kantor dan benda pos</v>
      </c>
      <c r="I102" s="73">
        <f>SUM('BID 1 b'!F400:F403)</f>
        <v>3230000</v>
      </c>
      <c r="J102" s="1" t="s">
        <v>1220</v>
      </c>
      <c r="K102" s="4" t="s">
        <v>3595</v>
      </c>
      <c r="L102" s="73"/>
      <c r="M102" s="73">
        <v>3230000</v>
      </c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1864">
        <f t="shared" si="4"/>
        <v>3230000</v>
      </c>
      <c r="Y102" s="23">
        <f t="shared" si="3"/>
        <v>0</v>
      </c>
    </row>
    <row r="103" spans="1:25" ht="60" x14ac:dyDescent="0.25">
      <c r="A103" s="1"/>
      <c r="B103" s="1"/>
      <c r="C103" s="1"/>
      <c r="D103" s="1"/>
      <c r="E103" s="1"/>
      <c r="F103" s="1"/>
      <c r="G103" s="1489" t="s">
        <v>3391</v>
      </c>
      <c r="H103" s="4" t="str">
        <f>'BID 1 b'!B405</f>
        <v>Belanja perlengkapan barang konsumsi (makan/ minum) Belanja Barang konsumsi</v>
      </c>
      <c r="I103" s="73">
        <f>SUM('BID 1 b'!F406:F408)</f>
        <v>18120000</v>
      </c>
      <c r="J103" s="1" t="s">
        <v>1220</v>
      </c>
      <c r="K103" s="4" t="s">
        <v>3595</v>
      </c>
      <c r="L103" s="73"/>
      <c r="M103" s="73">
        <v>9060000</v>
      </c>
      <c r="N103" s="73">
        <v>9060000</v>
      </c>
      <c r="O103" s="73"/>
      <c r="P103" s="73"/>
      <c r="Q103" s="73"/>
      <c r="R103" s="73"/>
      <c r="S103" s="73"/>
      <c r="T103" s="73"/>
      <c r="U103" s="73"/>
      <c r="V103" s="73"/>
      <c r="W103" s="73"/>
      <c r="X103" s="1864">
        <f t="shared" si="4"/>
        <v>18120000</v>
      </c>
      <c r="Y103" s="23">
        <f t="shared" si="3"/>
        <v>0</v>
      </c>
    </row>
    <row r="104" spans="1:25" x14ac:dyDescent="0.25">
      <c r="A104" s="1"/>
      <c r="B104" s="1"/>
      <c r="C104" s="1"/>
      <c r="D104" s="1"/>
      <c r="E104" s="1"/>
      <c r="F104" s="1"/>
      <c r="G104" s="1489" t="s">
        <v>3393</v>
      </c>
      <c r="H104" s="1" t="str">
        <f>'BID 1 b'!B409</f>
        <v>Belanja Sepanduk</v>
      </c>
      <c r="I104" s="73">
        <f>'BID 1 b'!F410</f>
        <v>90000</v>
      </c>
      <c r="J104" s="1" t="s">
        <v>1220</v>
      </c>
      <c r="K104" s="4" t="s">
        <v>3595</v>
      </c>
      <c r="L104" s="73"/>
      <c r="M104" s="73"/>
      <c r="N104" s="73">
        <v>90000</v>
      </c>
      <c r="O104" s="73"/>
      <c r="P104" s="73"/>
      <c r="Q104" s="73"/>
      <c r="R104" s="73"/>
      <c r="S104" s="73"/>
      <c r="T104" s="73"/>
      <c r="U104" s="73"/>
      <c r="V104" s="73"/>
      <c r="W104" s="73"/>
      <c r="X104" s="1864">
        <f t="shared" si="4"/>
        <v>90000</v>
      </c>
      <c r="Y104" s="23">
        <f t="shared" si="3"/>
        <v>0</v>
      </c>
    </row>
    <row r="105" spans="1:25" ht="30" x14ac:dyDescent="0.25">
      <c r="A105" s="1"/>
      <c r="B105" s="1"/>
      <c r="C105" s="1"/>
      <c r="D105" s="1"/>
      <c r="E105" s="1"/>
      <c r="F105" s="1"/>
      <c r="G105" s="1489" t="s">
        <v>3394</v>
      </c>
      <c r="H105" s="4" t="str">
        <f>'BID 1 b'!B411</f>
        <v>Belanja Pakaian Dinas/ seragam/ atribut</v>
      </c>
      <c r="I105" s="73">
        <f>SUM('BID 1 b'!F412:F413)</f>
        <v>10062000</v>
      </c>
      <c r="J105" s="1" t="s">
        <v>1220</v>
      </c>
      <c r="K105" s="4" t="s">
        <v>3595</v>
      </c>
      <c r="L105" s="73"/>
      <c r="M105" s="73">
        <v>10062000</v>
      </c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1864">
        <f t="shared" si="4"/>
        <v>10062000</v>
      </c>
      <c r="Y105" s="23">
        <f t="shared" si="3"/>
        <v>0</v>
      </c>
    </row>
    <row r="106" spans="1:25" ht="30" x14ac:dyDescent="0.25">
      <c r="A106" s="1"/>
      <c r="B106" s="1"/>
      <c r="C106" s="1"/>
      <c r="D106" s="1"/>
      <c r="E106" s="1"/>
      <c r="F106" s="1"/>
      <c r="G106" s="1">
        <v>90</v>
      </c>
      <c r="H106" s="4" t="str">
        <f>'BID 1 b'!B415</f>
        <v>Belanja Upakara, Upacara Dan Aci</v>
      </c>
      <c r="I106" s="73">
        <f>SUM('BID 1 b'!F416+'BID 1 b'!F417)</f>
        <v>780000</v>
      </c>
      <c r="J106" s="1" t="s">
        <v>1220</v>
      </c>
      <c r="K106" s="4" t="s">
        <v>3595</v>
      </c>
      <c r="L106" s="73"/>
      <c r="M106" s="73">
        <v>390000</v>
      </c>
      <c r="N106" s="73">
        <v>390000</v>
      </c>
      <c r="O106" s="73"/>
      <c r="P106" s="73"/>
      <c r="Q106" s="73"/>
      <c r="R106" s="73"/>
      <c r="S106" s="73"/>
      <c r="T106" s="73"/>
      <c r="U106" s="73"/>
      <c r="V106" s="73"/>
      <c r="W106" s="73"/>
      <c r="X106" s="1864">
        <f t="shared" si="4"/>
        <v>780000</v>
      </c>
      <c r="Y106" s="23">
        <f t="shared" si="3"/>
        <v>0</v>
      </c>
    </row>
    <row r="107" spans="1:25" ht="36" customHeight="1" x14ac:dyDescent="0.25">
      <c r="A107" s="865">
        <v>1</v>
      </c>
      <c r="B107" s="865">
        <v>1</v>
      </c>
      <c r="C107" s="1490" t="s">
        <v>3391</v>
      </c>
      <c r="D107" s="865"/>
      <c r="E107" s="865"/>
      <c r="F107" s="865"/>
      <c r="G107" s="865"/>
      <c r="H107" s="1061" t="str">
        <f>'BID 1 b'!B433</f>
        <v>: Penyediaan Operasional BPD (Musyawarah BPD)</v>
      </c>
      <c r="I107" s="1063">
        <f>SUM(I108:I112)</f>
        <v>16400000</v>
      </c>
      <c r="J107" s="865" t="s">
        <v>1220</v>
      </c>
      <c r="K107" s="1061" t="s">
        <v>3595</v>
      </c>
      <c r="L107" s="1063"/>
      <c r="M107" s="1063"/>
      <c r="N107" s="1063"/>
      <c r="O107" s="1063"/>
      <c r="P107" s="1063"/>
      <c r="Q107" s="1063"/>
      <c r="R107" s="1063"/>
      <c r="S107" s="1063"/>
      <c r="T107" s="1063"/>
      <c r="U107" s="1063"/>
      <c r="V107" s="1063"/>
      <c r="W107" s="1063"/>
      <c r="X107" s="1866">
        <f t="shared" si="4"/>
        <v>0</v>
      </c>
      <c r="Y107" s="23">
        <f t="shared" si="3"/>
        <v>-16400000</v>
      </c>
    </row>
    <row r="108" spans="1:25" x14ac:dyDescent="0.25">
      <c r="A108" s="1"/>
      <c r="B108" s="1"/>
      <c r="C108" s="1"/>
      <c r="D108" s="1">
        <v>5</v>
      </c>
      <c r="E108" s="1">
        <v>2</v>
      </c>
      <c r="F108" s="1"/>
      <c r="G108" s="1"/>
      <c r="H108" s="4" t="str">
        <f>'BID 1 b'!B439</f>
        <v>Belanja Barang Jasa</v>
      </c>
      <c r="I108" s="73"/>
      <c r="J108" s="1"/>
      <c r="K108" s="4" t="s">
        <v>3595</v>
      </c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1864">
        <f t="shared" si="4"/>
        <v>0</v>
      </c>
      <c r="Y108" s="23">
        <f t="shared" ref="Y108:Y171" si="5">X108-I108</f>
        <v>0</v>
      </c>
    </row>
    <row r="109" spans="1:25" ht="30" x14ac:dyDescent="0.25">
      <c r="A109" s="1"/>
      <c r="B109" s="1"/>
      <c r="C109" s="1"/>
      <c r="D109" s="1"/>
      <c r="E109" s="1"/>
      <c r="F109" s="1">
        <v>1</v>
      </c>
      <c r="G109" s="1"/>
      <c r="H109" s="4" t="str">
        <f>'BID 1 b'!B440</f>
        <v>Belanja Barang Perlengkapan</v>
      </c>
      <c r="I109" s="73"/>
      <c r="J109" s="1"/>
      <c r="K109" s="4" t="s">
        <v>3595</v>
      </c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1864">
        <f t="shared" si="4"/>
        <v>0</v>
      </c>
      <c r="Y109" s="23">
        <f t="shared" si="5"/>
        <v>0</v>
      </c>
    </row>
    <row r="110" spans="1:25" ht="45" x14ac:dyDescent="0.25">
      <c r="A110" s="1"/>
      <c r="B110" s="1"/>
      <c r="C110" s="1"/>
      <c r="D110" s="1"/>
      <c r="E110" s="1"/>
      <c r="F110" s="1"/>
      <c r="G110" s="1489" t="s">
        <v>3390</v>
      </c>
      <c r="H110" s="4" t="str">
        <f>'BID 1 b'!B441</f>
        <v>Belanja perlengkapan cetak/pengadaan - belanja barang cetak dan pengadaan</v>
      </c>
      <c r="I110" s="73">
        <f>SUM('BID 1 b'!F442:F443)</f>
        <v>7720000</v>
      </c>
      <c r="J110" s="1" t="s">
        <v>1220</v>
      </c>
      <c r="K110" s="4" t="s">
        <v>3595</v>
      </c>
      <c r="L110" s="73">
        <v>7720000</v>
      </c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1864">
        <f t="shared" si="4"/>
        <v>7720000</v>
      </c>
      <c r="Y110" s="23">
        <f t="shared" si="5"/>
        <v>0</v>
      </c>
    </row>
    <row r="111" spans="1:25" ht="60" x14ac:dyDescent="0.25">
      <c r="A111" s="1"/>
      <c r="B111" s="1"/>
      <c r="C111" s="1"/>
      <c r="D111" s="1"/>
      <c r="E111" s="1"/>
      <c r="F111" s="1"/>
      <c r="G111" s="1489" t="s">
        <v>3391</v>
      </c>
      <c r="H111" s="4" t="str">
        <f>'BID 1 b'!B445</f>
        <v>Belanja perlengkapan barang konsumsi (makan/minum)- Belanja Barang Konsumsi</v>
      </c>
      <c r="I111" s="73">
        <f>SUM('BID 1 b'!F446)</f>
        <v>8000000</v>
      </c>
      <c r="J111" s="1" t="s">
        <v>1220</v>
      </c>
      <c r="K111" s="4" t="s">
        <v>3595</v>
      </c>
      <c r="L111" s="73">
        <v>8000000</v>
      </c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1864">
        <f t="shared" si="4"/>
        <v>8000000</v>
      </c>
      <c r="Y111" s="23">
        <f t="shared" si="5"/>
        <v>0</v>
      </c>
    </row>
    <row r="112" spans="1:25" ht="30" x14ac:dyDescent="0.25">
      <c r="A112" s="1"/>
      <c r="B112" s="1"/>
      <c r="C112" s="1"/>
      <c r="D112" s="1"/>
      <c r="E112" s="1"/>
      <c r="F112" s="1"/>
      <c r="G112" s="1">
        <v>90</v>
      </c>
      <c r="H112" s="4" t="str">
        <f>'BID 1 b'!B448</f>
        <v>Belanja Upakara, Upacara Dan Aci- Aci</v>
      </c>
      <c r="I112" s="73">
        <f>SUM('BID 1 b'!F449:F452)</f>
        <v>680000</v>
      </c>
      <c r="J112" s="1" t="s">
        <v>1220</v>
      </c>
      <c r="K112" s="4" t="s">
        <v>3595</v>
      </c>
      <c r="L112" s="73">
        <v>680000</v>
      </c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1864">
        <f t="shared" si="4"/>
        <v>680000</v>
      </c>
      <c r="Y112" s="23">
        <f t="shared" si="5"/>
        <v>0</v>
      </c>
    </row>
    <row r="113" spans="1:25" ht="30" x14ac:dyDescent="0.25">
      <c r="A113" s="865">
        <v>1</v>
      </c>
      <c r="B113" s="865">
        <v>1</v>
      </c>
      <c r="C113" s="1490" t="s">
        <v>3391</v>
      </c>
      <c r="D113" s="865"/>
      <c r="E113" s="865"/>
      <c r="F113" s="865"/>
      <c r="G113" s="865"/>
      <c r="H113" s="1061" t="str">
        <f>'BID 1 b'!B470</f>
        <v>: Penyediaan Operasional BPD (Rapat FKAKD)</v>
      </c>
      <c r="I113" s="1063">
        <f>SUM(I114:I118)</f>
        <v>8685000</v>
      </c>
      <c r="J113" s="865" t="s">
        <v>2177</v>
      </c>
      <c r="K113" s="1061" t="s">
        <v>3595</v>
      </c>
      <c r="L113" s="1063"/>
      <c r="M113" s="1063"/>
      <c r="N113" s="1063"/>
      <c r="O113" s="1063"/>
      <c r="P113" s="1063"/>
      <c r="Q113" s="1063"/>
      <c r="R113" s="1063"/>
      <c r="S113" s="1063"/>
      <c r="T113" s="1063"/>
      <c r="U113" s="1063"/>
      <c r="V113" s="1063"/>
      <c r="W113" s="1063"/>
      <c r="X113" s="1866">
        <f t="shared" si="4"/>
        <v>0</v>
      </c>
      <c r="Y113" s="23">
        <f t="shared" si="5"/>
        <v>-8685000</v>
      </c>
    </row>
    <row r="114" spans="1:25" x14ac:dyDescent="0.25">
      <c r="A114" s="1"/>
      <c r="B114" s="1"/>
      <c r="C114" s="1"/>
      <c r="D114" s="1">
        <v>5</v>
      </c>
      <c r="E114" s="1">
        <v>2</v>
      </c>
      <c r="F114" s="1"/>
      <c r="G114" s="1"/>
      <c r="H114" s="4" t="str">
        <f>'BID 1 b'!B476</f>
        <v>Belanja Barang Jasa</v>
      </c>
      <c r="I114" s="73"/>
      <c r="J114" s="1"/>
      <c r="K114" s="4" t="s">
        <v>3595</v>
      </c>
      <c r="L114" s="73"/>
      <c r="M114" s="73"/>
      <c r="N114" s="73">
        <f>SUM(N115:N118)</f>
        <v>1814748</v>
      </c>
      <c r="O114" s="73">
        <f>N113-N114</f>
        <v>-1814748</v>
      </c>
      <c r="P114" s="73"/>
      <c r="Q114" s="73"/>
      <c r="R114" s="73"/>
      <c r="S114" s="73"/>
      <c r="T114" s="73"/>
      <c r="U114" s="73"/>
      <c r="V114" s="73"/>
      <c r="W114" s="73"/>
      <c r="X114" s="1864">
        <f t="shared" si="4"/>
        <v>0</v>
      </c>
      <c r="Y114" s="23">
        <f t="shared" si="5"/>
        <v>0</v>
      </c>
    </row>
    <row r="115" spans="1:25" ht="30" x14ac:dyDescent="0.25">
      <c r="A115" s="1"/>
      <c r="B115" s="1"/>
      <c r="C115" s="1"/>
      <c r="D115" s="1"/>
      <c r="E115" s="1"/>
      <c r="F115" s="1">
        <v>1</v>
      </c>
      <c r="G115" s="1"/>
      <c r="H115" s="4" t="str">
        <f>'BID 1 b'!B477</f>
        <v>Belanja Barang Perlengkapan</v>
      </c>
      <c r="I115" s="73"/>
      <c r="J115" s="1"/>
      <c r="K115" s="4" t="s">
        <v>3595</v>
      </c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1864">
        <f t="shared" si="4"/>
        <v>0</v>
      </c>
      <c r="Y115" s="23">
        <f t="shared" si="5"/>
        <v>0</v>
      </c>
    </row>
    <row r="116" spans="1:25" ht="60" x14ac:dyDescent="0.25">
      <c r="A116" s="1"/>
      <c r="B116" s="1"/>
      <c r="C116" s="1"/>
      <c r="D116" s="1"/>
      <c r="E116" s="1"/>
      <c r="F116" s="1"/>
      <c r="G116" s="1489" t="s">
        <v>3391</v>
      </c>
      <c r="H116" s="4" t="str">
        <f>'BID 1 b'!B479</f>
        <v>Belanja perlengkapan barang konsumsi (makan/minum)- Belanja Barang Konsumsi</v>
      </c>
      <c r="I116" s="73">
        <f>'BID 1 b'!F480</f>
        <v>8000000</v>
      </c>
      <c r="J116" s="1" t="s">
        <v>2177</v>
      </c>
      <c r="K116" s="4" t="s">
        <v>3595</v>
      </c>
      <c r="L116" s="73"/>
      <c r="M116" s="73"/>
      <c r="N116" s="73">
        <v>1643498</v>
      </c>
      <c r="O116" s="73"/>
      <c r="P116" s="73">
        <v>356502</v>
      </c>
      <c r="Q116" s="73">
        <v>2000000</v>
      </c>
      <c r="R116" s="73"/>
      <c r="S116" s="73"/>
      <c r="T116" s="73">
        <v>2000000</v>
      </c>
      <c r="U116" s="73"/>
      <c r="V116" s="73"/>
      <c r="W116" s="73">
        <v>2000000</v>
      </c>
      <c r="X116" s="1864">
        <f t="shared" ref="X116:X179" si="6">SUM(L116:W116)</f>
        <v>8000000</v>
      </c>
      <c r="Y116" s="23">
        <f t="shared" si="5"/>
        <v>0</v>
      </c>
    </row>
    <row r="117" spans="1:25" x14ac:dyDescent="0.25">
      <c r="A117" s="1"/>
      <c r="B117" s="1"/>
      <c r="C117" s="1"/>
      <c r="D117" s="1"/>
      <c r="E117" s="1"/>
      <c r="F117" s="1"/>
      <c r="G117" s="1489" t="s">
        <v>3393</v>
      </c>
      <c r="H117" s="1" t="str">
        <f>'BID 1 b'!B482</f>
        <v>Belanja Sepanduk</v>
      </c>
      <c r="I117" s="73">
        <f>'BID 1 b'!F483</f>
        <v>360000</v>
      </c>
      <c r="J117" s="1" t="s">
        <v>2177</v>
      </c>
      <c r="K117" s="4" t="s">
        <v>3595</v>
      </c>
      <c r="L117" s="73"/>
      <c r="M117" s="73"/>
      <c r="N117" s="73">
        <v>90000</v>
      </c>
      <c r="O117" s="73"/>
      <c r="P117" s="73"/>
      <c r="Q117" s="73">
        <v>90000</v>
      </c>
      <c r="R117" s="73"/>
      <c r="S117" s="73"/>
      <c r="T117" s="73">
        <v>90000</v>
      </c>
      <c r="U117" s="73"/>
      <c r="V117" s="73"/>
      <c r="W117" s="73">
        <v>90000</v>
      </c>
      <c r="X117" s="1864">
        <f t="shared" si="6"/>
        <v>360000</v>
      </c>
      <c r="Y117" s="23">
        <f t="shared" si="5"/>
        <v>0</v>
      </c>
    </row>
    <row r="118" spans="1:25" ht="30" x14ac:dyDescent="0.25">
      <c r="A118" s="1"/>
      <c r="B118" s="1"/>
      <c r="C118" s="1"/>
      <c r="D118" s="1"/>
      <c r="E118" s="1"/>
      <c r="F118" s="1"/>
      <c r="G118" s="1">
        <v>90</v>
      </c>
      <c r="H118" s="4" t="str">
        <f>'BID 1 b'!B485</f>
        <v>Belanja Upakara, Upacara Dan Aci- Aci</v>
      </c>
      <c r="I118" s="73">
        <f>SUM('BID 1 b'!F486:F489)</f>
        <v>325000</v>
      </c>
      <c r="J118" s="1" t="s">
        <v>2177</v>
      </c>
      <c r="K118" s="4" t="s">
        <v>3595</v>
      </c>
      <c r="L118" s="73"/>
      <c r="M118" s="73"/>
      <c r="N118" s="73">
        <v>81250</v>
      </c>
      <c r="O118" s="73"/>
      <c r="P118" s="73"/>
      <c r="Q118" s="73">
        <v>81250</v>
      </c>
      <c r="R118" s="73"/>
      <c r="S118" s="73"/>
      <c r="T118" s="73">
        <v>81250</v>
      </c>
      <c r="U118" s="73"/>
      <c r="V118" s="73"/>
      <c r="W118" s="73">
        <v>81250</v>
      </c>
      <c r="X118" s="1864">
        <f t="shared" si="6"/>
        <v>325000</v>
      </c>
      <c r="Y118" s="23">
        <f t="shared" si="5"/>
        <v>0</v>
      </c>
    </row>
    <row r="119" spans="1:25" ht="30" x14ac:dyDescent="0.25">
      <c r="A119" s="865">
        <v>1</v>
      </c>
      <c r="B119" s="865">
        <v>1</v>
      </c>
      <c r="C119" s="865">
        <v>91</v>
      </c>
      <c r="D119" s="865"/>
      <c r="E119" s="865"/>
      <c r="F119" s="865"/>
      <c r="G119" s="865"/>
      <c r="H119" s="1061" t="str">
        <f>'BID 1 b'!B508</f>
        <v xml:space="preserve">: Penyediaan Penghasilan Staf Desa </v>
      </c>
      <c r="I119" s="1063">
        <f>SUM('Penjabaran APBDesa'!K127:K128)</f>
        <v>579582544.32000005</v>
      </c>
      <c r="J119" s="865" t="s">
        <v>1506</v>
      </c>
      <c r="K119" s="1061" t="s">
        <v>3595</v>
      </c>
      <c r="L119" s="1063"/>
      <c r="M119" s="1063"/>
      <c r="N119" s="1063"/>
      <c r="O119" s="1063"/>
      <c r="P119" s="1063"/>
      <c r="Q119" s="1063"/>
      <c r="R119" s="1063"/>
      <c r="S119" s="1063"/>
      <c r="T119" s="1063"/>
      <c r="U119" s="1063"/>
      <c r="V119" s="1063"/>
      <c r="W119" s="1063"/>
      <c r="X119" s="1866">
        <f t="shared" si="6"/>
        <v>0</v>
      </c>
      <c r="Y119" s="23">
        <f t="shared" si="5"/>
        <v>-579582544.32000005</v>
      </c>
    </row>
    <row r="120" spans="1:25" x14ac:dyDescent="0.25">
      <c r="A120" s="1"/>
      <c r="B120" s="1"/>
      <c r="C120" s="1"/>
      <c r="D120" s="1">
        <v>5</v>
      </c>
      <c r="E120" s="1">
        <v>2</v>
      </c>
      <c r="F120" s="1"/>
      <c r="G120" s="1"/>
      <c r="H120" s="4" t="str">
        <f>'BID 1 b'!B514</f>
        <v>Belanja Barang Jasa</v>
      </c>
      <c r="I120" s="73"/>
      <c r="J120" s="1"/>
      <c r="K120" s="4" t="s">
        <v>3595</v>
      </c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1864">
        <f t="shared" si="6"/>
        <v>0</v>
      </c>
      <c r="Y120" s="23">
        <f t="shared" si="5"/>
        <v>0</v>
      </c>
    </row>
    <row r="121" spans="1:25" x14ac:dyDescent="0.25">
      <c r="A121" s="1"/>
      <c r="B121" s="1"/>
      <c r="C121" s="1"/>
      <c r="D121" s="1"/>
      <c r="E121" s="1"/>
      <c r="F121" s="1">
        <v>2</v>
      </c>
      <c r="G121" s="1"/>
      <c r="H121" s="4" t="str">
        <f>'BID 1 b'!B515</f>
        <v>Belanja Jasa Honorarium</v>
      </c>
      <c r="I121" s="73"/>
      <c r="J121" s="1"/>
      <c r="K121" s="4" t="s">
        <v>3595</v>
      </c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1864">
        <f t="shared" si="6"/>
        <v>0</v>
      </c>
      <c r="Y121" s="23">
        <f t="shared" si="5"/>
        <v>0</v>
      </c>
    </row>
    <row r="122" spans="1:25" ht="30" x14ac:dyDescent="0.25">
      <c r="A122" s="1"/>
      <c r="B122" s="1"/>
      <c r="C122" s="1"/>
      <c r="D122" s="1"/>
      <c r="E122" s="1"/>
      <c r="F122" s="1"/>
      <c r="G122" s="1489" t="s">
        <v>3392</v>
      </c>
      <c r="H122" s="4" t="str">
        <f>'BID 1 b'!B516</f>
        <v>Penghasilan Staff Admin. BPD</v>
      </c>
      <c r="I122" s="73">
        <f>'BID 1 b'!F517</f>
        <v>41998545.359999999</v>
      </c>
      <c r="J122" s="1" t="s">
        <v>1506</v>
      </c>
      <c r="K122" s="4" t="s">
        <v>3595</v>
      </c>
      <c r="L122" s="73">
        <v>3499878.78</v>
      </c>
      <c r="M122" s="73">
        <v>3499878.78</v>
      </c>
      <c r="N122" s="73">
        <v>3499878.78</v>
      </c>
      <c r="O122" s="73">
        <v>3499878.78</v>
      </c>
      <c r="P122" s="73">
        <v>3499878.78</v>
      </c>
      <c r="Q122" s="73">
        <v>3499878.78</v>
      </c>
      <c r="R122" s="73">
        <v>3499878.78</v>
      </c>
      <c r="S122" s="73">
        <v>3499878.78</v>
      </c>
      <c r="T122" s="73">
        <v>3499878.78</v>
      </c>
      <c r="U122" s="73">
        <v>3499878.78</v>
      </c>
      <c r="V122" s="73">
        <v>3499878.78</v>
      </c>
      <c r="W122" s="73">
        <v>3499878.78</v>
      </c>
      <c r="X122" s="1864">
        <f t="shared" si="6"/>
        <v>41998545.360000007</v>
      </c>
      <c r="Y122" s="23">
        <f t="shared" si="5"/>
        <v>0</v>
      </c>
    </row>
    <row r="123" spans="1:25" x14ac:dyDescent="0.25">
      <c r="A123" s="1"/>
      <c r="B123" s="1"/>
      <c r="C123" s="1"/>
      <c r="D123" s="1"/>
      <c r="E123" s="1"/>
      <c r="F123" s="1"/>
      <c r="G123" s="1">
        <v>90</v>
      </c>
      <c r="H123" s="1" t="str">
        <f>'BID 1 b'!B518</f>
        <v>Belanja Pengasilan Staf</v>
      </c>
      <c r="I123" s="73">
        <f>SUM('BID 1 b'!F519:F524)</f>
        <v>537583998.96000004</v>
      </c>
      <c r="J123" s="1" t="s">
        <v>1506</v>
      </c>
      <c r="K123" s="4" t="s">
        <v>3595</v>
      </c>
      <c r="L123" s="73">
        <v>44798666.579999998</v>
      </c>
      <c r="M123" s="73">
        <v>44798666.579999998</v>
      </c>
      <c r="N123" s="73">
        <v>44798666.579999998</v>
      </c>
      <c r="O123" s="73">
        <v>44798666.579999998</v>
      </c>
      <c r="P123" s="73">
        <v>44798666.579999998</v>
      </c>
      <c r="Q123" s="73">
        <v>44798666.579999998</v>
      </c>
      <c r="R123" s="73">
        <v>44798666.579999998</v>
      </c>
      <c r="S123" s="73">
        <v>44798666.579999998</v>
      </c>
      <c r="T123" s="73">
        <v>44798666.579999998</v>
      </c>
      <c r="U123" s="73">
        <v>44798666.579999998</v>
      </c>
      <c r="V123" s="73">
        <v>44798666.579999998</v>
      </c>
      <c r="W123" s="73">
        <v>44798666.579999998</v>
      </c>
      <c r="X123" s="1864">
        <f t="shared" si="6"/>
        <v>537583998.95999992</v>
      </c>
      <c r="Y123" s="23">
        <f t="shared" si="5"/>
        <v>0</v>
      </c>
    </row>
    <row r="124" spans="1:25" ht="45" x14ac:dyDescent="0.25">
      <c r="A124" s="865">
        <v>1</v>
      </c>
      <c r="B124" s="865">
        <v>1</v>
      </c>
      <c r="C124" s="865">
        <v>93</v>
      </c>
      <c r="D124" s="865"/>
      <c r="E124" s="865"/>
      <c r="F124" s="865"/>
      <c r="G124" s="865"/>
      <c r="H124" s="1061" t="str">
        <f>'BID 1 b'!B541</f>
        <v>Penjaringan dan Penyaringan Perangkat Desa/Staf</v>
      </c>
      <c r="I124" s="1063">
        <f>SUM(I125:I131)</f>
        <v>17455000</v>
      </c>
      <c r="J124" s="1061" t="s">
        <v>1775</v>
      </c>
      <c r="K124" s="1061" t="s">
        <v>3595</v>
      </c>
      <c r="L124" s="1063"/>
      <c r="M124" s="1063"/>
      <c r="N124" s="1063"/>
      <c r="O124" s="1063"/>
      <c r="P124" s="1063"/>
      <c r="Q124" s="1063"/>
      <c r="R124" s="1063"/>
      <c r="S124" s="1063"/>
      <c r="T124" s="1063"/>
      <c r="U124" s="1063"/>
      <c r="V124" s="1063"/>
      <c r="W124" s="1063"/>
      <c r="X124" s="1866">
        <f t="shared" si="6"/>
        <v>0</v>
      </c>
      <c r="Y124" s="23">
        <f t="shared" si="5"/>
        <v>-17455000</v>
      </c>
    </row>
    <row r="125" spans="1:25" x14ac:dyDescent="0.25">
      <c r="A125" s="1"/>
      <c r="B125" s="1"/>
      <c r="C125" s="1"/>
      <c r="D125" s="1">
        <v>5</v>
      </c>
      <c r="E125" s="1">
        <v>2</v>
      </c>
      <c r="F125" s="1"/>
      <c r="G125" s="1"/>
      <c r="H125" s="1533" t="str">
        <f>'BID 1 b'!B547</f>
        <v>Belanja Barang Jasa :</v>
      </c>
      <c r="I125" s="73"/>
      <c r="J125" s="1"/>
      <c r="K125" s="4" t="s">
        <v>3595</v>
      </c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1864">
        <f t="shared" si="6"/>
        <v>0</v>
      </c>
      <c r="Y125" s="23">
        <f t="shared" si="5"/>
        <v>0</v>
      </c>
    </row>
    <row r="126" spans="1:25" ht="30" x14ac:dyDescent="0.25">
      <c r="A126" s="1"/>
      <c r="B126" s="1"/>
      <c r="C126" s="1"/>
      <c r="D126" s="1"/>
      <c r="E126" s="1"/>
      <c r="F126" s="1">
        <v>1</v>
      </c>
      <c r="G126" s="1"/>
      <c r="H126" s="1533" t="str">
        <f>'BID 1 b'!B548</f>
        <v>Belanja Barang Perlengkapan</v>
      </c>
      <c r="I126" s="73"/>
      <c r="J126" s="1"/>
      <c r="K126" s="4" t="s">
        <v>3595</v>
      </c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1864">
        <f t="shared" si="6"/>
        <v>0</v>
      </c>
      <c r="Y126" s="23">
        <f t="shared" si="5"/>
        <v>0</v>
      </c>
    </row>
    <row r="127" spans="1:25" ht="30" x14ac:dyDescent="0.25">
      <c r="A127" s="1"/>
      <c r="B127" s="1"/>
      <c r="C127" s="1"/>
      <c r="D127" s="1"/>
      <c r="E127" s="1"/>
      <c r="F127" s="1"/>
      <c r="G127" s="1489" t="s">
        <v>3366</v>
      </c>
      <c r="H127" s="1533" t="str">
        <f>'BID 1 b'!B549</f>
        <v>Belanja alat tulis kantor dan benda pos</v>
      </c>
      <c r="I127" s="73">
        <f>SUM('BID 1 b'!F550:F551)</f>
        <v>495000</v>
      </c>
      <c r="J127" s="4" t="s">
        <v>1775</v>
      </c>
      <c r="K127" s="4" t="s">
        <v>3595</v>
      </c>
      <c r="L127" s="73"/>
      <c r="M127" s="73"/>
      <c r="N127" s="73"/>
      <c r="O127" s="73"/>
      <c r="P127" s="73"/>
      <c r="Q127" s="73">
        <v>495000</v>
      </c>
      <c r="R127" s="73"/>
      <c r="S127" s="73"/>
      <c r="T127" s="73"/>
      <c r="U127" s="73"/>
      <c r="V127" s="73"/>
      <c r="W127" s="73"/>
      <c r="X127" s="1864">
        <f t="shared" si="6"/>
        <v>495000</v>
      </c>
      <c r="Y127" s="23">
        <f t="shared" si="5"/>
        <v>0</v>
      </c>
    </row>
    <row r="128" spans="1:25" ht="60" x14ac:dyDescent="0.25">
      <c r="A128" s="1"/>
      <c r="B128" s="1"/>
      <c r="C128" s="1"/>
      <c r="D128" s="1"/>
      <c r="E128" s="1"/>
      <c r="F128" s="1"/>
      <c r="G128" s="1489" t="s">
        <v>3391</v>
      </c>
      <c r="H128" s="4" t="str">
        <f>'BID 1 b'!B552</f>
        <v>Belanja perlengkapan barang konsumsi (makan/minum)- Belanja Barang Konsumsi</v>
      </c>
      <c r="I128" s="73">
        <f>SUM('BID 1 b'!F553:F555)</f>
        <v>8600000</v>
      </c>
      <c r="J128" s="4" t="s">
        <v>1775</v>
      </c>
      <c r="K128" s="4" t="s">
        <v>3595</v>
      </c>
      <c r="L128" s="73"/>
      <c r="M128" s="73"/>
      <c r="N128" s="73"/>
      <c r="O128" s="73"/>
      <c r="P128" s="73"/>
      <c r="Q128" s="73">
        <v>8600000</v>
      </c>
      <c r="R128" s="73"/>
      <c r="S128" s="73"/>
      <c r="T128" s="73"/>
      <c r="U128" s="73"/>
      <c r="V128" s="73"/>
      <c r="W128" s="73"/>
      <c r="X128" s="1864">
        <f t="shared" si="6"/>
        <v>8600000</v>
      </c>
      <c r="Y128" s="23">
        <f t="shared" si="5"/>
        <v>0</v>
      </c>
    </row>
    <row r="129" spans="1:25" ht="30" x14ac:dyDescent="0.25">
      <c r="A129" s="1"/>
      <c r="B129" s="1"/>
      <c r="C129" s="1"/>
      <c r="D129" s="1"/>
      <c r="E129" s="1"/>
      <c r="F129" s="1"/>
      <c r="G129" s="1489" t="s">
        <v>3393</v>
      </c>
      <c r="H129" s="4" t="str">
        <f>'BID 1 b'!B556</f>
        <v>Belanja Bendera/Umbul - umbul/Spanduk</v>
      </c>
      <c r="I129" s="73">
        <f>'BID 1 b'!F557</f>
        <v>360000</v>
      </c>
      <c r="J129" s="4" t="s">
        <v>1775</v>
      </c>
      <c r="K129" s="4" t="s">
        <v>3595</v>
      </c>
      <c r="L129" s="73"/>
      <c r="M129" s="73"/>
      <c r="N129" s="73"/>
      <c r="O129" s="73"/>
      <c r="P129" s="73"/>
      <c r="Q129" s="73">
        <v>360000</v>
      </c>
      <c r="R129" s="73"/>
      <c r="S129" s="73"/>
      <c r="T129" s="73"/>
      <c r="U129" s="73"/>
      <c r="V129" s="73"/>
      <c r="W129" s="73"/>
      <c r="X129" s="1864">
        <f t="shared" si="6"/>
        <v>360000</v>
      </c>
      <c r="Y129" s="23">
        <f t="shared" si="5"/>
        <v>0</v>
      </c>
    </row>
    <row r="130" spans="1:25" ht="30" x14ac:dyDescent="0.25">
      <c r="A130" s="1"/>
      <c r="B130" s="1"/>
      <c r="C130" s="1"/>
      <c r="D130" s="1">
        <v>5</v>
      </c>
      <c r="E130" s="1">
        <v>2</v>
      </c>
      <c r="F130" s="1">
        <v>2</v>
      </c>
      <c r="G130" s="1"/>
      <c r="H130" s="4" t="str">
        <f>'BID 1 b'!B559</f>
        <v>Belanja Jasa Honor Tim yang Melaksanakan Kegiatan</v>
      </c>
      <c r="I130" s="73">
        <f>SUM('BID 1 b'!F560:F562)</f>
        <v>2600000</v>
      </c>
      <c r="J130" s="4" t="s">
        <v>1775</v>
      </c>
      <c r="K130" s="4" t="s">
        <v>3595</v>
      </c>
      <c r="L130" s="73"/>
      <c r="M130" s="73"/>
      <c r="N130" s="73"/>
      <c r="O130" s="73"/>
      <c r="P130" s="73"/>
      <c r="Q130" s="73">
        <v>2600000</v>
      </c>
      <c r="R130" s="73"/>
      <c r="S130" s="73"/>
      <c r="T130" s="73"/>
      <c r="U130" s="73"/>
      <c r="V130" s="73"/>
      <c r="W130" s="73"/>
      <c r="X130" s="1864">
        <f t="shared" si="6"/>
        <v>2600000</v>
      </c>
      <c r="Y130" s="23">
        <f t="shared" si="5"/>
        <v>0</v>
      </c>
    </row>
    <row r="131" spans="1:25" ht="30" x14ac:dyDescent="0.25">
      <c r="A131" s="1"/>
      <c r="B131" s="1"/>
      <c r="C131" s="1"/>
      <c r="D131" s="1"/>
      <c r="E131" s="1"/>
      <c r="F131" s="1"/>
      <c r="G131" s="1489" t="s">
        <v>3366</v>
      </c>
      <c r="H131" s="1" t="str">
        <f>'BID 1 b'!B563</f>
        <v>Belanja Jasa Honorarium</v>
      </c>
      <c r="I131" s="73">
        <f>'BID 1 b'!F564</f>
        <v>5400000</v>
      </c>
      <c r="J131" s="4" t="s">
        <v>1775</v>
      </c>
      <c r="K131" s="4" t="s">
        <v>3595</v>
      </c>
      <c r="L131" s="73"/>
      <c r="M131" s="73"/>
      <c r="N131" s="73"/>
      <c r="O131" s="73"/>
      <c r="P131" s="73"/>
      <c r="Q131" s="73">
        <v>5400000</v>
      </c>
      <c r="R131" s="73"/>
      <c r="S131" s="73"/>
      <c r="T131" s="73"/>
      <c r="U131" s="73"/>
      <c r="V131" s="73"/>
      <c r="W131" s="73"/>
      <c r="X131" s="1864">
        <f t="shared" si="6"/>
        <v>5400000</v>
      </c>
      <c r="Y131" s="23">
        <f t="shared" si="5"/>
        <v>0</v>
      </c>
    </row>
    <row r="132" spans="1:25" ht="45" x14ac:dyDescent="0.25">
      <c r="A132" s="865">
        <v>1</v>
      </c>
      <c r="B132" s="865">
        <v>1</v>
      </c>
      <c r="C132" s="865">
        <v>98</v>
      </c>
      <c r="D132" s="865"/>
      <c r="E132" s="865"/>
      <c r="F132" s="865"/>
      <c r="G132" s="865"/>
      <c r="H132" s="1061" t="str">
        <f>'BID 1 b'!B583</f>
        <v>Penyedian Jaminan Keshatan dan ketenagakerjaan BPD</v>
      </c>
      <c r="I132" s="1063">
        <f>I135+I136</f>
        <v>40757410.799999997</v>
      </c>
      <c r="J132" s="865" t="s">
        <v>1506</v>
      </c>
      <c r="K132" s="1061" t="s">
        <v>3595</v>
      </c>
      <c r="L132" s="1063"/>
      <c r="M132" s="1063"/>
      <c r="N132" s="1063"/>
      <c r="O132" s="1063"/>
      <c r="P132" s="1063"/>
      <c r="Q132" s="1063"/>
      <c r="R132" s="1063"/>
      <c r="S132" s="1063"/>
      <c r="T132" s="1063"/>
      <c r="U132" s="1063"/>
      <c r="V132" s="1063"/>
      <c r="W132" s="1063"/>
      <c r="X132" s="1866">
        <f t="shared" si="6"/>
        <v>0</v>
      </c>
      <c r="Y132" s="23">
        <f t="shared" si="5"/>
        <v>-40757410.799999997</v>
      </c>
    </row>
    <row r="133" spans="1:25" x14ac:dyDescent="0.25">
      <c r="A133" s="1"/>
      <c r="B133" s="1"/>
      <c r="C133" s="1"/>
      <c r="D133" s="1">
        <v>5</v>
      </c>
      <c r="E133" s="1">
        <v>2</v>
      </c>
      <c r="F133" s="1"/>
      <c r="G133" s="1"/>
      <c r="H133" s="4" t="str">
        <f>'BID 1 b'!B589</f>
        <v>Belanja Barang Jasa</v>
      </c>
      <c r="I133" s="73"/>
      <c r="J133" s="1"/>
      <c r="K133" s="4" t="s">
        <v>3595</v>
      </c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1864">
        <f t="shared" si="6"/>
        <v>0</v>
      </c>
      <c r="Y133" s="23">
        <f t="shared" si="5"/>
        <v>0</v>
      </c>
    </row>
    <row r="134" spans="1:25" ht="30" x14ac:dyDescent="0.25">
      <c r="A134" s="1"/>
      <c r="B134" s="1"/>
      <c r="C134" s="1"/>
      <c r="D134" s="1"/>
      <c r="E134" s="1"/>
      <c r="F134" s="1">
        <v>5</v>
      </c>
      <c r="G134" s="1"/>
      <c r="H134" s="4" t="str">
        <f>'BID 1 b'!B590</f>
        <v>Belanja Oprasional Perkantoran</v>
      </c>
      <c r="I134" s="73"/>
      <c r="J134" s="1"/>
      <c r="K134" s="4" t="s">
        <v>3595</v>
      </c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1864">
        <f t="shared" si="6"/>
        <v>0</v>
      </c>
      <c r="Y134" s="23">
        <f t="shared" si="5"/>
        <v>0</v>
      </c>
    </row>
    <row r="135" spans="1:25" ht="30" x14ac:dyDescent="0.25">
      <c r="A135" s="1"/>
      <c r="B135" s="1"/>
      <c r="C135" s="1"/>
      <c r="D135" s="1"/>
      <c r="E135" s="1"/>
      <c r="F135" s="1"/>
      <c r="G135" s="1489">
        <v>91</v>
      </c>
      <c r="H135" s="4" t="str">
        <f>'BID 1 b'!B591</f>
        <v>Jaminan Kesehatan BPD dan Staf</v>
      </c>
      <c r="I135" s="73">
        <f>SUM('BID 1 b'!F592:F595)</f>
        <v>16271650.799999999</v>
      </c>
      <c r="J135" s="1" t="s">
        <v>1506</v>
      </c>
      <c r="K135" s="4" t="s">
        <v>3595</v>
      </c>
      <c r="L135" s="73">
        <v>1355970.9</v>
      </c>
      <c r="M135" s="73">
        <v>1355970.9</v>
      </c>
      <c r="N135" s="73">
        <v>1355970.9</v>
      </c>
      <c r="O135" s="73">
        <v>1355970.9</v>
      </c>
      <c r="P135" s="73">
        <v>1355970.9</v>
      </c>
      <c r="Q135" s="73">
        <v>1355970.9</v>
      </c>
      <c r="R135" s="73">
        <v>1355970.9</v>
      </c>
      <c r="S135" s="73">
        <v>1355970.9</v>
      </c>
      <c r="T135" s="73">
        <v>1355970.9</v>
      </c>
      <c r="U135" s="73">
        <v>1355970.9</v>
      </c>
      <c r="V135" s="73">
        <v>1355970.9</v>
      </c>
      <c r="W135" s="73">
        <v>1355970.9</v>
      </c>
      <c r="X135" s="1864">
        <f t="shared" si="6"/>
        <v>16271650.800000003</v>
      </c>
      <c r="Y135" s="23">
        <f t="shared" si="5"/>
        <v>0</v>
      </c>
    </row>
    <row r="136" spans="1:25" ht="30" x14ac:dyDescent="0.25">
      <c r="A136" s="1"/>
      <c r="B136" s="1"/>
      <c r="C136" s="1"/>
      <c r="D136" s="1"/>
      <c r="E136" s="1"/>
      <c r="F136" s="1"/>
      <c r="G136" s="1">
        <v>92</v>
      </c>
      <c r="H136" s="4" t="str">
        <f>'BID 1 b'!B596</f>
        <v>Jaminan Ketenagakerjaan BPD dan Staf</v>
      </c>
      <c r="I136" s="73">
        <f>SUM('BID 1 b'!F597:F600)</f>
        <v>24485760</v>
      </c>
      <c r="J136" s="1" t="s">
        <v>1506</v>
      </c>
      <c r="K136" s="4" t="s">
        <v>3595</v>
      </c>
      <c r="L136" s="73">
        <v>2040480</v>
      </c>
      <c r="M136" s="73">
        <v>2040480</v>
      </c>
      <c r="N136" s="73">
        <v>2040480</v>
      </c>
      <c r="O136" s="73">
        <v>2040480</v>
      </c>
      <c r="P136" s="73">
        <v>2040480</v>
      </c>
      <c r="Q136" s="73">
        <v>2040480</v>
      </c>
      <c r="R136" s="73">
        <v>2040480</v>
      </c>
      <c r="S136" s="73">
        <v>2040480</v>
      </c>
      <c r="T136" s="73">
        <v>2040480</v>
      </c>
      <c r="U136" s="73">
        <v>2040480</v>
      </c>
      <c r="V136" s="73">
        <v>2040480</v>
      </c>
      <c r="W136" s="73">
        <v>2040480</v>
      </c>
      <c r="X136" s="1864">
        <f t="shared" si="6"/>
        <v>24485760</v>
      </c>
      <c r="Y136" s="23">
        <f t="shared" si="5"/>
        <v>0</v>
      </c>
    </row>
    <row r="137" spans="1:25" ht="45" x14ac:dyDescent="0.25">
      <c r="A137" s="865">
        <v>1</v>
      </c>
      <c r="B137" s="865">
        <v>1</v>
      </c>
      <c r="C137" s="865">
        <v>98</v>
      </c>
      <c r="D137" s="865"/>
      <c r="E137" s="865"/>
      <c r="F137" s="865"/>
      <c r="G137" s="865"/>
      <c r="H137" s="1061" t="str">
        <f>'BID 1 b'!B617</f>
        <v>Penyedian Jaminan Keshatan dan ketenagakerjaan Staf Desa</v>
      </c>
      <c r="I137" s="1063">
        <f>SUM(I138:I141)</f>
        <v>28601010</v>
      </c>
      <c r="J137" s="865" t="s">
        <v>1506</v>
      </c>
      <c r="K137" s="1061" t="s">
        <v>3595</v>
      </c>
      <c r="L137" s="1063"/>
      <c r="M137" s="1063"/>
      <c r="N137" s="1063"/>
      <c r="O137" s="1063"/>
      <c r="P137" s="1063"/>
      <c r="Q137" s="1063"/>
      <c r="R137" s="1063"/>
      <c r="S137" s="1063"/>
      <c r="T137" s="1063"/>
      <c r="U137" s="1063"/>
      <c r="V137" s="1063"/>
      <c r="W137" s="1063"/>
      <c r="X137" s="1866">
        <f t="shared" si="6"/>
        <v>0</v>
      </c>
      <c r="Y137" s="23">
        <f t="shared" si="5"/>
        <v>-28601010</v>
      </c>
    </row>
    <row r="138" spans="1:25" x14ac:dyDescent="0.25">
      <c r="A138" s="1"/>
      <c r="B138" s="1"/>
      <c r="C138" s="1"/>
      <c r="D138" s="1">
        <v>5</v>
      </c>
      <c r="E138" s="1">
        <v>2</v>
      </c>
      <c r="F138" s="1"/>
      <c r="G138" s="1"/>
      <c r="H138" s="4" t="str">
        <f>'BID 1 b'!B623</f>
        <v>Belanja Barang Jasa</v>
      </c>
      <c r="I138" s="73"/>
      <c r="J138" s="1"/>
      <c r="K138" s="4" t="s">
        <v>3595</v>
      </c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1864">
        <f t="shared" si="6"/>
        <v>0</v>
      </c>
      <c r="Y138" s="23">
        <f t="shared" si="5"/>
        <v>0</v>
      </c>
    </row>
    <row r="139" spans="1:25" ht="30" x14ac:dyDescent="0.25">
      <c r="A139" s="1"/>
      <c r="B139" s="1"/>
      <c r="C139" s="1"/>
      <c r="D139" s="1"/>
      <c r="E139" s="1"/>
      <c r="F139" s="1">
        <v>5</v>
      </c>
      <c r="G139" s="1"/>
      <c r="H139" s="4" t="str">
        <f>'BID 1 b'!B624</f>
        <v>Belanja Oprasional Perkantoran</v>
      </c>
      <c r="I139" s="73"/>
      <c r="J139" s="1"/>
      <c r="K139" s="4" t="s">
        <v>3595</v>
      </c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1864">
        <f t="shared" si="6"/>
        <v>0</v>
      </c>
      <c r="Y139" s="23">
        <f t="shared" si="5"/>
        <v>0</v>
      </c>
    </row>
    <row r="140" spans="1:25" ht="30" x14ac:dyDescent="0.25">
      <c r="A140" s="1"/>
      <c r="B140" s="1"/>
      <c r="C140" s="1"/>
      <c r="D140" s="1"/>
      <c r="E140" s="1"/>
      <c r="F140" s="1"/>
      <c r="G140" s="1">
        <v>91</v>
      </c>
      <c r="H140" s="4" t="str">
        <f>'BID 1 b'!B625</f>
        <v>Jaminan Kesehatan BPD dan Staf</v>
      </c>
      <c r="I140" s="73">
        <f>SUM('BID 1 b'!F626:F631)</f>
        <v>25199127</v>
      </c>
      <c r="J140" s="1" t="s">
        <v>1506</v>
      </c>
      <c r="K140" s="4" t="s">
        <v>3595</v>
      </c>
      <c r="L140" s="73">
        <v>2099927.25</v>
      </c>
      <c r="M140" s="73">
        <v>2099927.25</v>
      </c>
      <c r="N140" s="73">
        <v>2099927.25</v>
      </c>
      <c r="O140" s="73">
        <v>2099927.25</v>
      </c>
      <c r="P140" s="73">
        <v>2099927.25</v>
      </c>
      <c r="Q140" s="73">
        <v>2099927.25</v>
      </c>
      <c r="R140" s="73">
        <v>2099927.25</v>
      </c>
      <c r="S140" s="73">
        <v>2099927.25</v>
      </c>
      <c r="T140" s="73">
        <v>2099927.25</v>
      </c>
      <c r="U140" s="73">
        <v>2099927.25</v>
      </c>
      <c r="V140" s="73">
        <v>2099927.25</v>
      </c>
      <c r="W140" s="73">
        <v>2099927.25</v>
      </c>
      <c r="X140" s="1864">
        <f t="shared" si="6"/>
        <v>25199127</v>
      </c>
      <c r="Y140" s="23">
        <f t="shared" si="5"/>
        <v>0</v>
      </c>
    </row>
    <row r="141" spans="1:25" ht="30" x14ac:dyDescent="0.25">
      <c r="A141" s="1"/>
      <c r="B141" s="1"/>
      <c r="C141" s="1"/>
      <c r="D141" s="1"/>
      <c r="E141" s="1"/>
      <c r="F141" s="1"/>
      <c r="G141" s="1">
        <v>92</v>
      </c>
      <c r="H141" s="4" t="str">
        <f>'BID 1 b'!B632</f>
        <v>Jaminan Ketenagakerjaan BPD dan Staf</v>
      </c>
      <c r="I141" s="73">
        <f>SUM('BID 1 b'!F633:F638)</f>
        <v>3401883.0000000005</v>
      </c>
      <c r="J141" s="1" t="s">
        <v>1506</v>
      </c>
      <c r="K141" s="4" t="s">
        <v>3595</v>
      </c>
      <c r="L141" s="73">
        <v>283490.25</v>
      </c>
      <c r="M141" s="73">
        <v>283490.25</v>
      </c>
      <c r="N141" s="73">
        <v>283490.25</v>
      </c>
      <c r="O141" s="73">
        <v>283490.25</v>
      </c>
      <c r="P141" s="73">
        <v>283490.25</v>
      </c>
      <c r="Q141" s="73">
        <v>283490.25</v>
      </c>
      <c r="R141" s="73">
        <v>283490.25</v>
      </c>
      <c r="S141" s="73">
        <v>283490.25</v>
      </c>
      <c r="T141" s="73">
        <v>283490.25</v>
      </c>
      <c r="U141" s="73">
        <v>283490.25</v>
      </c>
      <c r="V141" s="73">
        <v>283490.25</v>
      </c>
      <c r="W141" s="73">
        <v>283490.25</v>
      </c>
      <c r="X141" s="1864">
        <f t="shared" si="6"/>
        <v>3401883</v>
      </c>
      <c r="Y141" s="23">
        <f t="shared" si="5"/>
        <v>0</v>
      </c>
    </row>
    <row r="142" spans="1:25" ht="45" x14ac:dyDescent="0.25">
      <c r="A142" s="865">
        <v>1</v>
      </c>
      <c r="B142" s="865">
        <v>1</v>
      </c>
      <c r="C142" s="865">
        <v>98</v>
      </c>
      <c r="D142" s="865"/>
      <c r="E142" s="865"/>
      <c r="F142" s="865"/>
      <c r="G142" s="865"/>
      <c r="H142" s="1061" t="str">
        <f>'BID 1 b'!B655</f>
        <v>Penyedian Jaminan Ketenagakerjaan Ekosistem Desa</v>
      </c>
      <c r="I142" s="1063">
        <f>I145</f>
        <v>53215772.040000007</v>
      </c>
      <c r="J142" s="865" t="s">
        <v>1506</v>
      </c>
      <c r="K142" s="1061" t="s">
        <v>3595</v>
      </c>
      <c r="L142" s="1063"/>
      <c r="M142" s="1063"/>
      <c r="N142" s="1063"/>
      <c r="O142" s="1063"/>
      <c r="P142" s="1063"/>
      <c r="Q142" s="1063"/>
      <c r="R142" s="1063"/>
      <c r="S142" s="1063"/>
      <c r="T142" s="1063"/>
      <c r="U142" s="1063"/>
      <c r="V142" s="1063"/>
      <c r="W142" s="1063"/>
      <c r="X142" s="1866">
        <f t="shared" si="6"/>
        <v>0</v>
      </c>
      <c r="Y142" s="23">
        <f t="shared" si="5"/>
        <v>-53215772.040000007</v>
      </c>
    </row>
    <row r="143" spans="1:25" x14ac:dyDescent="0.25">
      <c r="A143" s="1"/>
      <c r="B143" s="1"/>
      <c r="C143" s="1"/>
      <c r="D143" s="1">
        <v>5</v>
      </c>
      <c r="E143" s="1">
        <v>2</v>
      </c>
      <c r="F143" s="1"/>
      <c r="G143" s="1"/>
      <c r="H143" s="4" t="str">
        <f>'BID 1 b'!B661</f>
        <v>Belanja Barang Jasa</v>
      </c>
      <c r="I143" s="73"/>
      <c r="J143" s="1"/>
      <c r="K143" s="4" t="s">
        <v>3595</v>
      </c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1864">
        <f t="shared" si="6"/>
        <v>0</v>
      </c>
      <c r="Y143" s="23">
        <f t="shared" si="5"/>
        <v>0</v>
      </c>
    </row>
    <row r="144" spans="1:25" ht="45" x14ac:dyDescent="0.25">
      <c r="A144" s="1"/>
      <c r="B144" s="1"/>
      <c r="C144" s="1"/>
      <c r="D144" s="1"/>
      <c r="E144" s="1"/>
      <c r="F144" s="1">
        <v>7</v>
      </c>
      <c r="G144" s="1"/>
      <c r="H144" s="4" t="str">
        <f>'BID 1 b'!B662</f>
        <v>Belanja Barang dan Jasa yang Diserahkan kepada Masyarakat</v>
      </c>
      <c r="I144" s="73"/>
      <c r="J144" s="1"/>
      <c r="K144" s="4" t="s">
        <v>3595</v>
      </c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1864">
        <f t="shared" si="6"/>
        <v>0</v>
      </c>
      <c r="Y144" s="23">
        <f t="shared" si="5"/>
        <v>0</v>
      </c>
    </row>
    <row r="145" spans="1:26" s="1903" customFormat="1" ht="45" x14ac:dyDescent="0.25">
      <c r="A145" s="1898"/>
      <c r="B145" s="1898"/>
      <c r="C145" s="1898"/>
      <c r="D145" s="1898"/>
      <c r="E145" s="1898"/>
      <c r="F145" s="1898"/>
      <c r="G145" s="1898">
        <v>93</v>
      </c>
      <c r="H145" s="1899" t="str">
        <f>'BID 1 b'!B663</f>
        <v>Belanja Premi BPJS Ketenagakerjaan Bagi Ekosistem Desa</v>
      </c>
      <c r="I145" s="1900">
        <f>SUM('BID 1 b'!F664)</f>
        <v>53215772.040000007</v>
      </c>
      <c r="J145" s="1898" t="s">
        <v>1506</v>
      </c>
      <c r="K145" s="1899" t="s">
        <v>3595</v>
      </c>
      <c r="L145" s="1900">
        <v>4434647.24</v>
      </c>
      <c r="M145" s="1900">
        <v>4434647.24</v>
      </c>
      <c r="N145" s="1900">
        <v>4434647.24</v>
      </c>
      <c r="O145" s="1900">
        <v>4434647.24</v>
      </c>
      <c r="P145" s="1900">
        <v>4434647.24</v>
      </c>
      <c r="Q145" s="1900">
        <v>4434647.24</v>
      </c>
      <c r="R145" s="1900">
        <v>4434647.24</v>
      </c>
      <c r="S145" s="1900">
        <v>4434647.24</v>
      </c>
      <c r="T145" s="1900">
        <v>4434647.24</v>
      </c>
      <c r="U145" s="1900">
        <v>4434647.24</v>
      </c>
      <c r="V145" s="1900">
        <v>4434647.24</v>
      </c>
      <c r="W145" s="1900">
        <v>4434652.4000000004</v>
      </c>
      <c r="X145" s="1901">
        <f t="shared" si="6"/>
        <v>53215772.040000014</v>
      </c>
      <c r="Y145" s="1902">
        <f t="shared" si="5"/>
        <v>0</v>
      </c>
    </row>
    <row r="146" spans="1:26" ht="30" x14ac:dyDescent="0.25">
      <c r="A146" s="865">
        <v>1</v>
      </c>
      <c r="B146" s="865">
        <v>1</v>
      </c>
      <c r="C146" s="865">
        <v>95</v>
      </c>
      <c r="D146" s="865"/>
      <c r="E146" s="865"/>
      <c r="F146" s="865"/>
      <c r="G146" s="865"/>
      <c r="H146" s="1061" t="str">
        <f>'BID 1 b'!B691</f>
        <v>: Penyediaan Kegiatan Sosial Desa</v>
      </c>
      <c r="I146" s="1063">
        <f>I149</f>
        <v>39032000</v>
      </c>
      <c r="J146" s="865" t="s">
        <v>1223</v>
      </c>
      <c r="K146" s="1061" t="s">
        <v>3595</v>
      </c>
      <c r="L146" s="1063"/>
      <c r="M146" s="1063"/>
      <c r="N146" s="1063"/>
      <c r="O146" s="1063"/>
      <c r="P146" s="1063"/>
      <c r="Q146" s="1063"/>
      <c r="R146" s="1063"/>
      <c r="S146" s="1063"/>
      <c r="T146" s="1063"/>
      <c r="U146" s="1063"/>
      <c r="V146" s="1063"/>
      <c r="W146" s="1063"/>
      <c r="X146" s="1866">
        <f t="shared" si="6"/>
        <v>0</v>
      </c>
      <c r="Y146" s="23">
        <f t="shared" si="5"/>
        <v>-39032000</v>
      </c>
    </row>
    <row r="147" spans="1:26" x14ac:dyDescent="0.25">
      <c r="A147" s="1"/>
      <c r="B147" s="1"/>
      <c r="C147" s="1"/>
      <c r="D147" s="1">
        <v>5</v>
      </c>
      <c r="E147" s="1">
        <v>2</v>
      </c>
      <c r="F147" s="1"/>
      <c r="G147" s="1"/>
      <c r="H147" s="4" t="str">
        <f>'BID 1 b'!B697</f>
        <v>Belanja Barang Jasa</v>
      </c>
      <c r="I147" s="73"/>
      <c r="J147" s="1"/>
      <c r="K147" s="4" t="s">
        <v>3595</v>
      </c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1864">
        <f t="shared" si="6"/>
        <v>0</v>
      </c>
      <c r="Y147" s="23">
        <f t="shared" si="5"/>
        <v>0</v>
      </c>
    </row>
    <row r="148" spans="1:26" ht="45" x14ac:dyDescent="0.25">
      <c r="A148" s="1"/>
      <c r="B148" s="1"/>
      <c r="C148" s="1"/>
      <c r="D148" s="1"/>
      <c r="E148" s="1"/>
      <c r="F148" s="1">
        <v>7</v>
      </c>
      <c r="G148" s="1"/>
      <c r="H148" s="4" t="str">
        <f>'BID 1 b'!B698</f>
        <v>Belanja Barang dan Jasa yang Diserahkan Kepada Masyarakat</v>
      </c>
      <c r="I148" s="73"/>
      <c r="J148" s="1"/>
      <c r="K148" s="4" t="s">
        <v>3595</v>
      </c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1864">
        <f t="shared" si="6"/>
        <v>0</v>
      </c>
      <c r="Y148" s="23">
        <f t="shared" si="5"/>
        <v>0</v>
      </c>
    </row>
    <row r="149" spans="1:26" ht="45" x14ac:dyDescent="0.25">
      <c r="A149" s="1"/>
      <c r="B149" s="1"/>
      <c r="C149" s="1"/>
      <c r="D149" s="1"/>
      <c r="E149" s="1"/>
      <c r="F149" s="1"/>
      <c r="G149" s="1489" t="s">
        <v>3366</v>
      </c>
      <c r="H149" s="4" t="str">
        <f>'BID 1 b'!B699</f>
        <v>Belanja Bahan Perlengkapan yang Diserahkan ke masyarakat</v>
      </c>
      <c r="I149" s="73">
        <f>SUM('BID 1 b'!F700:F706)</f>
        <v>39032000</v>
      </c>
      <c r="J149" s="1" t="s">
        <v>1223</v>
      </c>
      <c r="K149" s="4" t="s">
        <v>3595</v>
      </c>
      <c r="L149" s="73">
        <v>3200000</v>
      </c>
      <c r="M149" s="73">
        <v>3200000</v>
      </c>
      <c r="N149" s="73">
        <v>3200000</v>
      </c>
      <c r="O149" s="73">
        <v>3200000</v>
      </c>
      <c r="P149" s="73">
        <v>3200000</v>
      </c>
      <c r="Q149" s="73">
        <v>3200000</v>
      </c>
      <c r="R149" s="73">
        <v>3200000</v>
      </c>
      <c r="S149" s="73">
        <v>3200000</v>
      </c>
      <c r="T149" s="73">
        <v>3200000</v>
      </c>
      <c r="U149" s="73">
        <v>3200000</v>
      </c>
      <c r="V149" s="73">
        <v>3200000</v>
      </c>
      <c r="W149" s="73">
        <v>3832000</v>
      </c>
      <c r="X149" s="1864">
        <f t="shared" si="6"/>
        <v>39032000</v>
      </c>
      <c r="Y149" s="23">
        <f t="shared" si="5"/>
        <v>0</v>
      </c>
      <c r="Z149" s="139"/>
    </row>
    <row r="150" spans="1:26" ht="30" x14ac:dyDescent="0.25">
      <c r="A150" s="865">
        <v>1</v>
      </c>
      <c r="B150" s="865">
        <v>1</v>
      </c>
      <c r="C150" s="865">
        <v>96</v>
      </c>
      <c r="D150" s="865"/>
      <c r="E150" s="865"/>
      <c r="F150" s="865"/>
      <c r="G150" s="865"/>
      <c r="H150" s="1061" t="str">
        <f>'BID 1 b'!B752</f>
        <v>: Tambahan  Penghasilan Perbekel dari BKK</v>
      </c>
      <c r="I150" s="1063">
        <f>I153</f>
        <v>18000000</v>
      </c>
      <c r="J150" s="1061" t="s">
        <v>1773</v>
      </c>
      <c r="K150" s="1061" t="s">
        <v>3595</v>
      </c>
      <c r="L150" s="1063"/>
      <c r="M150" s="1063"/>
      <c r="N150" s="1063"/>
      <c r="O150" s="1063"/>
      <c r="P150" s="1063"/>
      <c r="Q150" s="1063"/>
      <c r="R150" s="1063"/>
      <c r="S150" s="1063"/>
      <c r="T150" s="1063"/>
      <c r="U150" s="1063"/>
      <c r="V150" s="1063"/>
      <c r="W150" s="1063"/>
      <c r="X150" s="1866">
        <f t="shared" si="6"/>
        <v>0</v>
      </c>
      <c r="Y150" s="23">
        <f t="shared" si="5"/>
        <v>-18000000</v>
      </c>
      <c r="Z150" s="23"/>
    </row>
    <row r="151" spans="1:26" x14ac:dyDescent="0.25">
      <c r="A151" s="1"/>
      <c r="B151" s="1"/>
      <c r="C151" s="1"/>
      <c r="D151" s="1">
        <v>5</v>
      </c>
      <c r="E151" s="1">
        <v>1</v>
      </c>
      <c r="F151" s="1"/>
      <c r="G151" s="1"/>
      <c r="H151" s="4" t="str">
        <f>'BID 1 b'!B758</f>
        <v xml:space="preserve">Belanja Pegawai </v>
      </c>
      <c r="I151" s="73"/>
      <c r="J151" s="1"/>
      <c r="K151" s="4" t="s">
        <v>3595</v>
      </c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1864">
        <f t="shared" si="6"/>
        <v>0</v>
      </c>
      <c r="Y151" s="23">
        <f t="shared" si="5"/>
        <v>0</v>
      </c>
    </row>
    <row r="152" spans="1:26" ht="30" x14ac:dyDescent="0.25">
      <c r="A152" s="1"/>
      <c r="B152" s="1"/>
      <c r="C152" s="1"/>
      <c r="D152" s="1"/>
      <c r="E152" s="1"/>
      <c r="F152" s="1">
        <v>1</v>
      </c>
      <c r="G152" s="1"/>
      <c r="H152" s="4" t="str">
        <f>'BID 1 b'!B759</f>
        <v>Penghasilan tetap dan Tunjangan Perbekel</v>
      </c>
      <c r="I152" s="73"/>
      <c r="J152" s="1"/>
      <c r="K152" s="4" t="s">
        <v>3595</v>
      </c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1864">
        <f t="shared" si="6"/>
        <v>0</v>
      </c>
      <c r="Y152" s="23">
        <f t="shared" si="5"/>
        <v>0</v>
      </c>
    </row>
    <row r="153" spans="1:26" x14ac:dyDescent="0.25">
      <c r="A153" s="1"/>
      <c r="B153" s="1"/>
      <c r="C153" s="1"/>
      <c r="D153" s="1"/>
      <c r="E153" s="1"/>
      <c r="F153" s="1"/>
      <c r="G153" s="1489" t="s">
        <v>3366</v>
      </c>
      <c r="H153" s="4" t="str">
        <f>'BID 1 b'!B760</f>
        <v>Penghasilan Tetap Perbekel</v>
      </c>
      <c r="I153" s="73">
        <f>SUM('BID 1 b'!F760)</f>
        <v>18000000</v>
      </c>
      <c r="J153" s="4" t="s">
        <v>1773</v>
      </c>
      <c r="K153" s="4" t="s">
        <v>3595</v>
      </c>
      <c r="L153" s="73">
        <v>1500000</v>
      </c>
      <c r="M153" s="73">
        <v>1500000</v>
      </c>
      <c r="N153" s="73">
        <v>1500000</v>
      </c>
      <c r="O153" s="73">
        <v>1500000</v>
      </c>
      <c r="P153" s="73">
        <v>1500000</v>
      </c>
      <c r="Q153" s="73">
        <v>1500000</v>
      </c>
      <c r="R153" s="73">
        <v>1500000</v>
      </c>
      <c r="S153" s="73">
        <v>1500000</v>
      </c>
      <c r="T153" s="73">
        <v>1500000</v>
      </c>
      <c r="U153" s="73">
        <v>1500000</v>
      </c>
      <c r="V153" s="73">
        <v>1500000</v>
      </c>
      <c r="W153" s="73">
        <v>1500000</v>
      </c>
      <c r="X153" s="1864">
        <f t="shared" si="6"/>
        <v>18000000</v>
      </c>
      <c r="Y153" s="23">
        <f t="shared" si="5"/>
        <v>0</v>
      </c>
    </row>
    <row r="154" spans="1:26" ht="30" x14ac:dyDescent="0.25">
      <c r="A154" s="865">
        <v>1</v>
      </c>
      <c r="B154" s="865">
        <v>1</v>
      </c>
      <c r="C154" s="865">
        <v>97</v>
      </c>
      <c r="D154" s="865"/>
      <c r="E154" s="865"/>
      <c r="F154" s="865"/>
      <c r="G154" s="865"/>
      <c r="H154" s="1061" t="str">
        <f>'BID 1 b'!B779</f>
        <v>: Tambahan  Penghasilan Perangkat Desa dari BKK</v>
      </c>
      <c r="I154" s="1063">
        <f>I157</f>
        <v>56400000</v>
      </c>
      <c r="J154" s="1061" t="s">
        <v>1773</v>
      </c>
      <c r="K154" s="1061" t="s">
        <v>3595</v>
      </c>
      <c r="L154" s="1063"/>
      <c r="M154" s="1063"/>
      <c r="N154" s="1063"/>
      <c r="O154" s="1063"/>
      <c r="P154" s="1063"/>
      <c r="Q154" s="1063"/>
      <c r="R154" s="1063"/>
      <c r="S154" s="1063"/>
      <c r="T154" s="1063"/>
      <c r="U154" s="1063"/>
      <c r="V154" s="1063"/>
      <c r="W154" s="1063"/>
      <c r="X154" s="1866">
        <f t="shared" si="6"/>
        <v>0</v>
      </c>
      <c r="Y154" s="23">
        <f t="shared" si="5"/>
        <v>-56400000</v>
      </c>
    </row>
    <row r="155" spans="1:26" x14ac:dyDescent="0.25">
      <c r="A155" s="1"/>
      <c r="B155" s="1"/>
      <c r="C155" s="1"/>
      <c r="D155" s="1">
        <v>5</v>
      </c>
      <c r="E155" s="1">
        <v>1</v>
      </c>
      <c r="F155" s="1"/>
      <c r="G155" s="1"/>
      <c r="H155" s="4" t="str">
        <f>'BID 1 b'!B785</f>
        <v xml:space="preserve">Belanja Pegawai </v>
      </c>
      <c r="I155" s="73"/>
      <c r="J155" s="1"/>
      <c r="K155" s="4" t="s">
        <v>3595</v>
      </c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1864">
        <f t="shared" si="6"/>
        <v>0</v>
      </c>
      <c r="Y155" s="23">
        <f t="shared" si="5"/>
        <v>0</v>
      </c>
    </row>
    <row r="156" spans="1:26" ht="30" x14ac:dyDescent="0.25">
      <c r="A156" s="1"/>
      <c r="B156" s="1"/>
      <c r="C156" s="1"/>
      <c r="D156" s="1"/>
      <c r="E156" s="1"/>
      <c r="F156" s="1">
        <v>1</v>
      </c>
      <c r="G156" s="1"/>
      <c r="H156" s="4" t="str">
        <f>'BID 1 b'!B786</f>
        <v>Penghasilan tetap dan Tunjangan Perangkat</v>
      </c>
      <c r="I156" s="73"/>
      <c r="J156" s="1"/>
      <c r="K156" s="4" t="s">
        <v>3595</v>
      </c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1864">
        <f t="shared" si="6"/>
        <v>0</v>
      </c>
      <c r="Y156" s="23">
        <f t="shared" si="5"/>
        <v>0</v>
      </c>
    </row>
    <row r="157" spans="1:26" ht="30" x14ac:dyDescent="0.25">
      <c r="A157" s="1"/>
      <c r="B157" s="1"/>
      <c r="C157" s="1"/>
      <c r="D157" s="1"/>
      <c r="E157" s="1"/>
      <c r="F157" s="1"/>
      <c r="G157" s="1489" t="s">
        <v>3366</v>
      </c>
      <c r="H157" s="4" t="str">
        <f>'BID 1 b'!B787</f>
        <v>Penghasilan tetap dan Tunjangan Perangkat</v>
      </c>
      <c r="I157" s="73">
        <f>SUM('BID 1 b'!F788:F791)</f>
        <v>56400000</v>
      </c>
      <c r="J157" s="4" t="s">
        <v>1773</v>
      </c>
      <c r="K157" s="4" t="s">
        <v>3595</v>
      </c>
      <c r="L157" s="73">
        <v>4700000</v>
      </c>
      <c r="M157" s="73">
        <v>4700000</v>
      </c>
      <c r="N157" s="73">
        <v>4700000</v>
      </c>
      <c r="O157" s="73">
        <v>4700000</v>
      </c>
      <c r="P157" s="73">
        <v>4700000</v>
      </c>
      <c r="Q157" s="73">
        <v>4700000</v>
      </c>
      <c r="R157" s="73">
        <v>4700000</v>
      </c>
      <c r="S157" s="73">
        <v>4700000</v>
      </c>
      <c r="T157" s="73">
        <v>4700000</v>
      </c>
      <c r="U157" s="73">
        <v>4700000</v>
      </c>
      <c r="V157" s="73">
        <v>4700000</v>
      </c>
      <c r="W157" s="73">
        <v>4700000</v>
      </c>
      <c r="X157" s="1864">
        <f t="shared" si="6"/>
        <v>56400000</v>
      </c>
      <c r="Y157" s="23">
        <f t="shared" si="5"/>
        <v>0</v>
      </c>
    </row>
    <row r="158" spans="1:26" ht="30" x14ac:dyDescent="0.25">
      <c r="A158" s="865">
        <v>1</v>
      </c>
      <c r="B158" s="865">
        <v>2</v>
      </c>
      <c r="C158" s="865"/>
      <c r="D158" s="865"/>
      <c r="E158" s="865"/>
      <c r="F158" s="865"/>
      <c r="G158" s="1490"/>
      <c r="H158" s="1061" t="s">
        <v>1711</v>
      </c>
      <c r="I158" s="1063"/>
      <c r="J158" s="1061"/>
      <c r="K158" s="1061" t="s">
        <v>3595</v>
      </c>
      <c r="L158" s="1063"/>
      <c r="M158" s="1063"/>
      <c r="N158" s="1063"/>
      <c r="O158" s="1063"/>
      <c r="P158" s="1063"/>
      <c r="Q158" s="1063"/>
      <c r="R158" s="1063"/>
      <c r="S158" s="1063"/>
      <c r="T158" s="1063"/>
      <c r="U158" s="1063"/>
      <c r="V158" s="1063"/>
      <c r="W158" s="1063"/>
      <c r="X158" s="1866">
        <f t="shared" si="6"/>
        <v>0</v>
      </c>
      <c r="Y158" s="23">
        <f t="shared" si="5"/>
        <v>0</v>
      </c>
    </row>
    <row r="159" spans="1:26" ht="30" x14ac:dyDescent="0.25">
      <c r="A159" s="865">
        <v>1</v>
      </c>
      <c r="B159" s="865">
        <v>2</v>
      </c>
      <c r="C159" s="1490" t="s">
        <v>3366</v>
      </c>
      <c r="D159" s="865"/>
      <c r="E159" s="865"/>
      <c r="F159" s="865"/>
      <c r="G159" s="865"/>
      <c r="H159" s="1061" t="str">
        <f>'Penjabaran APBDesa'!H164</f>
        <v>: Penyediaan Aset Tetap (Prasarana Kantor Desa)</v>
      </c>
      <c r="I159" s="1063">
        <f>SUM(I160:I171)</f>
        <v>3243107999</v>
      </c>
      <c r="J159" s="865"/>
      <c r="K159" s="1061" t="s">
        <v>3595</v>
      </c>
      <c r="L159" s="1063"/>
      <c r="M159" s="1063"/>
      <c r="N159" s="1063"/>
      <c r="O159" s="1063"/>
      <c r="P159" s="1063"/>
      <c r="Q159" s="1063"/>
      <c r="R159" s="1063"/>
      <c r="S159" s="1063"/>
      <c r="T159" s="1063"/>
      <c r="U159" s="1063"/>
      <c r="V159" s="1063"/>
      <c r="W159" s="1063"/>
      <c r="X159" s="1866">
        <f>SUM(L159:W159)</f>
        <v>0</v>
      </c>
      <c r="Y159" s="23">
        <f t="shared" si="5"/>
        <v>-3243107999</v>
      </c>
    </row>
    <row r="160" spans="1:26" x14ac:dyDescent="0.25">
      <c r="A160" s="1"/>
      <c r="B160" s="1"/>
      <c r="C160" s="1"/>
      <c r="D160" s="1">
        <v>5</v>
      </c>
      <c r="E160" s="1">
        <v>3</v>
      </c>
      <c r="F160" s="1"/>
      <c r="G160" s="1"/>
      <c r="H160" s="4" t="str">
        <f>'Penjabaran APBDesa'!H165</f>
        <v>Belanja Modal</v>
      </c>
      <c r="I160" s="73"/>
      <c r="J160" s="1"/>
      <c r="K160" s="4" t="s">
        <v>3595</v>
      </c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1864">
        <f t="shared" si="6"/>
        <v>0</v>
      </c>
      <c r="Y160" s="23">
        <f t="shared" si="5"/>
        <v>0</v>
      </c>
    </row>
    <row r="161" spans="1:25" x14ac:dyDescent="0.25">
      <c r="A161" s="1"/>
      <c r="B161" s="1"/>
      <c r="C161" s="1"/>
      <c r="D161" s="1"/>
      <c r="E161" s="1"/>
      <c r="F161" s="1">
        <v>1</v>
      </c>
      <c r="G161" s="1"/>
      <c r="H161" s="4" t="str">
        <f>'Penjabaran APBDesa'!H166</f>
        <v>Belanja Modal Tanah</v>
      </c>
      <c r="I161" s="73"/>
      <c r="J161" s="1"/>
      <c r="K161" s="4" t="s">
        <v>3595</v>
      </c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1864">
        <f t="shared" si="6"/>
        <v>0</v>
      </c>
      <c r="Y161" s="23">
        <f t="shared" si="5"/>
        <v>0</v>
      </c>
    </row>
    <row r="162" spans="1:25" s="1903" customFormat="1" ht="30" x14ac:dyDescent="0.25">
      <c r="A162" s="1898"/>
      <c r="B162" s="1898"/>
      <c r="C162" s="1898"/>
      <c r="D162" s="1898"/>
      <c r="E162" s="1898"/>
      <c r="F162" s="1898"/>
      <c r="G162" s="1904" t="s">
        <v>3366</v>
      </c>
      <c r="H162" s="1899" t="str">
        <f>'Penjabaran APBDesa'!H167</f>
        <v>Belanja Modal Pembelian Tanah</v>
      </c>
      <c r="I162" s="1900">
        <f>'Penjabaran APBDesa'!K167</f>
        <v>2470000000</v>
      </c>
      <c r="J162" s="1898" t="str">
        <f>'Penjabaran APBDesa'!L167</f>
        <v>BHPD</v>
      </c>
      <c r="K162" s="1899" t="s">
        <v>3595</v>
      </c>
      <c r="L162" s="1900">
        <v>2066619763.1800001</v>
      </c>
      <c r="M162" s="1900">
        <v>142685411.18000001</v>
      </c>
      <c r="N162" s="1900">
        <v>109275411.18000001</v>
      </c>
      <c r="O162" s="1900">
        <v>151419414.46000001</v>
      </c>
      <c r="P162" s="1900"/>
      <c r="Q162" s="1900"/>
      <c r="R162" s="1900"/>
      <c r="S162" s="1900"/>
      <c r="T162" s="1900"/>
      <c r="U162" s="1900"/>
      <c r="V162" s="1900"/>
      <c r="W162" s="1900"/>
      <c r="X162" s="1901">
        <f t="shared" si="6"/>
        <v>2470000000</v>
      </c>
      <c r="Y162" s="1902">
        <f t="shared" si="5"/>
        <v>0</v>
      </c>
    </row>
    <row r="163" spans="1:25" ht="30" x14ac:dyDescent="0.25">
      <c r="A163" s="1"/>
      <c r="B163" s="1"/>
      <c r="C163" s="1"/>
      <c r="D163" s="1">
        <v>5</v>
      </c>
      <c r="E163" s="1">
        <v>3</v>
      </c>
      <c r="F163" s="1">
        <v>2</v>
      </c>
      <c r="G163" s="1"/>
      <c r="H163" s="4" t="str">
        <f>'Penjabaran APBDesa'!H168</f>
        <v>Belanja Modal Peralatan, Mesin, dan Alat Berat</v>
      </c>
      <c r="I163" s="73"/>
      <c r="J163" s="1"/>
      <c r="K163" s="4" t="s">
        <v>3595</v>
      </c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1864">
        <f t="shared" si="6"/>
        <v>0</v>
      </c>
      <c r="Y163" s="23">
        <f t="shared" si="5"/>
        <v>0</v>
      </c>
    </row>
    <row r="164" spans="1:25" ht="30" x14ac:dyDescent="0.25">
      <c r="A164" s="1"/>
      <c r="B164" s="1"/>
      <c r="C164" s="1"/>
      <c r="D164" s="1"/>
      <c r="E164" s="1"/>
      <c r="F164" s="1"/>
      <c r="G164" s="1489" t="s">
        <v>3366</v>
      </c>
      <c r="H164" s="4" t="str">
        <f>'Penjabaran APBDesa'!H169</f>
        <v>Belanja modal honor tim yang melaksanakan kegiatan</v>
      </c>
      <c r="I164" s="73">
        <f>'Penjabaran APBDesa'!K169</f>
        <v>1150000</v>
      </c>
      <c r="J164" s="1" t="str">
        <f>'Penjabaran APBDesa'!L169</f>
        <v>BHPD</v>
      </c>
      <c r="K164" s="4" t="s">
        <v>3595</v>
      </c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>
        <v>1150000</v>
      </c>
      <c r="X164" s="1864">
        <f t="shared" si="6"/>
        <v>1150000</v>
      </c>
      <c r="Y164" s="23">
        <f t="shared" si="5"/>
        <v>0</v>
      </c>
    </row>
    <row r="165" spans="1:25" ht="30" x14ac:dyDescent="0.25">
      <c r="A165" s="1"/>
      <c r="B165" s="1"/>
      <c r="C165" s="1"/>
      <c r="D165" s="1"/>
      <c r="E165" s="1"/>
      <c r="F165" s="1"/>
      <c r="G165" s="1489" t="s">
        <v>3386</v>
      </c>
      <c r="H165" s="4" t="str">
        <f>'Penjabaran APBDesa'!H170</f>
        <v>Belanja Modal Peralatan elektronik dan Alat Studio</v>
      </c>
      <c r="I165" s="73">
        <f>'Penjabaran APBDesa'!K170</f>
        <v>49527832</v>
      </c>
      <c r="J165" s="1" t="str">
        <f>'Penjabaran APBDesa'!L170</f>
        <v>BHPD</v>
      </c>
      <c r="K165" s="4" t="s">
        <v>3595</v>
      </c>
      <c r="L165" s="73">
        <v>49527832</v>
      </c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1864">
        <f t="shared" si="6"/>
        <v>49527832</v>
      </c>
      <c r="Y165" s="23">
        <f t="shared" si="5"/>
        <v>0</v>
      </c>
    </row>
    <row r="166" spans="1:25" ht="30" x14ac:dyDescent="0.25">
      <c r="A166" s="1"/>
      <c r="B166" s="1"/>
      <c r="C166" s="1"/>
      <c r="D166" s="1"/>
      <c r="E166" s="1"/>
      <c r="F166" s="1"/>
      <c r="G166" s="1489" t="s">
        <v>3386</v>
      </c>
      <c r="H166" s="4" t="str">
        <f>'Penjabaran APBDesa'!H171</f>
        <v>Belanja Modal Peralatan elektronik dan Alat Studio</v>
      </c>
      <c r="I166" s="73">
        <f>'Penjabaran APBDesa'!K171</f>
        <v>10105000</v>
      </c>
      <c r="J166" s="1" t="s">
        <v>1223</v>
      </c>
      <c r="K166" s="4" t="s">
        <v>3595</v>
      </c>
      <c r="L166" s="73"/>
      <c r="M166" s="73"/>
      <c r="N166" s="73"/>
      <c r="O166" s="73"/>
      <c r="P166" s="73"/>
      <c r="Q166" s="73"/>
      <c r="R166" s="73"/>
      <c r="S166" s="73">
        <v>10105000</v>
      </c>
      <c r="T166" s="73"/>
      <c r="U166" s="73"/>
      <c r="V166" s="73"/>
      <c r="W166" s="73"/>
      <c r="X166" s="1864">
        <f t="shared" si="6"/>
        <v>10105000</v>
      </c>
      <c r="Y166" s="23">
        <f t="shared" si="5"/>
        <v>0</v>
      </c>
    </row>
    <row r="167" spans="1:25" ht="30" x14ac:dyDescent="0.25">
      <c r="A167" s="1"/>
      <c r="B167" s="1"/>
      <c r="C167" s="1"/>
      <c r="D167" s="1"/>
      <c r="E167" s="1"/>
      <c r="F167" s="1"/>
      <c r="G167" s="1489" t="s">
        <v>3386</v>
      </c>
      <c r="H167" s="4" t="str">
        <f>'Penjabaran APBDesa'!H172</f>
        <v>Belanja Modal Peralatan elektronik dan Alat Studio</v>
      </c>
      <c r="I167" s="73">
        <f>'Penjabaran APBDesa'!K172</f>
        <v>21250000</v>
      </c>
      <c r="J167" s="4" t="s">
        <v>3339</v>
      </c>
      <c r="K167" s="4" t="s">
        <v>3595</v>
      </c>
      <c r="L167" s="73"/>
      <c r="M167" s="73"/>
      <c r="N167" s="73"/>
      <c r="O167" s="73">
        <v>21250000</v>
      </c>
      <c r="P167" s="73"/>
      <c r="Q167" s="73"/>
      <c r="R167" s="73"/>
      <c r="S167" s="73"/>
      <c r="T167" s="73"/>
      <c r="U167" s="73"/>
      <c r="V167" s="73"/>
      <c r="W167" s="73"/>
      <c r="X167" s="1864">
        <f t="shared" si="6"/>
        <v>21250000</v>
      </c>
      <c r="Y167" s="23">
        <f t="shared" si="5"/>
        <v>0</v>
      </c>
    </row>
    <row r="168" spans="1:25" ht="30" x14ac:dyDescent="0.25">
      <c r="A168" s="1"/>
      <c r="B168" s="1"/>
      <c r="C168" s="1"/>
      <c r="D168" s="1"/>
      <c r="E168" s="1"/>
      <c r="F168" s="1"/>
      <c r="G168" s="1489" t="s">
        <v>3386</v>
      </c>
      <c r="H168" s="4" t="str">
        <f>'Penjabaran APBDesa'!H173</f>
        <v>Belanja Modal Kendaraan Bermotor</v>
      </c>
      <c r="I168" s="73">
        <f>'Penjabaran APBDesa'!K173</f>
        <v>0</v>
      </c>
      <c r="J168" s="1">
        <f>'Penjabaran APBDesa'!L173</f>
        <v>0</v>
      </c>
      <c r="K168" s="4" t="s">
        <v>3595</v>
      </c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1864">
        <f t="shared" si="6"/>
        <v>0</v>
      </c>
      <c r="Y168" s="23">
        <f t="shared" si="5"/>
        <v>0</v>
      </c>
    </row>
    <row r="169" spans="1:25" s="1903" customFormat="1" ht="30" x14ac:dyDescent="0.25">
      <c r="A169" s="1898"/>
      <c r="B169" s="1898"/>
      <c r="C169" s="1898"/>
      <c r="D169" s="1898">
        <v>5</v>
      </c>
      <c r="E169" s="1898">
        <v>3</v>
      </c>
      <c r="F169" s="1898">
        <v>3</v>
      </c>
      <c r="G169" s="1898"/>
      <c r="H169" s="1899" t="str">
        <f>'Penjabaran APBDesa'!H174</f>
        <v>Belanja Modal Kendaraan Darat Bermotor</v>
      </c>
      <c r="I169" s="1900">
        <f>'Penjabaran APBDesa'!K174</f>
        <v>658800000</v>
      </c>
      <c r="J169" s="1898" t="str">
        <f>'Penjabaran APBDesa'!L174</f>
        <v>BHPD</v>
      </c>
      <c r="K169" s="1899" t="s">
        <v>3595</v>
      </c>
      <c r="L169" s="1900">
        <v>5433766</v>
      </c>
      <c r="M169" s="1900"/>
      <c r="N169" s="1900"/>
      <c r="O169" s="1900">
        <v>51799996.719999999</v>
      </c>
      <c r="P169" s="1900">
        <v>195482263.18000001</v>
      </c>
      <c r="Q169" s="1900">
        <v>167058263.18000001</v>
      </c>
      <c r="R169" s="1900">
        <v>26672213.18</v>
      </c>
      <c r="S169" s="1900">
        <v>35898263.18</v>
      </c>
      <c r="T169" s="1900">
        <v>100852263.18000001</v>
      </c>
      <c r="U169" s="1900">
        <v>8227269.0199999996</v>
      </c>
      <c r="V169" s="1900">
        <v>34262851.18</v>
      </c>
      <c r="W169" s="1900">
        <v>33112851.18</v>
      </c>
      <c r="X169" s="1901">
        <f t="shared" si="6"/>
        <v>658800000</v>
      </c>
      <c r="Y169" s="1902">
        <f t="shared" si="5"/>
        <v>0</v>
      </c>
    </row>
    <row r="170" spans="1:25" ht="45" x14ac:dyDescent="0.25">
      <c r="A170" s="1"/>
      <c r="B170" s="1"/>
      <c r="C170" s="1"/>
      <c r="D170" s="1"/>
      <c r="E170" s="1"/>
      <c r="F170" s="1"/>
      <c r="G170" s="1489" t="s">
        <v>3386</v>
      </c>
      <c r="H170" s="4" t="str">
        <f>'Penjabaran APBDesa'!H175</f>
        <v>Belanja Modal Peralatan mebeulair dan Aksesori ruangan</v>
      </c>
      <c r="I170" s="98">
        <f>'Penjabaran APBDesa'!K175</f>
        <v>22775167</v>
      </c>
      <c r="J170" s="1" t="str">
        <f>'Penjabaran APBDesa'!L175</f>
        <v>ADD</v>
      </c>
      <c r="K170" s="4" t="s">
        <v>3595</v>
      </c>
      <c r="L170" s="98"/>
      <c r="M170" s="98"/>
      <c r="N170" s="98"/>
      <c r="O170" s="98"/>
      <c r="P170" s="98">
        <v>22775167</v>
      </c>
      <c r="Q170" s="98"/>
      <c r="R170" s="98"/>
      <c r="S170" s="98"/>
      <c r="T170" s="98"/>
      <c r="U170" s="98"/>
      <c r="V170" s="98"/>
      <c r="W170" s="98"/>
      <c r="X170" s="1864">
        <f t="shared" si="6"/>
        <v>22775167</v>
      </c>
      <c r="Y170" s="23">
        <f t="shared" si="5"/>
        <v>0</v>
      </c>
    </row>
    <row r="171" spans="1:25" ht="45" x14ac:dyDescent="0.25">
      <c r="A171" s="1"/>
      <c r="B171" s="1"/>
      <c r="C171" s="1"/>
      <c r="D171" s="1"/>
      <c r="E171" s="1"/>
      <c r="F171" s="1"/>
      <c r="G171" s="1489" t="s">
        <v>3389</v>
      </c>
      <c r="H171" s="4" t="str">
        <f>'Penjabaran APBDesa'!H176</f>
        <v>Belanja Modal Peralatan mebeulair dan Aksesori ruangan</v>
      </c>
      <c r="I171" s="73">
        <f>'Penjabaran APBDesa'!K176</f>
        <v>9500000</v>
      </c>
      <c r="J171" s="1" t="str">
        <f>'Penjabaran APBDesa'!L176</f>
        <v>BHPD</v>
      </c>
      <c r="K171" s="4" t="s">
        <v>3595</v>
      </c>
      <c r="L171" s="73">
        <v>9500000</v>
      </c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1864">
        <f t="shared" si="6"/>
        <v>9500000</v>
      </c>
      <c r="Y171" s="23">
        <f t="shared" si="5"/>
        <v>0</v>
      </c>
    </row>
    <row r="172" spans="1:25" ht="45" x14ac:dyDescent="0.25">
      <c r="A172" s="865">
        <v>1</v>
      </c>
      <c r="B172" s="865">
        <v>2</v>
      </c>
      <c r="C172" s="1490" t="s">
        <v>3386</v>
      </c>
      <c r="D172" s="865"/>
      <c r="E172" s="865"/>
      <c r="F172" s="865"/>
      <c r="G172" s="865"/>
      <c r="H172" s="1061" t="str">
        <f>'BID 1 b'!B862</f>
        <v>Pemeliharaan Gedung/Prasarana Kantor Desa (Ruang Perbekel)</v>
      </c>
      <c r="I172" s="1063">
        <f>SUM(I173:I177)</f>
        <v>27359000</v>
      </c>
      <c r="J172" s="1061" t="s">
        <v>1223</v>
      </c>
      <c r="K172" s="1061" t="s">
        <v>3596</v>
      </c>
      <c r="L172" s="1063"/>
      <c r="M172" s="1063"/>
      <c r="N172" s="1063"/>
      <c r="O172" s="1063"/>
      <c r="P172" s="1063"/>
      <c r="Q172" s="1063"/>
      <c r="R172" s="1063"/>
      <c r="S172" s="1063"/>
      <c r="T172" s="1063"/>
      <c r="U172" s="1063"/>
      <c r="V172" s="1063"/>
      <c r="W172" s="1063"/>
      <c r="X172" s="1866">
        <f t="shared" si="6"/>
        <v>0</v>
      </c>
      <c r="Y172" s="23">
        <f t="shared" ref="Y172:Y235" si="7">X172-I172</f>
        <v>-27359000</v>
      </c>
    </row>
    <row r="173" spans="1:25" x14ac:dyDescent="0.25">
      <c r="A173" s="1"/>
      <c r="B173" s="1"/>
      <c r="C173" s="1"/>
      <c r="D173" s="1">
        <v>5</v>
      </c>
      <c r="E173" s="1">
        <v>3</v>
      </c>
      <c r="F173" s="1"/>
      <c r="G173" s="1"/>
      <c r="H173" s="4" t="str">
        <f>'BID 1 b'!B869</f>
        <v xml:space="preserve">Belanja Modal </v>
      </c>
      <c r="I173" s="73"/>
      <c r="J173" s="1"/>
      <c r="K173" s="4" t="s">
        <v>3596</v>
      </c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1864">
        <f t="shared" si="6"/>
        <v>0</v>
      </c>
      <c r="Y173" s="23">
        <f t="shared" si="7"/>
        <v>0</v>
      </c>
    </row>
    <row r="174" spans="1:25" x14ac:dyDescent="0.25">
      <c r="A174" s="1"/>
      <c r="B174" s="1"/>
      <c r="C174" s="1"/>
      <c r="D174" s="1"/>
      <c r="E174" s="1"/>
      <c r="F174" s="1">
        <v>4</v>
      </c>
      <c r="G174" s="1"/>
      <c r="H174" s="4" t="str">
        <f>'BID 1 b'!B870</f>
        <v>Belanja Modal Gedung</v>
      </c>
      <c r="I174" s="73"/>
      <c r="J174" s="1"/>
      <c r="K174" s="4" t="s">
        <v>3596</v>
      </c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1864">
        <f t="shared" si="6"/>
        <v>0</v>
      </c>
      <c r="Y174" s="23">
        <f t="shared" si="7"/>
        <v>0</v>
      </c>
    </row>
    <row r="175" spans="1:25" ht="30" x14ac:dyDescent="0.25">
      <c r="A175" s="1"/>
      <c r="B175" s="1"/>
      <c r="C175" s="1"/>
      <c r="D175" s="1"/>
      <c r="E175" s="1"/>
      <c r="F175" s="1"/>
      <c r="G175" s="1489" t="s">
        <v>3366</v>
      </c>
      <c r="H175" s="4" t="str">
        <f>'BID 1 b'!B871</f>
        <v>Honorarium Tim Yang Melaksanakan Kegiatan</v>
      </c>
      <c r="I175" s="73">
        <f>'BID 1 b'!F873</f>
        <v>536000</v>
      </c>
      <c r="J175" s="4" t="s">
        <v>1223</v>
      </c>
      <c r="K175" s="4" t="s">
        <v>3596</v>
      </c>
      <c r="L175" s="73"/>
      <c r="M175" s="73"/>
      <c r="N175" s="73"/>
      <c r="O175" s="73"/>
      <c r="P175" s="73"/>
      <c r="Q175" s="73">
        <v>536000</v>
      </c>
      <c r="R175" s="73"/>
      <c r="S175" s="73"/>
      <c r="T175" s="73"/>
      <c r="U175" s="73"/>
      <c r="V175" s="73"/>
      <c r="W175" s="73"/>
      <c r="X175" s="1864">
        <f t="shared" si="6"/>
        <v>536000</v>
      </c>
      <c r="Y175" s="23">
        <f t="shared" si="7"/>
        <v>0</v>
      </c>
    </row>
    <row r="176" spans="1:25" x14ac:dyDescent="0.25">
      <c r="A176" s="1"/>
      <c r="B176" s="1"/>
      <c r="C176" s="1"/>
      <c r="D176" s="1"/>
      <c r="E176" s="1"/>
      <c r="F176" s="1"/>
      <c r="G176" s="1489" t="s">
        <v>3386</v>
      </c>
      <c r="H176" s="1" t="str">
        <f>'BID 1 b'!B874</f>
        <v>Belanja Upah</v>
      </c>
      <c r="I176" s="73">
        <f>'BID 1 b'!F877</f>
        <v>8160000</v>
      </c>
      <c r="J176" s="4" t="s">
        <v>1223</v>
      </c>
      <c r="K176" s="4" t="s">
        <v>3596</v>
      </c>
      <c r="L176" s="73"/>
      <c r="M176" s="73"/>
      <c r="N176" s="73"/>
      <c r="O176" s="73"/>
      <c r="P176" s="73"/>
      <c r="Q176" s="73">
        <v>8160000</v>
      </c>
      <c r="R176" s="73"/>
      <c r="S176" s="73"/>
      <c r="T176" s="73"/>
      <c r="U176" s="73"/>
      <c r="V176" s="73"/>
      <c r="W176" s="73"/>
      <c r="X176" s="1864">
        <f t="shared" si="6"/>
        <v>8160000</v>
      </c>
      <c r="Y176" s="23">
        <f t="shared" si="7"/>
        <v>0</v>
      </c>
    </row>
    <row r="177" spans="1:25" x14ac:dyDescent="0.25">
      <c r="A177" s="1"/>
      <c r="B177" s="1"/>
      <c r="C177" s="1"/>
      <c r="D177" s="1"/>
      <c r="E177" s="1"/>
      <c r="F177" s="1"/>
      <c r="G177" s="1489" t="s">
        <v>3388</v>
      </c>
      <c r="H177" s="1" t="str">
        <f>'BID 1 b'!B878</f>
        <v>Bahan Baku</v>
      </c>
      <c r="I177" s="73">
        <f>'BID 1 b'!F892</f>
        <v>18663000</v>
      </c>
      <c r="J177" s="4" t="s">
        <v>1223</v>
      </c>
      <c r="K177" s="4" t="s">
        <v>3596</v>
      </c>
      <c r="L177" s="73"/>
      <c r="M177" s="73"/>
      <c r="N177" s="73"/>
      <c r="O177" s="73"/>
      <c r="P177" s="73"/>
      <c r="Q177" s="73">
        <v>18663000</v>
      </c>
      <c r="R177" s="73"/>
      <c r="S177" s="73"/>
      <c r="T177" s="73"/>
      <c r="U177" s="73"/>
      <c r="V177" s="73"/>
      <c r="W177" s="73"/>
      <c r="X177" s="1864">
        <f t="shared" si="6"/>
        <v>18663000</v>
      </c>
      <c r="Y177" s="23">
        <f t="shared" si="7"/>
        <v>0</v>
      </c>
    </row>
    <row r="178" spans="1:25" ht="60" x14ac:dyDescent="0.25">
      <c r="A178" s="865">
        <v>1</v>
      </c>
      <c r="B178" s="865">
        <v>2</v>
      </c>
      <c r="C178" s="1490" t="s">
        <v>3386</v>
      </c>
      <c r="D178" s="865"/>
      <c r="E178" s="865"/>
      <c r="F178" s="865"/>
      <c r="G178" s="865"/>
      <c r="H178" s="1061" t="str">
        <f>'BID 1 b'!B911</f>
        <v>Pemeliharaan Gedung/Prasarana Kantor Desa (Ruang Pelayanan Umum)</v>
      </c>
      <c r="I178" s="1063">
        <f>SUM(I179:I183)</f>
        <v>4305420</v>
      </c>
      <c r="J178" s="1061" t="s">
        <v>1223</v>
      </c>
      <c r="K178" s="1061" t="s">
        <v>3596</v>
      </c>
      <c r="L178" s="1063"/>
      <c r="M178" s="1063"/>
      <c r="N178" s="1063"/>
      <c r="O178" s="1063"/>
      <c r="P178" s="1063"/>
      <c r="Q178" s="1063"/>
      <c r="R178" s="1063"/>
      <c r="S178" s="1063"/>
      <c r="T178" s="1063"/>
      <c r="U178" s="1063"/>
      <c r="V178" s="1063"/>
      <c r="W178" s="1063"/>
      <c r="X178" s="1866">
        <f t="shared" si="6"/>
        <v>0</v>
      </c>
      <c r="Y178" s="23">
        <f t="shared" si="7"/>
        <v>-4305420</v>
      </c>
    </row>
    <row r="179" spans="1:25" x14ac:dyDescent="0.25">
      <c r="A179" s="1"/>
      <c r="B179" s="1"/>
      <c r="C179" s="1"/>
      <c r="D179" s="1">
        <v>5</v>
      </c>
      <c r="E179" s="1">
        <v>3</v>
      </c>
      <c r="F179" s="1"/>
      <c r="G179" s="1"/>
      <c r="H179" s="4" t="str">
        <f>'BID 1 b'!B918</f>
        <v xml:space="preserve">Belanja Modal </v>
      </c>
      <c r="I179" s="73"/>
      <c r="J179" s="1"/>
      <c r="K179" s="4" t="s">
        <v>3596</v>
      </c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1864">
        <f t="shared" si="6"/>
        <v>0</v>
      </c>
      <c r="Y179" s="23">
        <f t="shared" si="7"/>
        <v>0</v>
      </c>
    </row>
    <row r="180" spans="1:25" x14ac:dyDescent="0.25">
      <c r="A180" s="1"/>
      <c r="B180" s="1"/>
      <c r="C180" s="1"/>
      <c r="D180" s="1"/>
      <c r="E180" s="1"/>
      <c r="F180" s="1">
        <v>4</v>
      </c>
      <c r="G180" s="1"/>
      <c r="H180" s="4" t="str">
        <f>'BID 1 b'!B919</f>
        <v>Belanja Modal Gedung</v>
      </c>
      <c r="I180" s="73"/>
      <c r="J180" s="1"/>
      <c r="K180" s="4" t="s">
        <v>3596</v>
      </c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1864">
        <f t="shared" ref="X180:X243" si="8">SUM(L180:W180)</f>
        <v>0</v>
      </c>
      <c r="Y180" s="23">
        <f t="shared" si="7"/>
        <v>0</v>
      </c>
    </row>
    <row r="181" spans="1:25" ht="30" x14ac:dyDescent="0.25">
      <c r="A181" s="1"/>
      <c r="B181" s="1"/>
      <c r="C181" s="1"/>
      <c r="D181" s="1"/>
      <c r="E181" s="1"/>
      <c r="F181" s="1"/>
      <c r="G181" s="1489" t="s">
        <v>3366</v>
      </c>
      <c r="H181" s="4" t="str">
        <f>'BID 1 b'!B920</f>
        <v>Honorarium Tim Yang Melaksanakan Kegiatan</v>
      </c>
      <c r="I181" s="73">
        <f>'BID 1 b'!F922</f>
        <v>84420</v>
      </c>
      <c r="J181" s="4" t="s">
        <v>1223</v>
      </c>
      <c r="K181" s="4" t="s">
        <v>3596</v>
      </c>
      <c r="L181" s="73"/>
      <c r="M181" s="73"/>
      <c r="N181" s="73"/>
      <c r="O181" s="73"/>
      <c r="P181" s="73"/>
      <c r="Q181" s="73">
        <v>84420</v>
      </c>
      <c r="R181" s="73"/>
      <c r="S181" s="73"/>
      <c r="T181" s="73"/>
      <c r="U181" s="73"/>
      <c r="V181" s="73"/>
      <c r="W181" s="73"/>
      <c r="X181" s="1864">
        <f t="shared" si="8"/>
        <v>84420</v>
      </c>
      <c r="Y181" s="23">
        <f t="shared" si="7"/>
        <v>0</v>
      </c>
    </row>
    <row r="182" spans="1:25" x14ac:dyDescent="0.25">
      <c r="A182" s="1"/>
      <c r="B182" s="1"/>
      <c r="C182" s="1"/>
      <c r="D182" s="1"/>
      <c r="E182" s="1"/>
      <c r="F182" s="1"/>
      <c r="G182" s="1489" t="s">
        <v>3386</v>
      </c>
      <c r="H182" s="1" t="str">
        <f>'BID 1 b'!B923</f>
        <v>Belanja Upah</v>
      </c>
      <c r="I182" s="73">
        <f>'BID 1 b'!F926</f>
        <v>1260000</v>
      </c>
      <c r="J182" s="4" t="s">
        <v>1223</v>
      </c>
      <c r="K182" s="4" t="s">
        <v>3596</v>
      </c>
      <c r="L182" s="73"/>
      <c r="M182" s="73"/>
      <c r="N182" s="73"/>
      <c r="O182" s="73"/>
      <c r="P182" s="73"/>
      <c r="Q182" s="73">
        <v>1260000</v>
      </c>
      <c r="R182" s="73"/>
      <c r="S182" s="73"/>
      <c r="T182" s="73"/>
      <c r="U182" s="73"/>
      <c r="V182" s="73"/>
      <c r="W182" s="73"/>
      <c r="X182" s="1864">
        <f t="shared" si="8"/>
        <v>1260000</v>
      </c>
      <c r="Y182" s="23">
        <f t="shared" si="7"/>
        <v>0</v>
      </c>
    </row>
    <row r="183" spans="1:25" x14ac:dyDescent="0.25">
      <c r="A183" s="1"/>
      <c r="B183" s="1"/>
      <c r="C183" s="1"/>
      <c r="D183" s="1"/>
      <c r="E183" s="1"/>
      <c r="F183" s="1"/>
      <c r="G183" s="1489" t="s">
        <v>3388</v>
      </c>
      <c r="H183" s="1" t="str">
        <f>'BID 1 b'!B927</f>
        <v>Bahan Baku</v>
      </c>
      <c r="I183" s="73">
        <f>'BID 1 b'!F933</f>
        <v>2961000</v>
      </c>
      <c r="J183" s="4" t="s">
        <v>1223</v>
      </c>
      <c r="K183" s="4" t="s">
        <v>3596</v>
      </c>
      <c r="L183" s="73"/>
      <c r="M183" s="73"/>
      <c r="N183" s="73"/>
      <c r="O183" s="73"/>
      <c r="P183" s="73"/>
      <c r="Q183" s="73">
        <v>2961000</v>
      </c>
      <c r="R183" s="73"/>
      <c r="S183" s="73"/>
      <c r="T183" s="73"/>
      <c r="U183" s="73"/>
      <c r="V183" s="73"/>
      <c r="W183" s="73"/>
      <c r="X183" s="1864">
        <f t="shared" si="8"/>
        <v>2961000</v>
      </c>
      <c r="Y183" s="23">
        <f t="shared" si="7"/>
        <v>0</v>
      </c>
    </row>
    <row r="184" spans="1:25" ht="45" x14ac:dyDescent="0.25">
      <c r="A184" s="865">
        <v>1</v>
      </c>
      <c r="B184" s="865">
        <v>2</v>
      </c>
      <c r="C184" s="1490" t="s">
        <v>3386</v>
      </c>
      <c r="D184" s="865"/>
      <c r="E184" s="865"/>
      <c r="F184" s="865"/>
      <c r="G184" s="865"/>
      <c r="H184" s="1061" t="str">
        <f>'BID 1 b'!B948</f>
        <v>Pemeliharaan Gedung/Prasarana Kantor Desa Ruang (Kepala Dusun)</v>
      </c>
      <c r="I184" s="1063">
        <f>SUM(I185:I189)</f>
        <v>15798000</v>
      </c>
      <c r="J184" s="1061" t="s">
        <v>1223</v>
      </c>
      <c r="K184" s="1061" t="s">
        <v>3596</v>
      </c>
      <c r="L184" s="1063"/>
      <c r="M184" s="1063"/>
      <c r="N184" s="1063"/>
      <c r="O184" s="1063"/>
      <c r="P184" s="1063"/>
      <c r="Q184" s="1063"/>
      <c r="R184" s="1063"/>
      <c r="S184" s="1063"/>
      <c r="T184" s="1063"/>
      <c r="U184" s="1063"/>
      <c r="V184" s="1063"/>
      <c r="W184" s="1063"/>
      <c r="X184" s="1866">
        <f t="shared" si="8"/>
        <v>0</v>
      </c>
      <c r="Y184" s="23">
        <f t="shared" si="7"/>
        <v>-15798000</v>
      </c>
    </row>
    <row r="185" spans="1:25" x14ac:dyDescent="0.25">
      <c r="A185" s="1"/>
      <c r="B185" s="1"/>
      <c r="C185" s="1"/>
      <c r="D185" s="1">
        <v>5</v>
      </c>
      <c r="E185" s="1">
        <v>3</v>
      </c>
      <c r="F185" s="1"/>
      <c r="G185" s="1"/>
      <c r="H185" s="4" t="str">
        <f>'BID 1 b'!B955</f>
        <v xml:space="preserve">Belanja Modal </v>
      </c>
      <c r="I185" s="73"/>
      <c r="J185" s="1"/>
      <c r="K185" s="4" t="s">
        <v>3596</v>
      </c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1864">
        <f t="shared" si="8"/>
        <v>0</v>
      </c>
      <c r="Y185" s="23">
        <f t="shared" si="7"/>
        <v>0</v>
      </c>
    </row>
    <row r="186" spans="1:25" x14ac:dyDescent="0.25">
      <c r="A186" s="1"/>
      <c r="B186" s="1"/>
      <c r="C186" s="1"/>
      <c r="D186" s="1"/>
      <c r="E186" s="1"/>
      <c r="F186" s="1">
        <v>4</v>
      </c>
      <c r="G186" s="1"/>
      <c r="H186" s="4" t="str">
        <f>'BID 1 b'!B956</f>
        <v>Belanja Modal Gedung</v>
      </c>
      <c r="I186" s="73"/>
      <c r="J186" s="1"/>
      <c r="K186" s="4" t="s">
        <v>3596</v>
      </c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1864">
        <f t="shared" si="8"/>
        <v>0</v>
      </c>
      <c r="Y186" s="23">
        <f t="shared" si="7"/>
        <v>0</v>
      </c>
    </row>
    <row r="187" spans="1:25" ht="30" x14ac:dyDescent="0.25">
      <c r="A187" s="1"/>
      <c r="B187" s="1"/>
      <c r="C187" s="1"/>
      <c r="D187" s="1"/>
      <c r="E187" s="1"/>
      <c r="F187" s="1"/>
      <c r="G187" s="1489" t="s">
        <v>3366</v>
      </c>
      <c r="H187" s="4" t="str">
        <f>'BID 1 b'!B957</f>
        <v>Honorarium Tim Yang Melaksanakan Kegiatan</v>
      </c>
      <c r="I187" s="73">
        <f>'BID 1 b'!F959</f>
        <v>309000</v>
      </c>
      <c r="J187" s="4" t="s">
        <v>1223</v>
      </c>
      <c r="K187" s="4" t="s">
        <v>3596</v>
      </c>
      <c r="L187" s="73"/>
      <c r="M187" s="73"/>
      <c r="N187" s="73"/>
      <c r="O187" s="73"/>
      <c r="P187" s="73"/>
      <c r="Q187" s="73"/>
      <c r="R187" s="73">
        <v>309000</v>
      </c>
      <c r="S187" s="73"/>
      <c r="T187" s="73"/>
      <c r="U187" s="73"/>
      <c r="V187" s="73"/>
      <c r="W187" s="73"/>
      <c r="X187" s="1864">
        <f t="shared" si="8"/>
        <v>309000</v>
      </c>
      <c r="Y187" s="23">
        <f t="shared" si="7"/>
        <v>0</v>
      </c>
    </row>
    <row r="188" spans="1:25" x14ac:dyDescent="0.25">
      <c r="A188" s="1"/>
      <c r="B188" s="1"/>
      <c r="C188" s="1"/>
      <c r="D188" s="1"/>
      <c r="E188" s="1"/>
      <c r="F188" s="1"/>
      <c r="G188" s="1489" t="s">
        <v>3386</v>
      </c>
      <c r="H188" s="1" t="str">
        <f>'BID 1 b'!B960</f>
        <v>Belanja Upah</v>
      </c>
      <c r="I188" s="73">
        <f>'BID 1 b'!F963</f>
        <v>5310000</v>
      </c>
      <c r="J188" s="4" t="s">
        <v>1223</v>
      </c>
      <c r="K188" s="4" t="s">
        <v>3596</v>
      </c>
      <c r="L188" s="73"/>
      <c r="M188" s="73"/>
      <c r="N188" s="73"/>
      <c r="O188" s="73"/>
      <c r="P188" s="73"/>
      <c r="Q188" s="73"/>
      <c r="R188" s="73">
        <v>5310000</v>
      </c>
      <c r="S188" s="73"/>
      <c r="T188" s="73"/>
      <c r="U188" s="73"/>
      <c r="V188" s="73"/>
      <c r="W188" s="73"/>
      <c r="X188" s="1864">
        <f t="shared" si="8"/>
        <v>5310000</v>
      </c>
      <c r="Y188" s="23">
        <f t="shared" si="7"/>
        <v>0</v>
      </c>
    </row>
    <row r="189" spans="1:25" x14ac:dyDescent="0.25">
      <c r="A189" s="1"/>
      <c r="B189" s="1"/>
      <c r="C189" s="1"/>
      <c r="D189" s="1"/>
      <c r="E189" s="1"/>
      <c r="F189" s="1"/>
      <c r="G189" s="1489" t="s">
        <v>3388</v>
      </c>
      <c r="H189" s="1" t="str">
        <f>'BID 1 b'!B964</f>
        <v>Bahan Baku</v>
      </c>
      <c r="I189" s="73">
        <f>'BID 1 b'!F980</f>
        <v>10179000</v>
      </c>
      <c r="J189" s="4" t="s">
        <v>1223</v>
      </c>
      <c r="K189" s="4" t="s">
        <v>3596</v>
      </c>
      <c r="L189" s="73"/>
      <c r="M189" s="73"/>
      <c r="N189" s="73"/>
      <c r="O189" s="73"/>
      <c r="P189" s="73"/>
      <c r="Q189" s="73"/>
      <c r="R189" s="73">
        <v>10179000</v>
      </c>
      <c r="S189" s="73"/>
      <c r="T189" s="73"/>
      <c r="U189" s="73"/>
      <c r="V189" s="73"/>
      <c r="W189" s="73"/>
      <c r="X189" s="1864">
        <f t="shared" si="8"/>
        <v>10179000</v>
      </c>
      <c r="Y189" s="23">
        <f t="shared" si="7"/>
        <v>0</v>
      </c>
    </row>
    <row r="190" spans="1:25" ht="45" x14ac:dyDescent="0.25">
      <c r="A190" s="865">
        <v>1</v>
      </c>
      <c r="B190" s="865">
        <v>2</v>
      </c>
      <c r="C190" s="1490" t="s">
        <v>3386</v>
      </c>
      <c r="D190" s="865"/>
      <c r="E190" s="865"/>
      <c r="F190" s="865"/>
      <c r="G190" s="865"/>
      <c r="H190" s="1061" t="str">
        <f>'BID 1 b'!B995</f>
        <v>Pemeliharaan Gedung/Prasarana Kantor Desa Ruang Kasi Kaur</v>
      </c>
      <c r="I190" s="1063">
        <f>SUM(I191:I195)</f>
        <v>20497000</v>
      </c>
      <c r="J190" s="1061" t="s">
        <v>1223</v>
      </c>
      <c r="K190" s="1061" t="s">
        <v>3596</v>
      </c>
      <c r="L190" s="1063"/>
      <c r="M190" s="1063"/>
      <c r="N190" s="1063"/>
      <c r="O190" s="1063"/>
      <c r="P190" s="1063"/>
      <c r="Q190" s="1063"/>
      <c r="R190" s="1063"/>
      <c r="S190" s="1063"/>
      <c r="T190" s="1063"/>
      <c r="U190" s="1063"/>
      <c r="V190" s="1063"/>
      <c r="W190" s="1063"/>
      <c r="X190" s="1866">
        <f t="shared" si="8"/>
        <v>0</v>
      </c>
      <c r="Y190" s="23">
        <f t="shared" si="7"/>
        <v>-20497000</v>
      </c>
    </row>
    <row r="191" spans="1:25" x14ac:dyDescent="0.25">
      <c r="A191" s="1"/>
      <c r="B191" s="1"/>
      <c r="C191" s="1"/>
      <c r="D191" s="1">
        <v>5</v>
      </c>
      <c r="E191" s="1">
        <v>3</v>
      </c>
      <c r="F191" s="1"/>
      <c r="G191" s="1"/>
      <c r="H191" s="4" t="str">
        <f>'BID 1 b'!B1002</f>
        <v xml:space="preserve">Belanja Modal </v>
      </c>
      <c r="I191" s="73"/>
      <c r="J191" s="1"/>
      <c r="K191" s="4" t="s">
        <v>3596</v>
      </c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1864">
        <f t="shared" si="8"/>
        <v>0</v>
      </c>
      <c r="Y191" s="23">
        <f t="shared" si="7"/>
        <v>0</v>
      </c>
    </row>
    <row r="192" spans="1:25" x14ac:dyDescent="0.25">
      <c r="A192" s="1"/>
      <c r="B192" s="1"/>
      <c r="C192" s="1"/>
      <c r="D192" s="1"/>
      <c r="E192" s="1"/>
      <c r="F192" s="1">
        <v>4</v>
      </c>
      <c r="G192" s="1"/>
      <c r="H192" s="4" t="str">
        <f>'BID 1 b'!B1003</f>
        <v>Belanja Modal Gedung</v>
      </c>
      <c r="I192" s="73"/>
      <c r="J192" s="1"/>
      <c r="K192" s="4" t="s">
        <v>3596</v>
      </c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1864">
        <f t="shared" si="8"/>
        <v>0</v>
      </c>
      <c r="Y192" s="23">
        <f t="shared" si="7"/>
        <v>0</v>
      </c>
    </row>
    <row r="193" spans="1:25" ht="30" x14ac:dyDescent="0.25">
      <c r="A193" s="1"/>
      <c r="B193" s="1"/>
      <c r="C193" s="1"/>
      <c r="D193" s="1"/>
      <c r="E193" s="1"/>
      <c r="F193" s="1"/>
      <c r="G193" s="1489" t="s">
        <v>3366</v>
      </c>
      <c r="H193" s="4" t="str">
        <f>'BID 1 b'!B1004</f>
        <v>Honorarium Tim Yang Melaksanakan Kegiatan</v>
      </c>
      <c r="I193" s="73">
        <f>'BID 1 b'!F1006</f>
        <v>401000</v>
      </c>
      <c r="J193" s="4" t="s">
        <v>1223</v>
      </c>
      <c r="K193" s="4" t="s">
        <v>3596</v>
      </c>
      <c r="L193" s="73"/>
      <c r="M193" s="73"/>
      <c r="N193" s="73"/>
      <c r="O193" s="73"/>
      <c r="P193" s="73"/>
      <c r="Q193" s="73">
        <v>401000</v>
      </c>
      <c r="R193" s="73"/>
      <c r="S193" s="73"/>
      <c r="T193" s="73"/>
      <c r="U193" s="73"/>
      <c r="V193" s="73"/>
      <c r="W193" s="73"/>
      <c r="X193" s="1864">
        <f t="shared" si="8"/>
        <v>401000</v>
      </c>
      <c r="Y193" s="23">
        <f t="shared" si="7"/>
        <v>0</v>
      </c>
    </row>
    <row r="194" spans="1:25" x14ac:dyDescent="0.25">
      <c r="A194" s="1"/>
      <c r="B194" s="1"/>
      <c r="C194" s="1"/>
      <c r="D194" s="1"/>
      <c r="E194" s="1"/>
      <c r="F194" s="1"/>
      <c r="G194" s="1489" t="s">
        <v>3386</v>
      </c>
      <c r="H194" s="1" t="str">
        <f>'BID 1 b'!B1007</f>
        <v>Belanja Upah</v>
      </c>
      <c r="I194" s="73">
        <f>'BID 1 b'!F1010</f>
        <v>7950000</v>
      </c>
      <c r="J194" s="4" t="s">
        <v>1223</v>
      </c>
      <c r="K194" s="4" t="s">
        <v>3596</v>
      </c>
      <c r="L194" s="73"/>
      <c r="M194" s="73"/>
      <c r="N194" s="73"/>
      <c r="O194" s="73"/>
      <c r="P194" s="73"/>
      <c r="Q194" s="73">
        <v>7950000</v>
      </c>
      <c r="R194" s="73"/>
      <c r="S194" s="73"/>
      <c r="T194" s="73"/>
      <c r="U194" s="73"/>
      <c r="V194" s="73"/>
      <c r="W194" s="73"/>
      <c r="X194" s="1864">
        <f t="shared" si="8"/>
        <v>7950000</v>
      </c>
      <c r="Y194" s="23">
        <f t="shared" si="7"/>
        <v>0</v>
      </c>
    </row>
    <row r="195" spans="1:25" x14ac:dyDescent="0.25">
      <c r="A195" s="1"/>
      <c r="B195" s="1"/>
      <c r="C195" s="1"/>
      <c r="D195" s="1"/>
      <c r="E195" s="1"/>
      <c r="F195" s="1"/>
      <c r="G195" s="1489" t="s">
        <v>3388</v>
      </c>
      <c r="H195" s="1" t="str">
        <f>'BID 1 b'!B1011</f>
        <v>Bahan Baku</v>
      </c>
      <c r="I195" s="73">
        <f>'BID 1 b'!F1027</f>
        <v>12146000</v>
      </c>
      <c r="J195" s="4" t="s">
        <v>1223</v>
      </c>
      <c r="K195" s="4" t="s">
        <v>3596</v>
      </c>
      <c r="L195" s="73"/>
      <c r="M195" s="73"/>
      <c r="N195" s="73"/>
      <c r="O195" s="73"/>
      <c r="P195" s="73"/>
      <c r="Q195" s="73">
        <v>12146000</v>
      </c>
      <c r="R195" s="73"/>
      <c r="S195" s="73"/>
      <c r="T195" s="73"/>
      <c r="U195" s="73"/>
      <c r="V195" s="73"/>
      <c r="W195" s="73"/>
      <c r="X195" s="1864">
        <f t="shared" si="8"/>
        <v>12146000</v>
      </c>
      <c r="Y195" s="23">
        <f t="shared" si="7"/>
        <v>0</v>
      </c>
    </row>
    <row r="196" spans="1:25" ht="34.15" customHeight="1" x14ac:dyDescent="0.25">
      <c r="A196" s="865">
        <v>1</v>
      </c>
      <c r="B196" s="865">
        <v>2</v>
      </c>
      <c r="C196" s="1490" t="s">
        <v>3386</v>
      </c>
      <c r="D196" s="865"/>
      <c r="E196" s="865"/>
      <c r="F196" s="865"/>
      <c r="G196" s="865"/>
      <c r="H196" s="1061" t="str">
        <f>'BID 1 b'!B1042</f>
        <v>Pemeliharaan Gedung/Prasarana Gudang</v>
      </c>
      <c r="I196" s="1063">
        <f>SUM(I197:I201)</f>
        <v>81599000</v>
      </c>
      <c r="J196" s="1061" t="s">
        <v>1506</v>
      </c>
      <c r="K196" s="1061" t="s">
        <v>3596</v>
      </c>
      <c r="L196" s="1063"/>
      <c r="M196" s="1063"/>
      <c r="N196" s="1063"/>
      <c r="O196" s="1063"/>
      <c r="P196" s="1063"/>
      <c r="Q196" s="1063"/>
      <c r="R196" s="1063"/>
      <c r="S196" s="1063"/>
      <c r="T196" s="1063"/>
      <c r="U196" s="1063"/>
      <c r="V196" s="1063"/>
      <c r="W196" s="1063"/>
      <c r="X196" s="1866">
        <f t="shared" si="8"/>
        <v>0</v>
      </c>
      <c r="Y196" s="23">
        <f t="shared" si="7"/>
        <v>-81599000</v>
      </c>
    </row>
    <row r="197" spans="1:25" x14ac:dyDescent="0.25">
      <c r="A197" s="1"/>
      <c r="B197" s="1"/>
      <c r="C197" s="1"/>
      <c r="D197" s="1">
        <v>5</v>
      </c>
      <c r="E197" s="1">
        <v>3</v>
      </c>
      <c r="F197" s="1"/>
      <c r="G197" s="1"/>
      <c r="H197" s="4" t="str">
        <f>'BID 1 b'!B1049</f>
        <v xml:space="preserve">Belanja Modal </v>
      </c>
      <c r="I197" s="73"/>
      <c r="J197" s="4"/>
      <c r="K197" s="4" t="s">
        <v>3596</v>
      </c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1864">
        <f t="shared" si="8"/>
        <v>0</v>
      </c>
      <c r="Y197" s="23">
        <f t="shared" si="7"/>
        <v>0</v>
      </c>
    </row>
    <row r="198" spans="1:25" x14ac:dyDescent="0.25">
      <c r="A198" s="1"/>
      <c r="B198" s="1"/>
      <c r="C198" s="1"/>
      <c r="D198" s="1"/>
      <c r="E198" s="1"/>
      <c r="F198" s="1">
        <v>4</v>
      </c>
      <c r="G198" s="1"/>
      <c r="H198" s="4" t="str">
        <f>'BID 1 b'!B1050</f>
        <v>Belanja Modal Gedung</v>
      </c>
      <c r="I198" s="73"/>
      <c r="J198" s="4"/>
      <c r="K198" s="4" t="s">
        <v>3596</v>
      </c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1864">
        <f t="shared" si="8"/>
        <v>0</v>
      </c>
      <c r="Y198" s="23">
        <f t="shared" si="7"/>
        <v>0</v>
      </c>
    </row>
    <row r="199" spans="1:25" ht="30" x14ac:dyDescent="0.25">
      <c r="A199" s="1"/>
      <c r="B199" s="1"/>
      <c r="C199" s="1"/>
      <c r="D199" s="1"/>
      <c r="E199" s="1"/>
      <c r="F199" s="1"/>
      <c r="G199" s="1489" t="s">
        <v>3366</v>
      </c>
      <c r="H199" s="4" t="str">
        <f>'BID 1 b'!B1051</f>
        <v>Honorarium Tim Yang Melaksanakan Kegiatan</v>
      </c>
      <c r="I199" s="73">
        <f>'BID 1 b'!F1053</f>
        <v>1567000</v>
      </c>
      <c r="J199" s="4" t="s">
        <v>1506</v>
      </c>
      <c r="K199" s="4" t="s">
        <v>3596</v>
      </c>
      <c r="L199" s="73"/>
      <c r="M199" s="73"/>
      <c r="N199" s="73"/>
      <c r="O199" s="73"/>
      <c r="P199" s="73"/>
      <c r="Q199" s="73"/>
      <c r="R199" s="73"/>
      <c r="S199" s="73">
        <v>1567000</v>
      </c>
      <c r="T199" s="73"/>
      <c r="U199" s="73"/>
      <c r="V199" s="73"/>
      <c r="W199" s="73"/>
      <c r="X199" s="1864">
        <f t="shared" si="8"/>
        <v>1567000</v>
      </c>
      <c r="Y199" s="23">
        <f t="shared" si="7"/>
        <v>0</v>
      </c>
    </row>
    <row r="200" spans="1:25" x14ac:dyDescent="0.25">
      <c r="A200" s="1"/>
      <c r="B200" s="1"/>
      <c r="C200" s="1"/>
      <c r="D200" s="1"/>
      <c r="E200" s="1"/>
      <c r="F200" s="1"/>
      <c r="G200" s="1489" t="s">
        <v>3386</v>
      </c>
      <c r="H200" s="1" t="str">
        <f>'BID 1 b'!B1054</f>
        <v>Belanja Upah</v>
      </c>
      <c r="I200" s="73">
        <f>'BID 1 b'!F1057</f>
        <v>8130000</v>
      </c>
      <c r="J200" s="4" t="s">
        <v>1506</v>
      </c>
      <c r="K200" s="4" t="s">
        <v>3596</v>
      </c>
      <c r="L200" s="73"/>
      <c r="M200" s="73"/>
      <c r="N200" s="73"/>
      <c r="O200" s="73"/>
      <c r="P200" s="73"/>
      <c r="Q200" s="73"/>
      <c r="R200" s="73"/>
      <c r="S200" s="73">
        <v>8130000</v>
      </c>
      <c r="T200" s="73"/>
      <c r="U200" s="73"/>
      <c r="V200" s="73"/>
      <c r="W200" s="73"/>
      <c r="X200" s="1864">
        <f t="shared" si="8"/>
        <v>8130000</v>
      </c>
      <c r="Y200" s="23">
        <f t="shared" si="7"/>
        <v>0</v>
      </c>
    </row>
    <row r="201" spans="1:25" x14ac:dyDescent="0.25">
      <c r="A201" s="1"/>
      <c r="B201" s="1"/>
      <c r="C201" s="1"/>
      <c r="D201" s="1"/>
      <c r="E201" s="1"/>
      <c r="F201" s="1"/>
      <c r="G201" s="1489" t="s">
        <v>3388</v>
      </c>
      <c r="H201" s="1" t="str">
        <f>'BID 1 b'!B1058</f>
        <v>Bahan Baku</v>
      </c>
      <c r="I201" s="73">
        <f>'BID 1 b'!F1063</f>
        <v>71902000</v>
      </c>
      <c r="J201" s="4" t="s">
        <v>1506</v>
      </c>
      <c r="K201" s="4" t="s">
        <v>3596</v>
      </c>
      <c r="L201" s="73"/>
      <c r="M201" s="73"/>
      <c r="N201" s="73"/>
      <c r="O201" s="73"/>
      <c r="P201" s="73"/>
      <c r="Q201" s="73"/>
      <c r="R201" s="73"/>
      <c r="S201" s="73">
        <v>71902000</v>
      </c>
      <c r="T201" s="73"/>
      <c r="U201" s="73"/>
      <c r="V201" s="73"/>
      <c r="W201" s="73"/>
      <c r="X201" s="1864">
        <f t="shared" si="8"/>
        <v>71902000</v>
      </c>
      <c r="Y201" s="23">
        <f t="shared" si="7"/>
        <v>0</v>
      </c>
    </row>
    <row r="202" spans="1:25" ht="75" x14ac:dyDescent="0.25">
      <c r="A202" s="865">
        <v>1</v>
      </c>
      <c r="B202" s="865">
        <v>2</v>
      </c>
      <c r="C202" s="1490" t="s">
        <v>3386</v>
      </c>
      <c r="D202" s="865"/>
      <c r="E202" s="865"/>
      <c r="F202" s="865"/>
      <c r="G202" s="865"/>
      <c r="H202" s="1061" t="str">
        <f>'BID 1 b'!B1080</f>
        <v>Pemeliharaan/ Rehabilitasi/ Peningkatan Gedung/ Prasarana Kantor Desa (Penataan Kebun dan Vertical Garden)</v>
      </c>
      <c r="I202" s="1063">
        <f>SUM(I203:I207)</f>
        <v>8177600</v>
      </c>
      <c r="J202" s="1061" t="s">
        <v>1223</v>
      </c>
      <c r="K202" s="1061" t="s">
        <v>3596</v>
      </c>
      <c r="L202" s="1063"/>
      <c r="M202" s="1063"/>
      <c r="N202" s="1063"/>
      <c r="O202" s="1063"/>
      <c r="P202" s="1063"/>
      <c r="Q202" s="1063"/>
      <c r="R202" s="1063"/>
      <c r="S202" s="1063"/>
      <c r="T202" s="1063"/>
      <c r="U202" s="1063"/>
      <c r="V202" s="1063"/>
      <c r="W202" s="1063"/>
      <c r="X202" s="1866">
        <f t="shared" si="8"/>
        <v>0</v>
      </c>
      <c r="Y202" s="23">
        <f t="shared" si="7"/>
        <v>-8177600</v>
      </c>
    </row>
    <row r="203" spans="1:25" x14ac:dyDescent="0.25">
      <c r="A203" s="1"/>
      <c r="B203" s="1"/>
      <c r="C203" s="1"/>
      <c r="D203" s="1">
        <v>5</v>
      </c>
      <c r="E203" s="1">
        <v>3</v>
      </c>
      <c r="F203" s="1"/>
      <c r="G203" s="1"/>
      <c r="H203" s="4" t="str">
        <f>'BID 1 b'!B1087</f>
        <v>Belanja Modal</v>
      </c>
      <c r="I203" s="73"/>
      <c r="J203" s="4"/>
      <c r="K203" s="4" t="s">
        <v>3596</v>
      </c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1864">
        <f t="shared" si="8"/>
        <v>0</v>
      </c>
      <c r="Y203" s="23">
        <f t="shared" si="7"/>
        <v>0</v>
      </c>
    </row>
    <row r="204" spans="1:25" ht="30" x14ac:dyDescent="0.25">
      <c r="A204" s="1"/>
      <c r="B204" s="1"/>
      <c r="C204" s="1"/>
      <c r="D204" s="1"/>
      <c r="E204" s="1"/>
      <c r="F204" s="1">
        <v>4</v>
      </c>
      <c r="G204" s="1"/>
      <c r="H204" s="4" t="str">
        <f>'BID 1 b'!B1088</f>
        <v>Belanja modal Gedung, Bangunan, Tanaman</v>
      </c>
      <c r="I204" s="73"/>
      <c r="J204" s="4"/>
      <c r="K204" s="4" t="s">
        <v>3596</v>
      </c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1864">
        <f t="shared" si="8"/>
        <v>0</v>
      </c>
      <c r="Y204" s="23">
        <f t="shared" si="7"/>
        <v>0</v>
      </c>
    </row>
    <row r="205" spans="1:25" ht="45" x14ac:dyDescent="0.25">
      <c r="A205" s="1"/>
      <c r="B205" s="1"/>
      <c r="C205" s="1"/>
      <c r="D205" s="1"/>
      <c r="E205" s="1"/>
      <c r="F205" s="1"/>
      <c r="G205" s="1489" t="s">
        <v>3366</v>
      </c>
      <c r="H205" s="4" t="str">
        <f>'BID 1 b'!B1089</f>
        <v>Belanja modal oprasional tim yang melaksanakan kegiatan</v>
      </c>
      <c r="I205" s="73">
        <f>'BID 1 b'!F1091</f>
        <v>727600</v>
      </c>
      <c r="J205" s="4" t="s">
        <v>1223</v>
      </c>
      <c r="K205" s="4" t="s">
        <v>3596</v>
      </c>
      <c r="L205" s="73"/>
      <c r="M205" s="73"/>
      <c r="N205" s="73"/>
      <c r="O205" s="73"/>
      <c r="P205" s="73"/>
      <c r="Q205" s="73"/>
      <c r="R205" s="73">
        <v>727600</v>
      </c>
      <c r="S205" s="73"/>
      <c r="T205" s="73"/>
      <c r="U205" s="73"/>
      <c r="V205" s="73"/>
      <c r="W205" s="73"/>
      <c r="X205" s="1864">
        <f t="shared" si="8"/>
        <v>727600</v>
      </c>
      <c r="Y205" s="23">
        <f t="shared" si="7"/>
        <v>0</v>
      </c>
    </row>
    <row r="206" spans="1:25" ht="30" x14ac:dyDescent="0.25">
      <c r="A206" s="1"/>
      <c r="B206" s="1"/>
      <c r="C206" s="1"/>
      <c r="D206" s="1"/>
      <c r="E206" s="1"/>
      <c r="F206" s="1"/>
      <c r="G206" s="1489" t="s">
        <v>3386</v>
      </c>
      <c r="H206" s="4" t="str">
        <f>'BID 1 b'!B1092</f>
        <v>Belanja modal upah tenaga kerja</v>
      </c>
      <c r="I206" s="73">
        <f>'BID 1 b'!F1095</f>
        <v>1300000</v>
      </c>
      <c r="J206" s="4" t="s">
        <v>1223</v>
      </c>
      <c r="K206" s="4" t="s">
        <v>3596</v>
      </c>
      <c r="L206" s="73"/>
      <c r="M206" s="73"/>
      <c r="N206" s="73"/>
      <c r="O206" s="73"/>
      <c r="P206" s="73"/>
      <c r="Q206" s="73"/>
      <c r="R206" s="73">
        <v>1300000</v>
      </c>
      <c r="S206" s="73"/>
      <c r="T206" s="73"/>
      <c r="U206" s="73"/>
      <c r="V206" s="73"/>
      <c r="W206" s="73"/>
      <c r="X206" s="1864">
        <f t="shared" si="8"/>
        <v>1300000</v>
      </c>
      <c r="Y206" s="23">
        <f t="shared" si="7"/>
        <v>0</v>
      </c>
    </row>
    <row r="207" spans="1:25" x14ac:dyDescent="0.25">
      <c r="A207" s="1"/>
      <c r="B207" s="1"/>
      <c r="C207" s="1"/>
      <c r="D207" s="1"/>
      <c r="E207" s="1"/>
      <c r="F207" s="1"/>
      <c r="G207" s="1489" t="s">
        <v>3388</v>
      </c>
      <c r="H207" s="1" t="str">
        <f>'BID 1 b'!B1096</f>
        <v>Belanja modal bahan baku</v>
      </c>
      <c r="I207" s="73">
        <f>SUM('BID 1 b'!F1097:F1098)</f>
        <v>6150000</v>
      </c>
      <c r="J207" s="4" t="s">
        <v>1223</v>
      </c>
      <c r="K207" s="4" t="s">
        <v>3596</v>
      </c>
      <c r="L207" s="73"/>
      <c r="M207" s="73"/>
      <c r="N207" s="73"/>
      <c r="O207" s="73"/>
      <c r="P207" s="73"/>
      <c r="Q207" s="73"/>
      <c r="R207" s="73">
        <v>6150000</v>
      </c>
      <c r="S207" s="73"/>
      <c r="T207" s="73"/>
      <c r="U207" s="73"/>
      <c r="V207" s="73"/>
      <c r="W207" s="73"/>
      <c r="X207" s="1864">
        <f t="shared" si="8"/>
        <v>6150000</v>
      </c>
      <c r="Y207" s="23">
        <f t="shared" si="7"/>
        <v>0</v>
      </c>
    </row>
    <row r="208" spans="1:25" ht="75" x14ac:dyDescent="0.25">
      <c r="A208" s="865">
        <v>1</v>
      </c>
      <c r="B208" s="865">
        <v>2</v>
      </c>
      <c r="C208" s="865">
        <v>90</v>
      </c>
      <c r="D208" s="865"/>
      <c r="E208" s="865"/>
      <c r="F208" s="865"/>
      <c r="G208" s="865"/>
      <c r="H208" s="1061" t="str">
        <f>'BID 1 b'!B1116</f>
        <v>Perencanaan Pembangunan Geduk/Prasarana Kantor Desa (Perencanaan/ Penggkajian Pembangunan Desa Wisata)</v>
      </c>
      <c r="I208" s="1063">
        <f>SUM(I209:I212)</f>
        <v>50750000</v>
      </c>
      <c r="J208" s="1061" t="s">
        <v>1223</v>
      </c>
      <c r="K208" s="1061" t="s">
        <v>3597</v>
      </c>
      <c r="L208" s="1063"/>
      <c r="M208" s="1063"/>
      <c r="N208" s="1063"/>
      <c r="O208" s="1063"/>
      <c r="P208" s="1063"/>
      <c r="Q208" s="1063"/>
      <c r="R208" s="1063"/>
      <c r="S208" s="1063"/>
      <c r="T208" s="1063"/>
      <c r="U208" s="1063"/>
      <c r="V208" s="1063"/>
      <c r="W208" s="1063"/>
      <c r="X208" s="1866">
        <f t="shared" si="8"/>
        <v>0</v>
      </c>
      <c r="Y208" s="23">
        <f t="shared" si="7"/>
        <v>-50750000</v>
      </c>
    </row>
    <row r="209" spans="1:25" x14ac:dyDescent="0.25">
      <c r="A209" s="1"/>
      <c r="B209" s="1"/>
      <c r="C209" s="1"/>
      <c r="D209" s="1">
        <v>5</v>
      </c>
      <c r="E209" s="1">
        <v>2</v>
      </c>
      <c r="F209" s="1"/>
      <c r="G209" s="1"/>
      <c r="H209" s="4" t="str">
        <f>'BID 1 b'!B1123</f>
        <v>Belanja Barang Jasa</v>
      </c>
      <c r="I209" s="73"/>
      <c r="J209" s="4"/>
      <c r="K209" s="4" t="s">
        <v>3597</v>
      </c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1864">
        <f t="shared" si="8"/>
        <v>0</v>
      </c>
      <c r="Y209" s="23">
        <f t="shared" si="7"/>
        <v>0</v>
      </c>
    </row>
    <row r="210" spans="1:25" x14ac:dyDescent="0.25">
      <c r="A210" s="1"/>
      <c r="B210" s="1"/>
      <c r="C210" s="1"/>
      <c r="D210" s="1"/>
      <c r="E210" s="1"/>
      <c r="F210" s="1">
        <v>2</v>
      </c>
      <c r="G210" s="1"/>
      <c r="H210" s="4" t="str">
        <f>'BID 1 b'!B1124</f>
        <v>Belanja Honorarium</v>
      </c>
      <c r="I210" s="73"/>
      <c r="J210" s="4"/>
      <c r="K210" s="4" t="s">
        <v>3597</v>
      </c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1864">
        <f t="shared" si="8"/>
        <v>0</v>
      </c>
      <c r="Y210" s="23">
        <f t="shared" si="7"/>
        <v>0</v>
      </c>
    </row>
    <row r="211" spans="1:25" ht="30" x14ac:dyDescent="0.25">
      <c r="A211" s="1"/>
      <c r="B211" s="1"/>
      <c r="C211" s="1"/>
      <c r="D211" s="1"/>
      <c r="E211" s="1"/>
      <c r="F211" s="1"/>
      <c r="G211" s="1489" t="s">
        <v>3366</v>
      </c>
      <c r="H211" s="4" t="str">
        <f>'BID 1 b'!B1125</f>
        <v>Belanja Honoraium Tim Yang Melaksanakan Kegiatan</v>
      </c>
      <c r="I211" s="73">
        <f>SUM('BID 1 b'!F1126:F1128)</f>
        <v>750000</v>
      </c>
      <c r="J211" s="4" t="s">
        <v>1223</v>
      </c>
      <c r="K211" s="4" t="s">
        <v>3597</v>
      </c>
      <c r="L211" s="73"/>
      <c r="M211" s="73"/>
      <c r="N211" s="73"/>
      <c r="O211" s="73">
        <v>750000</v>
      </c>
      <c r="P211" s="73"/>
      <c r="Q211" s="73"/>
      <c r="R211" s="73"/>
      <c r="S211" s="73"/>
      <c r="T211" s="73"/>
      <c r="U211" s="73"/>
      <c r="V211" s="73"/>
      <c r="W211" s="73"/>
      <c r="X211" s="1864">
        <f t="shared" si="8"/>
        <v>750000</v>
      </c>
      <c r="Y211" s="23">
        <f t="shared" si="7"/>
        <v>0</v>
      </c>
    </row>
    <row r="212" spans="1:25" x14ac:dyDescent="0.25">
      <c r="A212" s="1"/>
      <c r="B212" s="1"/>
      <c r="C212" s="1"/>
      <c r="D212" s="1"/>
      <c r="E212" s="1"/>
      <c r="F212" s="1"/>
      <c r="G212" s="1489" t="s">
        <v>3389</v>
      </c>
      <c r="H212" s="1" t="str">
        <f>'BID 1 b'!B1129</f>
        <v>Belanja Honoraium Ahli</v>
      </c>
      <c r="I212" s="73">
        <f>'BID 1 b'!F1130</f>
        <v>50000000</v>
      </c>
      <c r="J212" s="4" t="s">
        <v>1223</v>
      </c>
      <c r="K212" s="4" t="s">
        <v>3597</v>
      </c>
      <c r="L212" s="73"/>
      <c r="M212" s="73"/>
      <c r="N212" s="73"/>
      <c r="O212" s="73">
        <v>50000000</v>
      </c>
      <c r="P212" s="73"/>
      <c r="Q212" s="73"/>
      <c r="R212" s="73"/>
      <c r="S212" s="73"/>
      <c r="T212" s="73"/>
      <c r="U212" s="73"/>
      <c r="V212" s="73"/>
      <c r="W212" s="73"/>
      <c r="X212" s="1864">
        <f t="shared" si="8"/>
        <v>50000000</v>
      </c>
      <c r="Y212" s="23">
        <f t="shared" si="7"/>
        <v>0</v>
      </c>
    </row>
    <row r="213" spans="1:25" ht="45" x14ac:dyDescent="0.25">
      <c r="A213" s="865">
        <v>1</v>
      </c>
      <c r="B213" s="865">
        <v>3</v>
      </c>
      <c r="C213" s="865"/>
      <c r="D213" s="865"/>
      <c r="E213" s="865"/>
      <c r="F213" s="865"/>
      <c r="G213" s="865"/>
      <c r="H213" s="1061" t="str">
        <f>'BID 1 b'!B1149</f>
        <v>: Administrasi Kependudukan, Pencatatan Sipil, Statistik Dan Kearsipan</v>
      </c>
      <c r="I213" s="1063"/>
      <c r="J213" s="1061"/>
      <c r="K213" s="1061"/>
      <c r="L213" s="1063"/>
      <c r="M213" s="1063"/>
      <c r="N213" s="1063"/>
      <c r="O213" s="1063"/>
      <c r="P213" s="1063"/>
      <c r="Q213" s="1063"/>
      <c r="R213" s="1063"/>
      <c r="S213" s="1063"/>
      <c r="T213" s="1063"/>
      <c r="U213" s="1063"/>
      <c r="V213" s="1063"/>
      <c r="W213" s="1063"/>
      <c r="X213" s="1866">
        <f t="shared" si="8"/>
        <v>0</v>
      </c>
      <c r="Y213" s="23">
        <f t="shared" si="7"/>
        <v>0</v>
      </c>
    </row>
    <row r="214" spans="1:25" ht="45" x14ac:dyDescent="0.25">
      <c r="A214" s="865">
        <v>1</v>
      </c>
      <c r="B214" s="865">
        <v>3</v>
      </c>
      <c r="C214" s="865">
        <v>92</v>
      </c>
      <c r="D214" s="865"/>
      <c r="E214" s="865"/>
      <c r="F214" s="865"/>
      <c r="G214" s="865"/>
      <c r="H214" s="1061" t="str">
        <f>'BID 1 b'!B1150</f>
        <v>: Penyusunan/ Pendataan/PemuktahiranSDGS</v>
      </c>
      <c r="I214" s="1063">
        <f>I218+I220</f>
        <v>5800000</v>
      </c>
      <c r="J214" s="1061" t="s">
        <v>1220</v>
      </c>
      <c r="K214" s="1061" t="s">
        <v>3598</v>
      </c>
      <c r="L214" s="1063"/>
      <c r="M214" s="1063"/>
      <c r="N214" s="1063"/>
      <c r="O214" s="1063"/>
      <c r="P214" s="1063"/>
      <c r="Q214" s="1063"/>
      <c r="R214" s="1063"/>
      <c r="S214" s="1063"/>
      <c r="T214" s="1063"/>
      <c r="U214" s="1063"/>
      <c r="V214" s="1063"/>
      <c r="W214" s="1063"/>
      <c r="X214" s="1866">
        <f t="shared" si="8"/>
        <v>0</v>
      </c>
      <c r="Y214" s="23">
        <f t="shared" si="7"/>
        <v>-5800000</v>
      </c>
    </row>
    <row r="215" spans="1:25" ht="30" x14ac:dyDescent="0.25">
      <c r="A215" s="1"/>
      <c r="B215" s="1"/>
      <c r="C215" s="1"/>
      <c r="D215" s="1"/>
      <c r="E215" s="1"/>
      <c r="F215" s="1"/>
      <c r="G215" s="1"/>
      <c r="H215" s="4" t="str">
        <f>'BID 1 b'!B1155</f>
        <v>Pelatihan</v>
      </c>
      <c r="I215" s="73"/>
      <c r="J215" s="4"/>
      <c r="K215" s="4" t="s">
        <v>3598</v>
      </c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1864">
        <f t="shared" si="8"/>
        <v>0</v>
      </c>
      <c r="Y215" s="23">
        <f t="shared" si="7"/>
        <v>0</v>
      </c>
    </row>
    <row r="216" spans="1:25" ht="30" x14ac:dyDescent="0.25">
      <c r="A216" s="1"/>
      <c r="B216" s="1"/>
      <c r="C216" s="1"/>
      <c r="D216" s="1">
        <v>5</v>
      </c>
      <c r="E216" s="1">
        <v>2</v>
      </c>
      <c r="F216" s="1"/>
      <c r="G216" s="1"/>
      <c r="H216" s="4" t="str">
        <f>'BID 1 b'!B1156</f>
        <v>Belanja Barang Jasa</v>
      </c>
      <c r="I216" s="73"/>
      <c r="J216" s="4"/>
      <c r="K216" s="4" t="s">
        <v>3598</v>
      </c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1864">
        <f t="shared" si="8"/>
        <v>0</v>
      </c>
      <c r="Y216" s="23">
        <f t="shared" si="7"/>
        <v>0</v>
      </c>
    </row>
    <row r="217" spans="1:25" ht="30" x14ac:dyDescent="0.25">
      <c r="A217" s="1"/>
      <c r="B217" s="1"/>
      <c r="C217" s="1"/>
      <c r="D217" s="1"/>
      <c r="E217" s="1"/>
      <c r="F217" s="1">
        <v>1</v>
      </c>
      <c r="G217" s="1"/>
      <c r="H217" s="4" t="str">
        <f>'BID 1 b'!B1157</f>
        <v>Belanja Barang Perlengkapan</v>
      </c>
      <c r="I217" s="73"/>
      <c r="J217" s="4"/>
      <c r="K217" s="4" t="s">
        <v>3598</v>
      </c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1864">
        <f t="shared" si="8"/>
        <v>0</v>
      </c>
      <c r="Y217" s="23">
        <f t="shared" si="7"/>
        <v>0</v>
      </c>
    </row>
    <row r="218" spans="1:25" ht="30" x14ac:dyDescent="0.25">
      <c r="A218" s="1"/>
      <c r="B218" s="1"/>
      <c r="C218" s="1"/>
      <c r="D218" s="1"/>
      <c r="E218" s="1"/>
      <c r="F218" s="1"/>
      <c r="G218" s="1489" t="s">
        <v>3391</v>
      </c>
      <c r="H218" s="4" t="str">
        <f>'BID 1 b'!B1158</f>
        <v>Belanja Perlengkapan Barang Konsumsi</v>
      </c>
      <c r="I218" s="73">
        <f>'BID 1 b'!F1159</f>
        <v>400000</v>
      </c>
      <c r="J218" s="4" t="s">
        <v>1220</v>
      </c>
      <c r="K218" s="4" t="s">
        <v>3598</v>
      </c>
      <c r="L218" s="73">
        <v>400000</v>
      </c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1864">
        <f t="shared" si="8"/>
        <v>400000</v>
      </c>
      <c r="Y218" s="23">
        <f t="shared" si="7"/>
        <v>0</v>
      </c>
    </row>
    <row r="219" spans="1:25" ht="30" x14ac:dyDescent="0.25">
      <c r="A219" s="1"/>
      <c r="B219" s="1"/>
      <c r="C219" s="1"/>
      <c r="D219" s="1">
        <v>5</v>
      </c>
      <c r="E219" s="1">
        <v>2</v>
      </c>
      <c r="F219" s="1">
        <v>2</v>
      </c>
      <c r="G219" s="1"/>
      <c r="H219" s="4" t="str">
        <f>'BID 1 b'!B1161</f>
        <v xml:space="preserve">Belanja Jasa Honorarium </v>
      </c>
      <c r="I219" s="73"/>
      <c r="J219" s="4"/>
      <c r="K219" s="4" t="s">
        <v>3598</v>
      </c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1864">
        <f t="shared" si="8"/>
        <v>0</v>
      </c>
      <c r="Y219" s="23">
        <f t="shared" si="7"/>
        <v>0</v>
      </c>
    </row>
    <row r="220" spans="1:25" ht="30" x14ac:dyDescent="0.25">
      <c r="A220" s="1"/>
      <c r="B220" s="1"/>
      <c r="C220" s="1"/>
      <c r="D220" s="1"/>
      <c r="E220" s="1"/>
      <c r="F220" s="1"/>
      <c r="G220" s="1489" t="s">
        <v>3390</v>
      </c>
      <c r="H220" s="4" t="str">
        <f>'BID 1 b'!B1162</f>
        <v>Belanja Jasa Honorarium Petugas</v>
      </c>
      <c r="I220" s="73">
        <f>'BID 1 b'!F1163</f>
        <v>5400000</v>
      </c>
      <c r="J220" s="4" t="s">
        <v>1220</v>
      </c>
      <c r="K220" s="4" t="s">
        <v>3598</v>
      </c>
      <c r="L220" s="73">
        <v>5400000</v>
      </c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1864">
        <f t="shared" si="8"/>
        <v>5400000</v>
      </c>
      <c r="Y220" s="23">
        <f t="shared" si="7"/>
        <v>0</v>
      </c>
    </row>
    <row r="221" spans="1:25" ht="45" x14ac:dyDescent="0.25">
      <c r="A221" s="865">
        <v>1</v>
      </c>
      <c r="B221" s="865">
        <v>3</v>
      </c>
      <c r="C221" s="1490" t="s">
        <v>3386</v>
      </c>
      <c r="D221" s="865"/>
      <c r="E221" s="865"/>
      <c r="F221" s="865"/>
      <c r="G221" s="865"/>
      <c r="H221" s="1061" t="str">
        <f>'BID 1 b'!B1182</f>
        <v>: Penyusunan/ Pendataan/Pemuktahiran Profil Desa (Indek Desa)</v>
      </c>
      <c r="I221" s="1063">
        <f>I224+I226</f>
        <v>1900000</v>
      </c>
      <c r="J221" s="1061" t="s">
        <v>1220</v>
      </c>
      <c r="K221" s="1061" t="s">
        <v>3598</v>
      </c>
      <c r="L221" s="1063"/>
      <c r="M221" s="1063"/>
      <c r="N221" s="1063"/>
      <c r="O221" s="1063"/>
      <c r="P221" s="1063"/>
      <c r="Q221" s="1063"/>
      <c r="R221" s="1063"/>
      <c r="S221" s="1063"/>
      <c r="T221" s="1063"/>
      <c r="U221" s="1063"/>
      <c r="V221" s="1063"/>
      <c r="W221" s="1063"/>
      <c r="X221" s="1866">
        <f t="shared" si="8"/>
        <v>0</v>
      </c>
      <c r="Y221" s="23">
        <f t="shared" si="7"/>
        <v>-1900000</v>
      </c>
    </row>
    <row r="222" spans="1:25" ht="30" x14ac:dyDescent="0.25">
      <c r="A222" s="1"/>
      <c r="B222" s="1"/>
      <c r="C222" s="1"/>
      <c r="D222" s="1">
        <v>5</v>
      </c>
      <c r="E222" s="1">
        <v>2</v>
      </c>
      <c r="F222" s="1"/>
      <c r="G222" s="1"/>
      <c r="H222" s="4" t="str">
        <f>'BID 1 b'!B1188</f>
        <v>Belanja Barang Jasa</v>
      </c>
      <c r="I222" s="73"/>
      <c r="J222" s="1"/>
      <c r="K222" s="4" t="s">
        <v>3598</v>
      </c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1864">
        <f t="shared" si="8"/>
        <v>0</v>
      </c>
      <c r="Y222" s="23">
        <f t="shared" si="7"/>
        <v>0</v>
      </c>
    </row>
    <row r="223" spans="1:25" ht="30" x14ac:dyDescent="0.25">
      <c r="A223" s="1"/>
      <c r="B223" s="1"/>
      <c r="C223" s="1"/>
      <c r="D223" s="1"/>
      <c r="E223" s="1"/>
      <c r="F223" s="1">
        <v>1</v>
      </c>
      <c r="G223" s="1"/>
      <c r="H223" s="4" t="str">
        <f>'BID 1 b'!B1189</f>
        <v>Belanja Barang Perlengkapan</v>
      </c>
      <c r="I223" s="73"/>
      <c r="J223" s="1"/>
      <c r="K223" s="4" t="s">
        <v>3598</v>
      </c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1864">
        <f t="shared" si="8"/>
        <v>0</v>
      </c>
      <c r="Y223" s="23">
        <f t="shared" si="7"/>
        <v>0</v>
      </c>
    </row>
    <row r="224" spans="1:25" ht="30" x14ac:dyDescent="0.25">
      <c r="A224" s="1"/>
      <c r="B224" s="1"/>
      <c r="C224" s="1"/>
      <c r="D224" s="1"/>
      <c r="E224" s="1"/>
      <c r="F224" s="1"/>
      <c r="G224" s="1489" t="s">
        <v>3391</v>
      </c>
      <c r="H224" s="4" t="str">
        <f>'BID 1 b'!B1190</f>
        <v>Belanja Perlengkapan Barang Konsumsi</v>
      </c>
      <c r="I224" s="73">
        <f>'BID 1 b'!F1191</f>
        <v>400000</v>
      </c>
      <c r="J224" s="4" t="s">
        <v>1220</v>
      </c>
      <c r="K224" s="4" t="s">
        <v>3598</v>
      </c>
      <c r="L224" s="73">
        <v>400000</v>
      </c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1864">
        <f t="shared" si="8"/>
        <v>400000</v>
      </c>
      <c r="Y224" s="23">
        <f t="shared" si="7"/>
        <v>0</v>
      </c>
    </row>
    <row r="225" spans="1:25" ht="30" x14ac:dyDescent="0.25">
      <c r="A225" s="1"/>
      <c r="B225" s="1"/>
      <c r="C225" s="1"/>
      <c r="D225" s="1">
        <v>5</v>
      </c>
      <c r="E225" s="1">
        <v>2</v>
      </c>
      <c r="F225" s="1">
        <v>2</v>
      </c>
      <c r="G225" s="1"/>
      <c r="H225" s="4" t="str">
        <f>'BID 1 b'!B1193</f>
        <v xml:space="preserve">Belanja Jasa Honorarium </v>
      </c>
      <c r="I225" s="73"/>
      <c r="J225" s="4"/>
      <c r="K225" s="4" t="s">
        <v>3598</v>
      </c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1864">
        <f t="shared" si="8"/>
        <v>0</v>
      </c>
      <c r="Y225" s="23">
        <f t="shared" si="7"/>
        <v>0</v>
      </c>
    </row>
    <row r="226" spans="1:25" ht="30" x14ac:dyDescent="0.25">
      <c r="A226" s="1"/>
      <c r="B226" s="1"/>
      <c r="C226" s="1"/>
      <c r="D226" s="1"/>
      <c r="E226" s="1"/>
      <c r="F226" s="1"/>
      <c r="G226" s="1489" t="s">
        <v>3390</v>
      </c>
      <c r="H226" s="4" t="str">
        <f>'BID 1 b'!B1194</f>
        <v>Belanja Jasa Honorarium Petugas</v>
      </c>
      <c r="I226" s="73">
        <f>'BID 1 b'!F1195</f>
        <v>1500000</v>
      </c>
      <c r="J226" s="4" t="s">
        <v>1220</v>
      </c>
      <c r="K226" s="4" t="s">
        <v>3598</v>
      </c>
      <c r="L226" s="73">
        <v>1500000</v>
      </c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1864">
        <f t="shared" si="8"/>
        <v>1500000</v>
      </c>
      <c r="Y226" s="23">
        <f t="shared" si="7"/>
        <v>0</v>
      </c>
    </row>
    <row r="227" spans="1:25" ht="75" x14ac:dyDescent="0.25">
      <c r="A227" s="865">
        <v>1</v>
      </c>
      <c r="B227" s="865">
        <v>3</v>
      </c>
      <c r="C227" s="865">
        <v>90</v>
      </c>
      <c r="D227" s="865"/>
      <c r="E227" s="865"/>
      <c r="F227" s="865"/>
      <c r="G227" s="865"/>
      <c r="H227" s="1061" t="str">
        <f>'BID 1 b'!B1251</f>
        <v>: Pendataan Administrasi Penduduk Non Permanen (Penertiban Penduduk Pendatang dan Sidak Dialogis)</v>
      </c>
      <c r="I227" s="1063">
        <f>SUM(I228:I233)</f>
        <v>40260000</v>
      </c>
      <c r="J227" s="865" t="s">
        <v>1506</v>
      </c>
      <c r="K227" s="1061" t="s">
        <v>3598</v>
      </c>
      <c r="L227" s="1063"/>
      <c r="M227" s="1063"/>
      <c r="N227" s="1063"/>
      <c r="O227" s="1063"/>
      <c r="P227" s="1063"/>
      <c r="Q227" s="1063"/>
      <c r="R227" s="1063"/>
      <c r="S227" s="1063"/>
      <c r="T227" s="1063"/>
      <c r="U227" s="1063"/>
      <c r="V227" s="1063"/>
      <c r="W227" s="1063"/>
      <c r="X227" s="1866">
        <f t="shared" si="8"/>
        <v>0</v>
      </c>
      <c r="Y227" s="23">
        <f t="shared" si="7"/>
        <v>-40260000</v>
      </c>
    </row>
    <row r="228" spans="1:25" ht="30" x14ac:dyDescent="0.25">
      <c r="A228" s="1"/>
      <c r="B228" s="1"/>
      <c r="C228" s="1"/>
      <c r="D228" s="1">
        <v>5</v>
      </c>
      <c r="E228" s="1">
        <v>2</v>
      </c>
      <c r="F228" s="1"/>
      <c r="G228" s="1"/>
      <c r="H228" s="4" t="str">
        <f>'BID 1 b'!B1257</f>
        <v>Belanja Barang dan Jasa</v>
      </c>
      <c r="I228" s="73"/>
      <c r="J228" s="1"/>
      <c r="K228" s="4" t="s">
        <v>3598</v>
      </c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1864">
        <f t="shared" si="8"/>
        <v>0</v>
      </c>
      <c r="Y228" s="23">
        <f t="shared" si="7"/>
        <v>0</v>
      </c>
    </row>
    <row r="229" spans="1:25" ht="30" x14ac:dyDescent="0.25">
      <c r="A229" s="1"/>
      <c r="B229" s="1"/>
      <c r="C229" s="1"/>
      <c r="D229" s="1"/>
      <c r="E229" s="1"/>
      <c r="F229" s="1">
        <v>1</v>
      </c>
      <c r="G229" s="1"/>
      <c r="H229" s="4" t="str">
        <f>'BID 1 b'!B1258</f>
        <v>Belanja Barang Perlengkapan</v>
      </c>
      <c r="I229" s="73"/>
      <c r="J229" s="1"/>
      <c r="K229" s="4" t="s">
        <v>3598</v>
      </c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1864">
        <f t="shared" si="8"/>
        <v>0</v>
      </c>
      <c r="Y229" s="23">
        <f t="shared" si="7"/>
        <v>0</v>
      </c>
    </row>
    <row r="230" spans="1:25" ht="45" x14ac:dyDescent="0.25">
      <c r="A230" s="1"/>
      <c r="B230" s="1"/>
      <c r="C230" s="1"/>
      <c r="D230" s="1"/>
      <c r="E230" s="1"/>
      <c r="F230" s="1"/>
      <c r="G230" s="1489" t="s">
        <v>3390</v>
      </c>
      <c r="H230" s="4" t="str">
        <f>'BID 1 b'!B1259</f>
        <v>Belanja perlengkapan cetak/pengadaan - belanja barang cetak dan pengadaan</v>
      </c>
      <c r="I230" s="73">
        <f>SUM('BID 1 b'!F1260)</f>
        <v>700000</v>
      </c>
      <c r="J230" s="1" t="s">
        <v>1506</v>
      </c>
      <c r="K230" s="4" t="s">
        <v>3598</v>
      </c>
      <c r="L230" s="73"/>
      <c r="M230" s="73"/>
      <c r="N230" s="73"/>
      <c r="O230" s="73"/>
      <c r="P230" s="73"/>
      <c r="Q230" s="73">
        <v>350000</v>
      </c>
      <c r="R230" s="73"/>
      <c r="S230" s="73"/>
      <c r="T230" s="73"/>
      <c r="U230" s="73"/>
      <c r="V230" s="73">
        <v>350000</v>
      </c>
      <c r="W230" s="73"/>
      <c r="X230" s="1864">
        <f t="shared" si="8"/>
        <v>700000</v>
      </c>
      <c r="Y230" s="23">
        <f t="shared" si="7"/>
        <v>0</v>
      </c>
    </row>
    <row r="231" spans="1:25" ht="30" x14ac:dyDescent="0.25">
      <c r="A231" s="1"/>
      <c r="B231" s="1"/>
      <c r="C231" s="1"/>
      <c r="D231" s="1"/>
      <c r="E231" s="1"/>
      <c r="F231" s="1"/>
      <c r="G231" s="1489" t="s">
        <v>3391</v>
      </c>
      <c r="H231" s="4" t="str">
        <f>'BID 1 b'!B1262</f>
        <v>Belanja Perlengkapan Barang Konsumsi</v>
      </c>
      <c r="I231" s="73">
        <f>SUM('BID 1 b'!F1263:F1265)</f>
        <v>12360000</v>
      </c>
      <c r="J231" s="1" t="s">
        <v>1506</v>
      </c>
      <c r="K231" s="4" t="s">
        <v>3598</v>
      </c>
      <c r="L231" s="73"/>
      <c r="M231" s="73"/>
      <c r="N231" s="73"/>
      <c r="O231" s="73"/>
      <c r="P231" s="73"/>
      <c r="Q231" s="73">
        <v>6180000</v>
      </c>
      <c r="R231" s="73"/>
      <c r="S231" s="73"/>
      <c r="T231" s="73"/>
      <c r="U231" s="73"/>
      <c r="V231" s="73">
        <v>6180000</v>
      </c>
      <c r="W231" s="73"/>
      <c r="X231" s="1864">
        <f t="shared" si="8"/>
        <v>12360000</v>
      </c>
      <c r="Y231" s="23">
        <f t="shared" si="7"/>
        <v>0</v>
      </c>
    </row>
    <row r="232" spans="1:25" ht="30" x14ac:dyDescent="0.25">
      <c r="A232" s="1"/>
      <c r="B232" s="1"/>
      <c r="C232" s="1"/>
      <c r="D232" s="1">
        <v>5</v>
      </c>
      <c r="E232" s="1">
        <v>2</v>
      </c>
      <c r="F232" s="1">
        <v>2</v>
      </c>
      <c r="G232" s="1"/>
      <c r="H232" s="1" t="str">
        <f>'BID 1 b'!B1268</f>
        <v>Belanja Jasa Honorarium</v>
      </c>
      <c r="I232" s="73"/>
      <c r="J232" s="1"/>
      <c r="K232" s="4" t="s">
        <v>3598</v>
      </c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1864">
        <f t="shared" si="8"/>
        <v>0</v>
      </c>
      <c r="Y232" s="23">
        <f t="shared" si="7"/>
        <v>0</v>
      </c>
    </row>
    <row r="233" spans="1:25" ht="30" x14ac:dyDescent="0.25">
      <c r="A233" s="1"/>
      <c r="B233" s="1"/>
      <c r="C233" s="1"/>
      <c r="D233" s="1"/>
      <c r="E233" s="1"/>
      <c r="F233" s="1"/>
      <c r="G233" s="1489" t="s">
        <v>3390</v>
      </c>
      <c r="H233" s="4" t="str">
        <f>'BID 1 b'!B1269</f>
        <v>Belanja Jasa Honorium Petugas</v>
      </c>
      <c r="I233" s="73">
        <f>'BID 1 b'!F1270</f>
        <v>27200000</v>
      </c>
      <c r="J233" s="1" t="s">
        <v>1506</v>
      </c>
      <c r="K233" s="4" t="s">
        <v>3598</v>
      </c>
      <c r="L233" s="73"/>
      <c r="M233" s="73"/>
      <c r="N233" s="73"/>
      <c r="O233" s="73"/>
      <c r="P233" s="73"/>
      <c r="Q233" s="73">
        <v>13600000</v>
      </c>
      <c r="R233" s="73"/>
      <c r="S233" s="73"/>
      <c r="T233" s="73"/>
      <c r="U233" s="73"/>
      <c r="V233" s="73">
        <v>13600000</v>
      </c>
      <c r="W233" s="73"/>
      <c r="X233" s="1864">
        <f t="shared" si="8"/>
        <v>27200000</v>
      </c>
      <c r="Y233" s="23">
        <f t="shared" si="7"/>
        <v>0</v>
      </c>
    </row>
    <row r="234" spans="1:25" ht="45" x14ac:dyDescent="0.25">
      <c r="A234" s="865">
        <v>1</v>
      </c>
      <c r="B234" s="865">
        <v>4</v>
      </c>
      <c r="C234" s="865"/>
      <c r="D234" s="865"/>
      <c r="E234" s="865"/>
      <c r="F234" s="865"/>
      <c r="G234" s="865"/>
      <c r="H234" s="1061" t="str">
        <f>'BID 1 b'!B1289</f>
        <v>Tata Praja Pemerintahan, Perencanaan, Keuangan, dan Pelaporan</v>
      </c>
      <c r="I234" s="1063"/>
      <c r="J234" s="865"/>
      <c r="K234" s="1061"/>
      <c r="L234" s="1063"/>
      <c r="M234" s="1063"/>
      <c r="N234" s="1063"/>
      <c r="O234" s="1063"/>
      <c r="P234" s="1063"/>
      <c r="Q234" s="1063"/>
      <c r="R234" s="1063"/>
      <c r="S234" s="1063"/>
      <c r="T234" s="1063"/>
      <c r="U234" s="1063"/>
      <c r="V234" s="1063"/>
      <c r="W234" s="1063"/>
      <c r="X234" s="1866">
        <f t="shared" si="8"/>
        <v>0</v>
      </c>
      <c r="Y234" s="23">
        <f t="shared" si="7"/>
        <v>0</v>
      </c>
    </row>
    <row r="235" spans="1:25" ht="60" x14ac:dyDescent="0.25">
      <c r="A235" s="865">
        <v>1</v>
      </c>
      <c r="B235" s="865">
        <v>4</v>
      </c>
      <c r="C235" s="1490" t="s">
        <v>3366</v>
      </c>
      <c r="D235" s="865"/>
      <c r="E235" s="865"/>
      <c r="F235" s="865"/>
      <c r="G235" s="865"/>
      <c r="H235" s="1061" t="str">
        <f>'BID 1 b'!B1290</f>
        <v>Penyelenggaraan Musyawarah Desa/ Pembahasan APBDes (Musrenbangdes)</v>
      </c>
      <c r="I235" s="1063">
        <f>SUM(I236:I244)</f>
        <v>35400000</v>
      </c>
      <c r="J235" s="1061" t="s">
        <v>1506</v>
      </c>
      <c r="K235" s="1061" t="s">
        <v>3597</v>
      </c>
      <c r="L235" s="1063"/>
      <c r="M235" s="1063"/>
      <c r="N235" s="1063"/>
      <c r="O235" s="1063"/>
      <c r="P235" s="1063"/>
      <c r="Q235" s="1063"/>
      <c r="R235" s="1063"/>
      <c r="S235" s="1063"/>
      <c r="T235" s="1063"/>
      <c r="U235" s="1063"/>
      <c r="V235" s="1063"/>
      <c r="W235" s="1063"/>
      <c r="X235" s="1866">
        <f t="shared" si="8"/>
        <v>0</v>
      </c>
      <c r="Y235" s="23">
        <f t="shared" si="7"/>
        <v>-35400000</v>
      </c>
    </row>
    <row r="236" spans="1:25" x14ac:dyDescent="0.25">
      <c r="A236" s="1"/>
      <c r="B236" s="1"/>
      <c r="C236" s="1"/>
      <c r="D236" s="1">
        <v>5</v>
      </c>
      <c r="E236" s="1">
        <v>2</v>
      </c>
      <c r="F236" s="1"/>
      <c r="G236" s="1"/>
      <c r="H236" s="4" t="str">
        <f>'BID 1 b'!B1296</f>
        <v>Belanja Barang Jasa</v>
      </c>
      <c r="I236" s="73"/>
      <c r="J236" s="1"/>
      <c r="K236" s="4" t="s">
        <v>3597</v>
      </c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1864">
        <f t="shared" si="8"/>
        <v>0</v>
      </c>
      <c r="Y236" s="23">
        <f t="shared" ref="Y236:Y299" si="9">X236-I236</f>
        <v>0</v>
      </c>
    </row>
    <row r="237" spans="1:25" ht="30" x14ac:dyDescent="0.25">
      <c r="A237" s="1"/>
      <c r="B237" s="1"/>
      <c r="C237" s="1"/>
      <c r="D237" s="1"/>
      <c r="E237" s="1"/>
      <c r="F237" s="1">
        <v>1</v>
      </c>
      <c r="G237" s="1"/>
      <c r="H237" s="4" t="str">
        <f>'BID 1 b'!B1297</f>
        <v>Belanja Barang Perlengkapan</v>
      </c>
      <c r="I237" s="73"/>
      <c r="J237" s="1"/>
      <c r="K237" s="4" t="s">
        <v>3597</v>
      </c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1864">
        <f t="shared" si="8"/>
        <v>0</v>
      </c>
      <c r="Y237" s="23">
        <f t="shared" si="9"/>
        <v>0</v>
      </c>
    </row>
    <row r="238" spans="1:25" ht="60" x14ac:dyDescent="0.25">
      <c r="A238" s="1"/>
      <c r="B238" s="1"/>
      <c r="C238" s="1"/>
      <c r="D238" s="1"/>
      <c r="E238" s="1"/>
      <c r="F238" s="1"/>
      <c r="G238" s="1489" t="s">
        <v>3391</v>
      </c>
      <c r="H238" s="4" t="str">
        <f>'BID 1 b'!B1298</f>
        <v>Belanja perlengkapan barang konsumsi (makan/minum)- Belanja Barang Konsumsi</v>
      </c>
      <c r="I238" s="73">
        <f>SUM('BID 1 b'!F1299)</f>
        <v>30000000</v>
      </c>
      <c r="J238" s="4" t="s">
        <v>1506</v>
      </c>
      <c r="K238" s="4" t="s">
        <v>3597</v>
      </c>
      <c r="L238" s="73"/>
      <c r="M238" s="73"/>
      <c r="N238" s="73"/>
      <c r="O238" s="73"/>
      <c r="P238" s="73"/>
      <c r="Q238" s="73"/>
      <c r="R238" s="73"/>
      <c r="S238" s="73"/>
      <c r="T238" s="73">
        <v>30000000</v>
      </c>
      <c r="U238" s="73"/>
      <c r="V238" s="73"/>
      <c r="W238" s="73"/>
      <c r="X238" s="1864">
        <f t="shared" si="8"/>
        <v>30000000</v>
      </c>
      <c r="Y238" s="23">
        <f t="shared" si="9"/>
        <v>0</v>
      </c>
    </row>
    <row r="239" spans="1:25" x14ac:dyDescent="0.25">
      <c r="A239" s="1"/>
      <c r="B239" s="1"/>
      <c r="C239" s="1"/>
      <c r="D239" s="1"/>
      <c r="E239" s="1"/>
      <c r="F239" s="1"/>
      <c r="G239" s="1489" t="s">
        <v>3393</v>
      </c>
      <c r="H239" s="1" t="str">
        <f>'BID 1 b'!B1301</f>
        <v>Belanja Sepanduk</v>
      </c>
      <c r="I239" s="73">
        <f>'BID 1 b'!F1302</f>
        <v>360000</v>
      </c>
      <c r="J239" s="4" t="s">
        <v>1506</v>
      </c>
      <c r="K239" s="4" t="s">
        <v>3597</v>
      </c>
      <c r="L239" s="73"/>
      <c r="M239" s="73"/>
      <c r="N239" s="73"/>
      <c r="O239" s="73"/>
      <c r="P239" s="73"/>
      <c r="Q239" s="73"/>
      <c r="R239" s="73"/>
      <c r="S239" s="73"/>
      <c r="T239" s="73">
        <v>360000</v>
      </c>
      <c r="U239" s="73"/>
      <c r="V239" s="73"/>
      <c r="W239" s="73"/>
      <c r="X239" s="1864">
        <f t="shared" si="8"/>
        <v>360000</v>
      </c>
      <c r="Y239" s="23">
        <f t="shared" si="9"/>
        <v>0</v>
      </c>
    </row>
    <row r="240" spans="1:25" ht="30" x14ac:dyDescent="0.25">
      <c r="A240" s="1"/>
      <c r="B240" s="1"/>
      <c r="C240" s="1"/>
      <c r="D240" s="1"/>
      <c r="E240" s="1"/>
      <c r="F240" s="1"/>
      <c r="G240" s="1">
        <v>90</v>
      </c>
      <c r="H240" s="4" t="str">
        <f>'BID 1 b'!B1304</f>
        <v>Belanja Upakara, Upacara Dan Aci- Aci</v>
      </c>
      <c r="I240" s="73">
        <f>SUM('BID 1 b'!F1305:F1307)</f>
        <v>640000</v>
      </c>
      <c r="J240" s="4" t="s">
        <v>1506</v>
      </c>
      <c r="K240" s="4" t="s">
        <v>3597</v>
      </c>
      <c r="L240" s="73"/>
      <c r="M240" s="73"/>
      <c r="N240" s="73"/>
      <c r="O240" s="73"/>
      <c r="P240" s="73"/>
      <c r="Q240" s="73"/>
      <c r="R240" s="73"/>
      <c r="S240" s="73"/>
      <c r="T240" s="73">
        <v>640000</v>
      </c>
      <c r="U240" s="73"/>
      <c r="V240" s="73"/>
      <c r="W240" s="73"/>
      <c r="X240" s="1864">
        <f t="shared" si="8"/>
        <v>640000</v>
      </c>
      <c r="Y240" s="23">
        <f t="shared" si="9"/>
        <v>0</v>
      </c>
    </row>
    <row r="241" spans="1:25" x14ac:dyDescent="0.25">
      <c r="A241" s="1"/>
      <c r="B241" s="1"/>
      <c r="C241" s="1"/>
      <c r="D241" s="1">
        <v>5</v>
      </c>
      <c r="E241" s="1">
        <v>2</v>
      </c>
      <c r="F241" s="1">
        <v>2</v>
      </c>
      <c r="G241" s="1"/>
      <c r="H241" s="1" t="str">
        <f>'BID 1 b'!B1309</f>
        <v>Belanja  Jasa Honorarium</v>
      </c>
      <c r="I241" s="73"/>
      <c r="J241" s="1"/>
      <c r="K241" s="4" t="s">
        <v>3597</v>
      </c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1864">
        <f t="shared" si="8"/>
        <v>0</v>
      </c>
      <c r="Y241" s="23">
        <f t="shared" si="9"/>
        <v>0</v>
      </c>
    </row>
    <row r="242" spans="1:25" ht="30" x14ac:dyDescent="0.25">
      <c r="A242" s="1"/>
      <c r="B242" s="1"/>
      <c r="C242" s="1"/>
      <c r="D242" s="1"/>
      <c r="E242" s="1"/>
      <c r="F242" s="1"/>
      <c r="G242" s="1489" t="s">
        <v>3391</v>
      </c>
      <c r="H242" s="4" t="str">
        <f>'BID 1 b'!B1310</f>
        <v>Belanja Jasa Honorarium Petugas</v>
      </c>
      <c r="I242" s="73">
        <f>'BID 1 b'!F1311</f>
        <v>400000</v>
      </c>
      <c r="J242" s="4" t="s">
        <v>1506</v>
      </c>
      <c r="K242" s="4" t="s">
        <v>3597</v>
      </c>
      <c r="L242" s="73"/>
      <c r="M242" s="73"/>
      <c r="N242" s="73"/>
      <c r="O242" s="73"/>
      <c r="P242" s="73"/>
      <c r="Q242" s="73"/>
      <c r="R242" s="73"/>
      <c r="S242" s="73"/>
      <c r="T242" s="73">
        <v>400000</v>
      </c>
      <c r="U242" s="73"/>
      <c r="V242" s="73"/>
      <c r="W242" s="73"/>
      <c r="X242" s="1864">
        <f t="shared" si="8"/>
        <v>400000</v>
      </c>
      <c r="Y242" s="23">
        <f t="shared" si="9"/>
        <v>0</v>
      </c>
    </row>
    <row r="243" spans="1:25" ht="45" x14ac:dyDescent="0.25">
      <c r="A243" s="1"/>
      <c r="B243" s="1"/>
      <c r="C243" s="1"/>
      <c r="D243" s="1">
        <v>5</v>
      </c>
      <c r="E243" s="1">
        <v>2</v>
      </c>
      <c r="F243" s="1">
        <v>7</v>
      </c>
      <c r="G243" s="1"/>
      <c r="H243" s="4" t="str">
        <f>'BID 1 b'!B1312</f>
        <v>Belanja Barang Jasa yang diserahkan kepada masyarakat</v>
      </c>
      <c r="I243" s="73"/>
      <c r="J243" s="1"/>
      <c r="K243" s="4" t="s">
        <v>3597</v>
      </c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1864">
        <f t="shared" si="8"/>
        <v>0</v>
      </c>
      <c r="Y243" s="23">
        <f t="shared" si="9"/>
        <v>0</v>
      </c>
    </row>
    <row r="244" spans="1:25" x14ac:dyDescent="0.25">
      <c r="A244" s="1"/>
      <c r="B244" s="1"/>
      <c r="C244" s="1"/>
      <c r="D244" s="1"/>
      <c r="E244" s="1"/>
      <c r="F244" s="1"/>
      <c r="G244" s="1">
        <v>91</v>
      </c>
      <c r="H244" s="4" t="str">
        <f>'BID 1 b'!B1313</f>
        <v>Belanja uang Saku</v>
      </c>
      <c r="I244" s="73">
        <f>'BID 1 b'!F1314</f>
        <v>4000000</v>
      </c>
      <c r="J244" s="4" t="s">
        <v>1506</v>
      </c>
      <c r="K244" s="4" t="s">
        <v>3597</v>
      </c>
      <c r="L244" s="73"/>
      <c r="M244" s="73"/>
      <c r="N244" s="73"/>
      <c r="O244" s="73"/>
      <c r="P244" s="73"/>
      <c r="Q244" s="73"/>
      <c r="R244" s="73"/>
      <c r="S244" s="73"/>
      <c r="T244" s="73">
        <v>4000000</v>
      </c>
      <c r="U244" s="73"/>
      <c r="V244" s="73"/>
      <c r="W244" s="73"/>
      <c r="X244" s="1864">
        <f t="shared" ref="X244:X307" si="10">SUM(L244:W244)</f>
        <v>4000000</v>
      </c>
      <c r="Y244" s="23">
        <f t="shared" si="9"/>
        <v>0</v>
      </c>
    </row>
    <row r="245" spans="1:25" ht="105" x14ac:dyDescent="0.25">
      <c r="A245" s="865">
        <v>1</v>
      </c>
      <c r="B245" s="865">
        <v>4</v>
      </c>
      <c r="C245" s="1490" t="s">
        <v>3366</v>
      </c>
      <c r="D245" s="865"/>
      <c r="E245" s="865"/>
      <c r="F245" s="865"/>
      <c r="G245" s="865"/>
      <c r="H245" s="1061" t="str">
        <f>'BID 1 b'!B1333</f>
        <v>Penyelenggaraan Musyawarah Desa/ Pembahasan APBDes (Musdes, Musrenbangdes/pra musrenbangdes, dll yang bersifat reguler )</v>
      </c>
      <c r="I245" s="1063">
        <f>SUM(I246:I254)</f>
        <v>33176000</v>
      </c>
      <c r="J245" s="865" t="s">
        <v>1506</v>
      </c>
      <c r="K245" s="1061" t="s">
        <v>3597</v>
      </c>
      <c r="L245" s="1063"/>
      <c r="M245" s="1063"/>
      <c r="N245" s="1063"/>
      <c r="O245" s="1063"/>
      <c r="P245" s="1063"/>
      <c r="Q245" s="1063"/>
      <c r="R245" s="1063"/>
      <c r="S245" s="1063"/>
      <c r="T245" s="1063"/>
      <c r="U245" s="1063"/>
      <c r="V245" s="1063"/>
      <c r="W245" s="1063"/>
      <c r="X245" s="1866">
        <f t="shared" si="10"/>
        <v>0</v>
      </c>
      <c r="Y245" s="23">
        <f t="shared" si="9"/>
        <v>-33176000</v>
      </c>
    </row>
    <row r="246" spans="1:25" x14ac:dyDescent="0.25">
      <c r="A246" s="1"/>
      <c r="B246" s="1"/>
      <c r="C246" s="1"/>
      <c r="D246" s="1">
        <v>5</v>
      </c>
      <c r="E246" s="1">
        <v>2</v>
      </c>
      <c r="F246" s="1"/>
      <c r="G246" s="1"/>
      <c r="H246" s="4" t="str">
        <f>'BID 1 b'!B1339</f>
        <v>Belanja Barang Jasa</v>
      </c>
      <c r="I246" s="73"/>
      <c r="J246" s="1"/>
      <c r="K246" s="4" t="s">
        <v>3597</v>
      </c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1864">
        <f t="shared" si="10"/>
        <v>0</v>
      </c>
      <c r="Y246" s="23">
        <f t="shared" si="9"/>
        <v>0</v>
      </c>
    </row>
    <row r="247" spans="1:25" ht="30" x14ac:dyDescent="0.25">
      <c r="A247" s="1"/>
      <c r="B247" s="1"/>
      <c r="C247" s="1"/>
      <c r="D247" s="1"/>
      <c r="E247" s="1"/>
      <c r="F247" s="1">
        <v>1</v>
      </c>
      <c r="G247" s="1"/>
      <c r="H247" s="4" t="str">
        <f>'BID 1 b'!B1340</f>
        <v>Belanja Barang Perlengkapan</v>
      </c>
      <c r="I247" s="73"/>
      <c r="J247" s="1"/>
      <c r="K247" s="4" t="s">
        <v>3597</v>
      </c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1864">
        <f t="shared" si="10"/>
        <v>0</v>
      </c>
      <c r="Y247" s="23">
        <f t="shared" si="9"/>
        <v>0</v>
      </c>
    </row>
    <row r="248" spans="1:25" ht="60" x14ac:dyDescent="0.25">
      <c r="A248" s="1"/>
      <c r="B248" s="1"/>
      <c r="C248" s="1"/>
      <c r="D248" s="1"/>
      <c r="E248" s="1"/>
      <c r="F248" s="1"/>
      <c r="G248" s="1489" t="s">
        <v>3391</v>
      </c>
      <c r="H248" s="4" t="str">
        <f>'BID 1 b'!B1341</f>
        <v>Belanja perlengkapan barang konsumsi (makan/minum)- Belanja Barang Konsumsi</v>
      </c>
      <c r="I248" s="73">
        <f>SUM('BID 1 b'!F1342)</f>
        <v>24000000</v>
      </c>
      <c r="J248" s="1" t="s">
        <v>1506</v>
      </c>
      <c r="K248" s="4" t="s">
        <v>3597</v>
      </c>
      <c r="L248" s="73">
        <v>6000000</v>
      </c>
      <c r="M248" s="73"/>
      <c r="N248" s="73">
        <v>6000000</v>
      </c>
      <c r="O248" s="73"/>
      <c r="P248" s="73"/>
      <c r="Q248" s="73">
        <v>6000000</v>
      </c>
      <c r="R248" s="73"/>
      <c r="S248" s="73"/>
      <c r="T248" s="73"/>
      <c r="U248" s="73"/>
      <c r="V248" s="73"/>
      <c r="W248" s="73">
        <v>6000000</v>
      </c>
      <c r="X248" s="1864">
        <f t="shared" si="10"/>
        <v>24000000</v>
      </c>
      <c r="Y248" s="23">
        <f t="shared" si="9"/>
        <v>0</v>
      </c>
    </row>
    <row r="249" spans="1:25" x14ac:dyDescent="0.25">
      <c r="A249" s="1"/>
      <c r="B249" s="1"/>
      <c r="C249" s="1"/>
      <c r="D249" s="1"/>
      <c r="E249" s="1"/>
      <c r="F249" s="1"/>
      <c r="G249" s="1489" t="s">
        <v>3393</v>
      </c>
      <c r="H249" s="1" t="str">
        <f>'BID 1 b'!B1343</f>
        <v>Belanja Sepanduk</v>
      </c>
      <c r="I249" s="73">
        <f>'BID 1 b'!F1344</f>
        <v>360000</v>
      </c>
      <c r="J249" s="1" t="s">
        <v>1506</v>
      </c>
      <c r="K249" s="4" t="s">
        <v>3597</v>
      </c>
      <c r="L249" s="73">
        <v>90000</v>
      </c>
      <c r="M249" s="73"/>
      <c r="N249" s="73">
        <v>90000</v>
      </c>
      <c r="O249" s="73"/>
      <c r="P249" s="73"/>
      <c r="Q249" s="73">
        <v>90000</v>
      </c>
      <c r="R249" s="73"/>
      <c r="S249" s="73"/>
      <c r="T249" s="73"/>
      <c r="U249" s="73"/>
      <c r="V249" s="73"/>
      <c r="W249" s="73">
        <v>90000</v>
      </c>
      <c r="X249" s="1864">
        <f t="shared" si="10"/>
        <v>360000</v>
      </c>
      <c r="Y249" s="23">
        <f t="shared" si="9"/>
        <v>0</v>
      </c>
    </row>
    <row r="250" spans="1:25" ht="30" x14ac:dyDescent="0.25">
      <c r="A250" s="1"/>
      <c r="B250" s="1"/>
      <c r="C250" s="1"/>
      <c r="D250" s="1"/>
      <c r="E250" s="1"/>
      <c r="F250" s="1"/>
      <c r="G250" s="1">
        <v>90</v>
      </c>
      <c r="H250" s="4" t="str">
        <f>'BID 1 b'!B1345</f>
        <v>Belanja Upakara, Upacara Dan Aci- Aci</v>
      </c>
      <c r="I250" s="73">
        <f>SUM('BID 1 b'!F1346:F1349)</f>
        <v>416000</v>
      </c>
      <c r="J250" s="1" t="s">
        <v>1506</v>
      </c>
      <c r="K250" s="4" t="s">
        <v>3597</v>
      </c>
      <c r="L250" s="73">
        <v>104000</v>
      </c>
      <c r="M250" s="73"/>
      <c r="N250" s="73">
        <v>104000</v>
      </c>
      <c r="O250" s="73"/>
      <c r="P250" s="73"/>
      <c r="Q250" s="73">
        <v>104000</v>
      </c>
      <c r="R250" s="73"/>
      <c r="S250" s="73"/>
      <c r="T250" s="73"/>
      <c r="U250" s="73"/>
      <c r="V250" s="73"/>
      <c r="W250" s="73">
        <v>104000</v>
      </c>
      <c r="X250" s="1864">
        <f t="shared" si="10"/>
        <v>416000</v>
      </c>
      <c r="Y250" s="23">
        <f t="shared" si="9"/>
        <v>0</v>
      </c>
    </row>
    <row r="251" spans="1:25" x14ac:dyDescent="0.25">
      <c r="A251" s="1"/>
      <c r="B251" s="1"/>
      <c r="C251" s="1"/>
      <c r="D251" s="1">
        <v>5</v>
      </c>
      <c r="E251" s="1">
        <v>2</v>
      </c>
      <c r="F251" s="1">
        <v>2</v>
      </c>
      <c r="G251" s="1"/>
      <c r="H251" s="1" t="str">
        <f>'BID 1 b'!B1351</f>
        <v>Belanja  Jasa Honorarium</v>
      </c>
      <c r="I251" s="73"/>
      <c r="J251" s="1"/>
      <c r="K251" s="4" t="s">
        <v>3597</v>
      </c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1864">
        <f t="shared" si="10"/>
        <v>0</v>
      </c>
      <c r="Y251" s="23">
        <f t="shared" si="9"/>
        <v>0</v>
      </c>
    </row>
    <row r="252" spans="1:25" ht="30" x14ac:dyDescent="0.25">
      <c r="A252" s="1"/>
      <c r="B252" s="1"/>
      <c r="C252" s="1"/>
      <c r="D252" s="1"/>
      <c r="E252" s="1"/>
      <c r="F252" s="1"/>
      <c r="G252" s="1489" t="s">
        <v>3390</v>
      </c>
      <c r="H252" s="4" t="str">
        <f>'BID 1 b'!B1352</f>
        <v>Belanja Jasa Honorarium Petugas</v>
      </c>
      <c r="I252" s="73">
        <f>'BID 1 b'!F1353</f>
        <v>400000</v>
      </c>
      <c r="J252" s="1" t="s">
        <v>1506</v>
      </c>
      <c r="K252" s="4" t="s">
        <v>3597</v>
      </c>
      <c r="L252" s="73">
        <v>100000</v>
      </c>
      <c r="M252" s="73"/>
      <c r="N252" s="73">
        <v>100000</v>
      </c>
      <c r="O252" s="73"/>
      <c r="P252" s="73"/>
      <c r="Q252" s="73">
        <v>100000</v>
      </c>
      <c r="R252" s="73"/>
      <c r="S252" s="73"/>
      <c r="T252" s="73"/>
      <c r="U252" s="73"/>
      <c r="V252" s="73"/>
      <c r="W252" s="73">
        <v>100000</v>
      </c>
      <c r="X252" s="1864">
        <f t="shared" si="10"/>
        <v>400000</v>
      </c>
      <c r="Y252" s="23">
        <f t="shared" si="9"/>
        <v>0</v>
      </c>
    </row>
    <row r="253" spans="1:25" ht="45" x14ac:dyDescent="0.25">
      <c r="A253" s="1"/>
      <c r="B253" s="1"/>
      <c r="C253" s="1"/>
      <c r="D253" s="1">
        <v>5</v>
      </c>
      <c r="E253" s="1">
        <v>2</v>
      </c>
      <c r="F253" s="1">
        <v>7</v>
      </c>
      <c r="G253" s="1"/>
      <c r="H253" s="4" t="str">
        <f>'BID 1 b'!B1355</f>
        <v>Belanja Barang Jasa yang diserahkan kepada masyarakat</v>
      </c>
      <c r="I253" s="73"/>
      <c r="J253" s="1"/>
      <c r="K253" s="4" t="s">
        <v>3597</v>
      </c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1864">
        <f t="shared" si="10"/>
        <v>0</v>
      </c>
      <c r="Y253" s="23">
        <f t="shared" si="9"/>
        <v>0</v>
      </c>
    </row>
    <row r="254" spans="1:25" x14ac:dyDescent="0.25">
      <c r="A254" s="1"/>
      <c r="B254" s="1"/>
      <c r="C254" s="1"/>
      <c r="D254" s="1"/>
      <c r="E254" s="1"/>
      <c r="F254" s="1"/>
      <c r="G254" s="1">
        <v>91</v>
      </c>
      <c r="H254" s="1" t="str">
        <f>'BID 1 b'!B1356</f>
        <v>Belanja Uang Saku</v>
      </c>
      <c r="I254" s="73">
        <f>'BID 1 b'!F1357</f>
        <v>8000000</v>
      </c>
      <c r="J254" s="1" t="s">
        <v>1506</v>
      </c>
      <c r="K254" s="4" t="s">
        <v>3597</v>
      </c>
      <c r="L254" s="73">
        <v>2000000</v>
      </c>
      <c r="M254" s="73"/>
      <c r="N254" s="73">
        <v>2000000</v>
      </c>
      <c r="O254" s="73"/>
      <c r="P254" s="73"/>
      <c r="Q254" s="73">
        <v>2000000</v>
      </c>
      <c r="R254" s="73"/>
      <c r="S254" s="73"/>
      <c r="T254" s="73"/>
      <c r="U254" s="73"/>
      <c r="V254" s="73"/>
      <c r="W254" s="73">
        <v>2000000</v>
      </c>
      <c r="X254" s="1864">
        <f t="shared" si="10"/>
        <v>8000000</v>
      </c>
      <c r="Y254" s="23">
        <f t="shared" si="9"/>
        <v>0</v>
      </c>
    </row>
    <row r="255" spans="1:25" ht="45" x14ac:dyDescent="0.25">
      <c r="A255" s="865">
        <v>1</v>
      </c>
      <c r="B255" s="865">
        <v>4</v>
      </c>
      <c r="C255" s="1490" t="s">
        <v>3386</v>
      </c>
      <c r="D255" s="865"/>
      <c r="E255" s="865"/>
      <c r="F255" s="865"/>
      <c r="G255" s="865"/>
      <c r="H255" s="1061" t="str">
        <f>'BID 1 b'!B1376</f>
        <v>: Penyelenggaraan Musyawarah Desa lainya (yang bersifat non reguler )</v>
      </c>
      <c r="I255" s="1063">
        <f>SUM(I256:I264)</f>
        <v>24160000</v>
      </c>
      <c r="J255" s="865" t="s">
        <v>1220</v>
      </c>
      <c r="K255" s="1061" t="s">
        <v>3597</v>
      </c>
      <c r="L255" s="1063"/>
      <c r="M255" s="1063"/>
      <c r="N255" s="1063"/>
      <c r="O255" s="1063"/>
      <c r="P255" s="1063"/>
      <c r="Q255" s="1063"/>
      <c r="R255" s="1063"/>
      <c r="S255" s="1063"/>
      <c r="T255" s="1063"/>
      <c r="U255" s="1063"/>
      <c r="V255" s="1063"/>
      <c r="W255" s="1063"/>
      <c r="X255" s="1866">
        <f t="shared" si="10"/>
        <v>0</v>
      </c>
      <c r="Y255" s="23">
        <f t="shared" si="9"/>
        <v>-24160000</v>
      </c>
    </row>
    <row r="256" spans="1:25" x14ac:dyDescent="0.25">
      <c r="A256" s="1"/>
      <c r="B256" s="1"/>
      <c r="C256" s="1"/>
      <c r="D256" s="1">
        <v>5</v>
      </c>
      <c r="E256" s="1">
        <v>2</v>
      </c>
      <c r="F256" s="1"/>
      <c r="G256" s="1"/>
      <c r="H256" s="4" t="str">
        <f>'BID 1 b'!B1382</f>
        <v>Belanja Barang Jasa</v>
      </c>
      <c r="I256" s="73"/>
      <c r="J256" s="1"/>
      <c r="K256" s="4" t="s">
        <v>3597</v>
      </c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1864">
        <f t="shared" si="10"/>
        <v>0</v>
      </c>
      <c r="Y256" s="23">
        <f t="shared" si="9"/>
        <v>0</v>
      </c>
    </row>
    <row r="257" spans="1:25" ht="30" x14ac:dyDescent="0.25">
      <c r="A257" s="1"/>
      <c r="B257" s="1"/>
      <c r="C257" s="1"/>
      <c r="D257" s="1"/>
      <c r="E257" s="1"/>
      <c r="F257" s="1">
        <v>1</v>
      </c>
      <c r="G257" s="1"/>
      <c r="H257" s="4" t="str">
        <f>'BID 1 b'!B1383</f>
        <v>Belanja Barang Perlengkapan</v>
      </c>
      <c r="I257" s="73"/>
      <c r="J257" s="1"/>
      <c r="K257" s="4" t="s">
        <v>3597</v>
      </c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1864">
        <f t="shared" si="10"/>
        <v>0</v>
      </c>
      <c r="Y257" s="23">
        <f t="shared" si="9"/>
        <v>0</v>
      </c>
    </row>
    <row r="258" spans="1:25" ht="60" x14ac:dyDescent="0.25">
      <c r="A258" s="1"/>
      <c r="B258" s="1"/>
      <c r="C258" s="1"/>
      <c r="D258" s="1"/>
      <c r="E258" s="1"/>
      <c r="F258" s="1"/>
      <c r="G258" s="1489" t="s">
        <v>3391</v>
      </c>
      <c r="H258" s="4" t="str">
        <f>'BID 1 b'!B1384</f>
        <v>Belanja perlengkapan barang konsumsi (makan/minum)- Belanja Barang Konsumsi</v>
      </c>
      <c r="I258" s="73">
        <f>'BID 1 b'!F1385</f>
        <v>15000000</v>
      </c>
      <c r="J258" s="1" t="s">
        <v>1220</v>
      </c>
      <c r="K258" s="4" t="s">
        <v>3597</v>
      </c>
      <c r="L258" s="73"/>
      <c r="M258" s="73"/>
      <c r="N258" s="73">
        <v>7500000</v>
      </c>
      <c r="O258" s="73"/>
      <c r="P258" s="73"/>
      <c r="Q258" s="73">
        <v>7500000</v>
      </c>
      <c r="R258" s="73"/>
      <c r="S258" s="73"/>
      <c r="T258" s="73"/>
      <c r="U258" s="73"/>
      <c r="V258" s="73"/>
      <c r="W258" s="73"/>
      <c r="X258" s="1864">
        <f t="shared" si="10"/>
        <v>15000000</v>
      </c>
      <c r="Y258" s="23">
        <f t="shared" si="9"/>
        <v>0</v>
      </c>
    </row>
    <row r="259" spans="1:25" x14ac:dyDescent="0.25">
      <c r="A259" s="1"/>
      <c r="B259" s="1"/>
      <c r="C259" s="1"/>
      <c r="D259" s="1"/>
      <c r="E259" s="1"/>
      <c r="F259" s="1"/>
      <c r="G259" s="1489" t="s">
        <v>3393</v>
      </c>
      <c r="H259" s="1" t="str">
        <f>'BID 1 b'!B1387</f>
        <v>Belanja Sepanduk</v>
      </c>
      <c r="I259" s="73">
        <f>'BID 1 b'!F1388</f>
        <v>360000</v>
      </c>
      <c r="J259" s="1" t="s">
        <v>1220</v>
      </c>
      <c r="K259" s="4" t="s">
        <v>3597</v>
      </c>
      <c r="L259" s="73"/>
      <c r="M259" s="73"/>
      <c r="N259" s="73">
        <v>180000</v>
      </c>
      <c r="O259" s="73"/>
      <c r="P259" s="73"/>
      <c r="Q259" s="73">
        <v>180000</v>
      </c>
      <c r="R259" s="73"/>
      <c r="S259" s="73"/>
      <c r="T259" s="73"/>
      <c r="U259" s="73"/>
      <c r="V259" s="73"/>
      <c r="W259" s="73"/>
      <c r="X259" s="1864">
        <f t="shared" si="10"/>
        <v>360000</v>
      </c>
      <c r="Y259" s="23">
        <f t="shared" si="9"/>
        <v>0</v>
      </c>
    </row>
    <row r="260" spans="1:25" ht="30" x14ac:dyDescent="0.25">
      <c r="A260" s="1"/>
      <c r="B260" s="1"/>
      <c r="C260" s="1"/>
      <c r="D260" s="1"/>
      <c r="E260" s="1"/>
      <c r="F260" s="1"/>
      <c r="G260" s="1">
        <v>90</v>
      </c>
      <c r="H260" s="4" t="str">
        <f>'BID 1 b'!B1389</f>
        <v>Belanja Upakara, Upacara Dan Aci- Aci</v>
      </c>
      <c r="I260" s="73">
        <f>SUM('BID 1 b'!F1390:F1392)</f>
        <v>400000</v>
      </c>
      <c r="J260" s="1" t="s">
        <v>1220</v>
      </c>
      <c r="K260" s="4" t="s">
        <v>3597</v>
      </c>
      <c r="L260" s="73"/>
      <c r="M260" s="73"/>
      <c r="N260" s="73">
        <v>200000</v>
      </c>
      <c r="O260" s="73"/>
      <c r="P260" s="73"/>
      <c r="Q260" s="73">
        <v>200000</v>
      </c>
      <c r="R260" s="73"/>
      <c r="S260" s="73"/>
      <c r="T260" s="73"/>
      <c r="U260" s="73"/>
      <c r="V260" s="73"/>
      <c r="W260" s="73"/>
      <c r="X260" s="1864">
        <f t="shared" si="10"/>
        <v>400000</v>
      </c>
      <c r="Y260" s="23">
        <f t="shared" si="9"/>
        <v>0</v>
      </c>
    </row>
    <row r="261" spans="1:25" x14ac:dyDescent="0.25">
      <c r="A261" s="1"/>
      <c r="B261" s="1"/>
      <c r="C261" s="1"/>
      <c r="D261" s="1">
        <v>5</v>
      </c>
      <c r="E261" s="1">
        <v>2</v>
      </c>
      <c r="F261" s="1">
        <v>2</v>
      </c>
      <c r="G261" s="1"/>
      <c r="H261" s="4" t="str">
        <f>'BID 1 b'!B1394</f>
        <v>Belanja  Jasa Honorarium</v>
      </c>
      <c r="I261" s="73"/>
      <c r="J261" s="1"/>
      <c r="K261" s="4" t="s">
        <v>3597</v>
      </c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1864">
        <f t="shared" si="10"/>
        <v>0</v>
      </c>
      <c r="Y261" s="23">
        <f t="shared" si="9"/>
        <v>0</v>
      </c>
    </row>
    <row r="262" spans="1:25" ht="30" x14ac:dyDescent="0.25">
      <c r="A262" s="1"/>
      <c r="B262" s="1"/>
      <c r="C262" s="1"/>
      <c r="D262" s="1"/>
      <c r="E262" s="1"/>
      <c r="F262" s="1"/>
      <c r="G262" s="1489" t="s">
        <v>3390</v>
      </c>
      <c r="H262" s="4" t="str">
        <f>'BID 1 b'!B1395</f>
        <v>Belanja Jasa Honorarium Petugas</v>
      </c>
      <c r="I262" s="73">
        <f>'BID 1 b'!F1396</f>
        <v>400000</v>
      </c>
      <c r="J262" s="1" t="s">
        <v>1220</v>
      </c>
      <c r="K262" s="4" t="s">
        <v>3597</v>
      </c>
      <c r="L262" s="73"/>
      <c r="M262" s="73"/>
      <c r="N262" s="73">
        <v>200000</v>
      </c>
      <c r="O262" s="73"/>
      <c r="P262" s="73"/>
      <c r="Q262" s="73">
        <v>200000</v>
      </c>
      <c r="R262" s="73"/>
      <c r="S262" s="73"/>
      <c r="T262" s="73"/>
      <c r="U262" s="73"/>
      <c r="V262" s="73"/>
      <c r="W262" s="73"/>
      <c r="X262" s="1864">
        <f t="shared" si="10"/>
        <v>400000</v>
      </c>
      <c r="Y262" s="23">
        <f t="shared" si="9"/>
        <v>0</v>
      </c>
    </row>
    <row r="263" spans="1:25" ht="45" x14ac:dyDescent="0.25">
      <c r="A263" s="1"/>
      <c r="B263" s="1"/>
      <c r="C263" s="1"/>
      <c r="D263" s="1">
        <v>5</v>
      </c>
      <c r="E263" s="1">
        <v>2</v>
      </c>
      <c r="F263" s="1">
        <v>7</v>
      </c>
      <c r="G263" s="1"/>
      <c r="H263" s="4" t="str">
        <f>'BID 1 b'!B1398</f>
        <v>Belanja Barang Jasa yang diserahkan kepada masyarakat</v>
      </c>
      <c r="I263" s="73"/>
      <c r="J263" s="1"/>
      <c r="K263" s="4" t="s">
        <v>3597</v>
      </c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1864">
        <f t="shared" si="10"/>
        <v>0</v>
      </c>
      <c r="Y263" s="23">
        <f t="shared" si="9"/>
        <v>0</v>
      </c>
    </row>
    <row r="264" spans="1:25" x14ac:dyDescent="0.25">
      <c r="A264" s="1"/>
      <c r="B264" s="1"/>
      <c r="C264" s="1"/>
      <c r="D264" s="1"/>
      <c r="E264" s="1"/>
      <c r="F264" s="1"/>
      <c r="G264" s="1">
        <v>91</v>
      </c>
      <c r="H264" s="4" t="str">
        <f>'BID 1 b'!B1399</f>
        <v>Belanja Uang Saku</v>
      </c>
      <c r="I264" s="73">
        <f>'BID 1 b'!F1400</f>
        <v>8000000</v>
      </c>
      <c r="J264" s="1" t="s">
        <v>1220</v>
      </c>
      <c r="K264" s="4" t="s">
        <v>3597</v>
      </c>
      <c r="L264" s="73"/>
      <c r="M264" s="73"/>
      <c r="N264" s="73">
        <v>4000000</v>
      </c>
      <c r="O264" s="73"/>
      <c r="P264" s="73"/>
      <c r="Q264" s="73">
        <v>4000000</v>
      </c>
      <c r="R264" s="73"/>
      <c r="S264" s="73"/>
      <c r="T264" s="73"/>
      <c r="U264" s="73"/>
      <c r="V264" s="73"/>
      <c r="W264" s="73"/>
      <c r="X264" s="1864">
        <f t="shared" si="10"/>
        <v>8000000</v>
      </c>
      <c r="Y264" s="23">
        <f t="shared" si="9"/>
        <v>0</v>
      </c>
    </row>
    <row r="265" spans="1:25" ht="45" x14ac:dyDescent="0.25">
      <c r="A265" s="865">
        <v>1</v>
      </c>
      <c r="B265" s="865">
        <v>4</v>
      </c>
      <c r="C265" s="1490" t="s">
        <v>3388</v>
      </c>
      <c r="D265" s="865"/>
      <c r="E265" s="865"/>
      <c r="F265" s="865"/>
      <c r="G265" s="865"/>
      <c r="H265" s="1061" t="str">
        <f>'BID 1 b'!B1416</f>
        <v>Penyusunan Dokumen Perencanaan Desa (RKP Desa 2027)</v>
      </c>
      <c r="I265" s="1063">
        <f>SUM(I266:I271)</f>
        <v>34540000</v>
      </c>
      <c r="J265" s="1061" t="s">
        <v>1220</v>
      </c>
      <c r="K265" s="1061" t="s">
        <v>3597</v>
      </c>
      <c r="L265" s="1063"/>
      <c r="M265" s="1063"/>
      <c r="N265" s="1063"/>
      <c r="O265" s="1063"/>
      <c r="P265" s="1063"/>
      <c r="Q265" s="1063"/>
      <c r="R265" s="1063"/>
      <c r="S265" s="1063"/>
      <c r="T265" s="1063"/>
      <c r="U265" s="1063"/>
      <c r="V265" s="1063"/>
      <c r="W265" s="1063"/>
      <c r="X265" s="1866">
        <f t="shared" si="10"/>
        <v>0</v>
      </c>
      <c r="Y265" s="23">
        <f t="shared" si="9"/>
        <v>-34540000</v>
      </c>
    </row>
    <row r="266" spans="1:25" x14ac:dyDescent="0.25">
      <c r="A266" s="1"/>
      <c r="B266" s="1"/>
      <c r="C266" s="1"/>
      <c r="D266" s="1">
        <v>5</v>
      </c>
      <c r="E266" s="1">
        <v>2</v>
      </c>
      <c r="F266" s="1"/>
      <c r="G266" s="1"/>
      <c r="H266" s="4" t="str">
        <f>'BID 1 b'!B1421</f>
        <v>Belanja Barang Jasa</v>
      </c>
      <c r="I266" s="73"/>
      <c r="J266" s="1"/>
      <c r="K266" s="4" t="s">
        <v>3597</v>
      </c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1864">
        <f t="shared" si="10"/>
        <v>0</v>
      </c>
      <c r="Y266" s="23">
        <f t="shared" si="9"/>
        <v>0</v>
      </c>
    </row>
    <row r="267" spans="1:25" ht="30" x14ac:dyDescent="0.25">
      <c r="A267" s="1"/>
      <c r="B267" s="1"/>
      <c r="C267" s="1"/>
      <c r="D267" s="1"/>
      <c r="E267" s="1"/>
      <c r="F267" s="1">
        <v>1</v>
      </c>
      <c r="G267" s="1"/>
      <c r="H267" s="4" t="str">
        <f>'BID 1 b'!B1422</f>
        <v>Belanja Barang Perlengkapan</v>
      </c>
      <c r="I267" s="73"/>
      <c r="J267" s="1"/>
      <c r="K267" s="4" t="s">
        <v>3597</v>
      </c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1864">
        <f t="shared" si="10"/>
        <v>0</v>
      </c>
      <c r="Y267" s="23">
        <f t="shared" si="9"/>
        <v>0</v>
      </c>
    </row>
    <row r="268" spans="1:25" ht="45" x14ac:dyDescent="0.25">
      <c r="A268" s="1"/>
      <c r="B268" s="1"/>
      <c r="C268" s="1"/>
      <c r="D268" s="1"/>
      <c r="E268" s="1"/>
      <c r="F268" s="1"/>
      <c r="G268" s="1489" t="s">
        <v>3390</v>
      </c>
      <c r="H268" s="4" t="str">
        <f>'BID 1 b'!B1423</f>
        <v>Belanja perlengkapan cetak/pengadaan - belanja barang cetak dan pengadaan</v>
      </c>
      <c r="I268" s="73">
        <f>'BID 1 b'!F1424</f>
        <v>1800000</v>
      </c>
      <c r="J268" s="4" t="s">
        <v>1220</v>
      </c>
      <c r="K268" s="4" t="s">
        <v>3597</v>
      </c>
      <c r="L268" s="73"/>
      <c r="M268" s="73"/>
      <c r="N268" s="73"/>
      <c r="O268" s="73"/>
      <c r="P268" s="73"/>
      <c r="Q268" s="73">
        <v>900000</v>
      </c>
      <c r="R268" s="73">
        <v>900000</v>
      </c>
      <c r="S268" s="73"/>
      <c r="T268" s="73"/>
      <c r="U268" s="73"/>
      <c r="V268" s="73"/>
      <c r="W268" s="73"/>
      <c r="X268" s="1864">
        <f t="shared" si="10"/>
        <v>1800000</v>
      </c>
      <c r="Y268" s="23">
        <f t="shared" si="9"/>
        <v>0</v>
      </c>
    </row>
    <row r="269" spans="1:25" ht="60" x14ac:dyDescent="0.25">
      <c r="A269" s="1"/>
      <c r="B269" s="1"/>
      <c r="C269" s="1"/>
      <c r="D269" s="1"/>
      <c r="E269" s="1"/>
      <c r="F269" s="1"/>
      <c r="G269" s="1489" t="s">
        <v>3391</v>
      </c>
      <c r="H269" s="4" t="str">
        <f>'BID 1 b'!B1426</f>
        <v>Belanja perlengkapan barang konsumsi (makan/minum)- Belanja Barang Konsumsi</v>
      </c>
      <c r="I269" s="73">
        <f>'BID 1 b'!F1427</f>
        <v>2640000</v>
      </c>
      <c r="J269" s="4" t="s">
        <v>1220</v>
      </c>
      <c r="K269" s="4" t="s">
        <v>3597</v>
      </c>
      <c r="L269" s="73"/>
      <c r="M269" s="73"/>
      <c r="N269" s="73"/>
      <c r="O269" s="73"/>
      <c r="P269" s="73"/>
      <c r="Q269" s="73">
        <v>1320000</v>
      </c>
      <c r="R269" s="73">
        <v>1320000</v>
      </c>
      <c r="S269" s="73"/>
      <c r="T269" s="73"/>
      <c r="U269" s="73"/>
      <c r="V269" s="73"/>
      <c r="W269" s="73"/>
      <c r="X269" s="1864">
        <f t="shared" si="10"/>
        <v>2640000</v>
      </c>
      <c r="Y269" s="23">
        <f t="shared" si="9"/>
        <v>0</v>
      </c>
    </row>
    <row r="270" spans="1:25" x14ac:dyDescent="0.25">
      <c r="A270" s="1"/>
      <c r="B270" s="1"/>
      <c r="C270" s="1"/>
      <c r="D270" s="1">
        <v>5</v>
      </c>
      <c r="E270" s="1">
        <v>2</v>
      </c>
      <c r="F270" s="1">
        <v>2</v>
      </c>
      <c r="G270" s="1"/>
      <c r="H270" s="4" t="str">
        <f>'BID 1 b'!B1429</f>
        <v>Belanja Jasa Honorarium</v>
      </c>
      <c r="I270" s="73"/>
      <c r="J270" s="1"/>
      <c r="K270" s="4" t="s">
        <v>3597</v>
      </c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1864">
        <f t="shared" si="10"/>
        <v>0</v>
      </c>
      <c r="Y270" s="23">
        <f t="shared" si="9"/>
        <v>0</v>
      </c>
    </row>
    <row r="271" spans="1:25" ht="30" x14ac:dyDescent="0.25">
      <c r="A271" s="1"/>
      <c r="B271" s="1"/>
      <c r="C271" s="1"/>
      <c r="D271" s="1"/>
      <c r="E271" s="1"/>
      <c r="F271" s="1"/>
      <c r="G271" s="1489" t="s">
        <v>3366</v>
      </c>
      <c r="H271" s="4" t="str">
        <f>'BID 1 b'!B1430</f>
        <v>Belanja Jasa Honorarium Tim yang melaksanakan kegiatan</v>
      </c>
      <c r="I271" s="73">
        <f>'BID 1 b'!F1432+'BID 1 b'!F1433+'BID 1 b'!F1434+'BID 1 b'!F1436+'BID 1 b'!F1437+'BID 1 b'!F1438+'BID 1 b'!F1439+'BID 1 b'!F1440</f>
        <v>30100000</v>
      </c>
      <c r="J271" s="4" t="s">
        <v>1220</v>
      </c>
      <c r="K271" s="4" t="s">
        <v>3597</v>
      </c>
      <c r="L271" s="73"/>
      <c r="M271" s="73"/>
      <c r="N271" s="73"/>
      <c r="O271" s="73"/>
      <c r="P271" s="73"/>
      <c r="Q271" s="73">
        <v>15050000</v>
      </c>
      <c r="R271" s="73">
        <v>15050000</v>
      </c>
      <c r="S271" s="73"/>
      <c r="T271" s="73"/>
      <c r="U271" s="73"/>
      <c r="V271" s="73"/>
      <c r="W271" s="73"/>
      <c r="X271" s="1864">
        <f t="shared" si="10"/>
        <v>30100000</v>
      </c>
      <c r="Y271" s="23">
        <f t="shared" si="9"/>
        <v>0</v>
      </c>
    </row>
    <row r="272" spans="1:25" ht="45" x14ac:dyDescent="0.25">
      <c r="A272" s="865">
        <v>1</v>
      </c>
      <c r="B272" s="865">
        <v>4</v>
      </c>
      <c r="C272" s="1490" t="s">
        <v>3389</v>
      </c>
      <c r="D272" s="865"/>
      <c r="E272" s="865"/>
      <c r="F272" s="865"/>
      <c r="G272" s="865"/>
      <c r="H272" s="1061" t="str">
        <f>'BID 1 b'!B1457</f>
        <v>: Penyusunan dokumen keuangan Desa (APBDesa 2027 )</v>
      </c>
      <c r="I272" s="1063">
        <f>SUM(I273:I276)</f>
        <v>6105000</v>
      </c>
      <c r="J272" s="865" t="s">
        <v>1220</v>
      </c>
      <c r="K272" s="1061" t="s">
        <v>3597</v>
      </c>
      <c r="L272" s="1063"/>
      <c r="M272" s="1063"/>
      <c r="N272" s="1063"/>
      <c r="O272" s="1063"/>
      <c r="P272" s="1063"/>
      <c r="Q272" s="1063"/>
      <c r="R272" s="1063"/>
      <c r="S272" s="1063"/>
      <c r="T272" s="1063"/>
      <c r="U272" s="1063"/>
      <c r="V272" s="1063"/>
      <c r="W272" s="1063"/>
      <c r="X272" s="1866">
        <f t="shared" si="10"/>
        <v>0</v>
      </c>
      <c r="Y272" s="23">
        <f t="shared" si="9"/>
        <v>-6105000</v>
      </c>
    </row>
    <row r="273" spans="1:25" x14ac:dyDescent="0.25">
      <c r="A273" s="1"/>
      <c r="B273" s="1"/>
      <c r="C273" s="1"/>
      <c r="D273" s="1">
        <v>5</v>
      </c>
      <c r="E273" s="1">
        <v>2</v>
      </c>
      <c r="F273" s="1"/>
      <c r="G273" s="1"/>
      <c r="H273" s="4" t="str">
        <f>'BID 1 b'!B1463</f>
        <v>Belanja Barang Jasa :</v>
      </c>
      <c r="I273" s="73"/>
      <c r="J273" s="1"/>
      <c r="K273" s="4" t="s">
        <v>3597</v>
      </c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1864">
        <f t="shared" si="10"/>
        <v>0</v>
      </c>
      <c r="Y273" s="23">
        <f t="shared" si="9"/>
        <v>0</v>
      </c>
    </row>
    <row r="274" spans="1:25" ht="30" x14ac:dyDescent="0.25">
      <c r="A274" s="1"/>
      <c r="B274" s="1"/>
      <c r="C274" s="1"/>
      <c r="D274" s="1"/>
      <c r="E274" s="1"/>
      <c r="F274" s="1">
        <v>1</v>
      </c>
      <c r="G274" s="1"/>
      <c r="H274" s="4" t="str">
        <f>'BID 1 b'!B1464</f>
        <v>Belanja Barang Perlengkapan</v>
      </c>
      <c r="I274" s="73"/>
      <c r="J274" s="1"/>
      <c r="K274" s="4" t="s">
        <v>3597</v>
      </c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1864">
        <f t="shared" si="10"/>
        <v>0</v>
      </c>
      <c r="Y274" s="23">
        <f t="shared" si="9"/>
        <v>0</v>
      </c>
    </row>
    <row r="275" spans="1:25" ht="45" x14ac:dyDescent="0.25">
      <c r="A275" s="1"/>
      <c r="B275" s="1"/>
      <c r="C275" s="1"/>
      <c r="D275" s="1"/>
      <c r="E275" s="1"/>
      <c r="F275" s="1"/>
      <c r="G275" s="1489" t="s">
        <v>3390</v>
      </c>
      <c r="H275" s="4" t="str">
        <f>'BID 1 b'!B1465</f>
        <v>Belanja perlengkapan cetak/pengadaan - belanja barang cetak dan pengadaan</v>
      </c>
      <c r="I275" s="73">
        <f>SUM('BID 1 b'!F1466:F1467)</f>
        <v>2505000</v>
      </c>
      <c r="J275" s="1" t="s">
        <v>1220</v>
      </c>
      <c r="K275" s="4" t="s">
        <v>3597</v>
      </c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>
        <v>2505000</v>
      </c>
      <c r="X275" s="1864">
        <f t="shared" si="10"/>
        <v>2505000</v>
      </c>
      <c r="Y275" s="23">
        <f t="shared" si="9"/>
        <v>0</v>
      </c>
    </row>
    <row r="276" spans="1:25" ht="60" x14ac:dyDescent="0.25">
      <c r="A276" s="1"/>
      <c r="B276" s="1"/>
      <c r="C276" s="1"/>
      <c r="D276" s="1"/>
      <c r="E276" s="1"/>
      <c r="F276" s="1"/>
      <c r="G276" s="1489" t="s">
        <v>3391</v>
      </c>
      <c r="H276" s="4" t="str">
        <f>'BID 1 b'!B1469</f>
        <v>Belanja Perlengkapan barang konsumsi (makan/minum) - Belanja barang konsumsi</v>
      </c>
      <c r="I276" s="73">
        <f>'BID 1 b'!F1470</f>
        <v>3600000</v>
      </c>
      <c r="J276" s="1" t="s">
        <v>1220</v>
      </c>
      <c r="K276" s="4" t="s">
        <v>3597</v>
      </c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>
        <v>3600000</v>
      </c>
      <c r="X276" s="1864">
        <f t="shared" si="10"/>
        <v>3600000</v>
      </c>
      <c r="Y276" s="23">
        <f t="shared" si="9"/>
        <v>0</v>
      </c>
    </row>
    <row r="277" spans="1:25" ht="45" x14ac:dyDescent="0.25">
      <c r="A277" s="865">
        <v>1</v>
      </c>
      <c r="B277" s="865">
        <v>4</v>
      </c>
      <c r="C277" s="1490" t="s">
        <v>3389</v>
      </c>
      <c r="D277" s="865"/>
      <c r="E277" s="865"/>
      <c r="F277" s="865"/>
      <c r="G277" s="865"/>
      <c r="H277" s="1061" t="str">
        <f>'BID 1 b'!B1488</f>
        <v>: Penyusunan dokumen keuangan Desa (APBDesa Perubahan 2026)</v>
      </c>
      <c r="I277" s="1063">
        <f>SUM(I278:I281)</f>
        <v>7615000</v>
      </c>
      <c r="J277" s="1061" t="s">
        <v>3295</v>
      </c>
      <c r="K277" s="1061" t="s">
        <v>3597</v>
      </c>
      <c r="L277" s="1063"/>
      <c r="M277" s="1063"/>
      <c r="N277" s="1063"/>
      <c r="O277" s="1063"/>
      <c r="P277" s="1063"/>
      <c r="Q277" s="1063"/>
      <c r="R277" s="1063"/>
      <c r="S277" s="1063"/>
      <c r="T277" s="1063"/>
      <c r="U277" s="1063"/>
      <c r="V277" s="1063"/>
      <c r="W277" s="1063"/>
      <c r="X277" s="1866">
        <f t="shared" si="10"/>
        <v>0</v>
      </c>
      <c r="Y277" s="23">
        <f t="shared" si="9"/>
        <v>-7615000</v>
      </c>
    </row>
    <row r="278" spans="1:25" x14ac:dyDescent="0.25">
      <c r="A278" s="1"/>
      <c r="B278" s="1"/>
      <c r="C278" s="1"/>
      <c r="D278" s="1">
        <v>5</v>
      </c>
      <c r="E278" s="1">
        <v>2</v>
      </c>
      <c r="F278" s="1"/>
      <c r="G278" s="1"/>
      <c r="H278" s="4" t="str">
        <f>'BID 1 b'!B1494</f>
        <v>Belanja Barang Jasa :</v>
      </c>
      <c r="I278" s="73"/>
      <c r="J278" s="4"/>
      <c r="K278" s="4" t="s">
        <v>3597</v>
      </c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1864">
        <f t="shared" si="10"/>
        <v>0</v>
      </c>
      <c r="Y278" s="23">
        <f t="shared" si="9"/>
        <v>0</v>
      </c>
    </row>
    <row r="279" spans="1:25" ht="30" x14ac:dyDescent="0.25">
      <c r="A279" s="1"/>
      <c r="B279" s="1"/>
      <c r="C279" s="1"/>
      <c r="D279" s="1"/>
      <c r="E279" s="1"/>
      <c r="F279" s="1">
        <v>1</v>
      </c>
      <c r="G279" s="1"/>
      <c r="H279" s="4" t="str">
        <f>'BID 1 b'!B1495</f>
        <v>Belanja Barang Perlengkapan</v>
      </c>
      <c r="I279" s="73"/>
      <c r="J279" s="4"/>
      <c r="K279" s="4" t="s">
        <v>3597</v>
      </c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1864">
        <f t="shared" si="10"/>
        <v>0</v>
      </c>
      <c r="Y279" s="23">
        <f t="shared" si="9"/>
        <v>0</v>
      </c>
    </row>
    <row r="280" spans="1:25" ht="45" x14ac:dyDescent="0.25">
      <c r="A280" s="1"/>
      <c r="B280" s="1"/>
      <c r="C280" s="1"/>
      <c r="D280" s="1"/>
      <c r="E280" s="1"/>
      <c r="F280" s="1"/>
      <c r="G280" s="1489" t="s">
        <v>3390</v>
      </c>
      <c r="H280" s="4" t="str">
        <f>'BID 1 b'!B1496</f>
        <v>Belanja perlengkapan cetak/pengadaan - belanja barang cetak dan pengadaan</v>
      </c>
      <c r="I280" s="73">
        <f>'BID 1 b'!F1497+'BID 1 b'!F1498</f>
        <v>6175000</v>
      </c>
      <c r="J280" s="4" t="s">
        <v>3295</v>
      </c>
      <c r="K280" s="4" t="s">
        <v>3597</v>
      </c>
      <c r="L280" s="73"/>
      <c r="M280" s="73"/>
      <c r="N280" s="73"/>
      <c r="O280" s="73"/>
      <c r="P280" s="73"/>
      <c r="Q280" s="73"/>
      <c r="R280" s="73"/>
      <c r="S280" s="73">
        <v>6175000</v>
      </c>
      <c r="T280" s="73"/>
      <c r="U280" s="73"/>
      <c r="V280" s="73"/>
      <c r="W280" s="73"/>
      <c r="X280" s="1864">
        <f t="shared" si="10"/>
        <v>6175000</v>
      </c>
      <c r="Y280" s="23">
        <f t="shared" si="9"/>
        <v>0</v>
      </c>
    </row>
    <row r="281" spans="1:25" ht="60" x14ac:dyDescent="0.25">
      <c r="A281" s="1"/>
      <c r="B281" s="1"/>
      <c r="C281" s="1"/>
      <c r="D281" s="1"/>
      <c r="E281" s="1"/>
      <c r="F281" s="1"/>
      <c r="G281" s="1489" t="s">
        <v>3391</v>
      </c>
      <c r="H281" s="4" t="str">
        <f>'BID 1 b'!B1500</f>
        <v>Belanja Perlengkapan barang konsumsi (makan/minum) - Belanja barang konsumsi</v>
      </c>
      <c r="I281" s="73">
        <f>'BID 1 b'!F1501</f>
        <v>1440000</v>
      </c>
      <c r="J281" s="4" t="s">
        <v>3295</v>
      </c>
      <c r="K281" s="4" t="s">
        <v>3597</v>
      </c>
      <c r="L281" s="73"/>
      <c r="M281" s="73"/>
      <c r="N281" s="73"/>
      <c r="O281" s="73"/>
      <c r="P281" s="73"/>
      <c r="Q281" s="73"/>
      <c r="R281" s="73"/>
      <c r="S281" s="73">
        <v>1440000</v>
      </c>
      <c r="T281" s="73"/>
      <c r="U281" s="73"/>
      <c r="V281" s="73"/>
      <c r="W281" s="73"/>
      <c r="X281" s="1864">
        <f t="shared" si="10"/>
        <v>1440000</v>
      </c>
      <c r="Y281" s="23">
        <f t="shared" si="9"/>
        <v>0</v>
      </c>
    </row>
    <row r="282" spans="1:25" ht="45" x14ac:dyDescent="0.25">
      <c r="A282" s="865">
        <v>1</v>
      </c>
      <c r="B282" s="865">
        <v>4</v>
      </c>
      <c r="C282" s="1490" t="s">
        <v>3389</v>
      </c>
      <c r="D282" s="865"/>
      <c r="E282" s="865"/>
      <c r="F282" s="865"/>
      <c r="G282" s="865"/>
      <c r="H282" s="1061" t="str">
        <f>'BID 1 b'!B1518</f>
        <v>: Penyusunan dokumen keuangan Desa ( LPJ APBDesa 2025).</v>
      </c>
      <c r="I282" s="1063">
        <f>I285</f>
        <v>1660750</v>
      </c>
      <c r="J282" s="1061" t="s">
        <v>1775</v>
      </c>
      <c r="K282" s="1061" t="s">
        <v>3597</v>
      </c>
      <c r="L282" s="1063"/>
      <c r="M282" s="1063"/>
      <c r="N282" s="1063"/>
      <c r="O282" s="1063"/>
      <c r="P282" s="1063"/>
      <c r="Q282" s="1063"/>
      <c r="R282" s="1063"/>
      <c r="S282" s="1063"/>
      <c r="T282" s="1063"/>
      <c r="U282" s="1063"/>
      <c r="V282" s="1063"/>
      <c r="W282" s="1063"/>
      <c r="X282" s="1866">
        <f t="shared" si="10"/>
        <v>0</v>
      </c>
      <c r="Y282" s="23">
        <f t="shared" si="9"/>
        <v>-1660750</v>
      </c>
    </row>
    <row r="283" spans="1:25" x14ac:dyDescent="0.25">
      <c r="A283" s="1"/>
      <c r="B283" s="1"/>
      <c r="C283" s="1"/>
      <c r="D283" s="1">
        <v>5</v>
      </c>
      <c r="E283" s="1">
        <v>2</v>
      </c>
      <c r="F283" s="1"/>
      <c r="G283" s="1"/>
      <c r="H283" s="4" t="str">
        <f>'BID 1 b'!B1524</f>
        <v>Belanja Barang Jasa :</v>
      </c>
      <c r="I283" s="73"/>
      <c r="J283" s="1"/>
      <c r="K283" s="4" t="s">
        <v>3597</v>
      </c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1864">
        <f t="shared" si="10"/>
        <v>0</v>
      </c>
      <c r="Y283" s="23">
        <f t="shared" si="9"/>
        <v>0</v>
      </c>
    </row>
    <row r="284" spans="1:25" ht="30" x14ac:dyDescent="0.25">
      <c r="A284" s="1"/>
      <c r="B284" s="1"/>
      <c r="C284" s="1"/>
      <c r="D284" s="1"/>
      <c r="E284" s="1"/>
      <c r="F284" s="1">
        <v>1</v>
      </c>
      <c r="G284" s="1"/>
      <c r="H284" s="4" t="str">
        <f>'BID 1 b'!B1525</f>
        <v>Belanja Barang Perlengkapan</v>
      </c>
      <c r="I284" s="73"/>
      <c r="J284" s="1"/>
      <c r="K284" s="4" t="s">
        <v>3597</v>
      </c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1864">
        <f t="shared" si="10"/>
        <v>0</v>
      </c>
      <c r="Y284" s="23">
        <f t="shared" si="9"/>
        <v>0</v>
      </c>
    </row>
    <row r="285" spans="1:25" ht="45" x14ac:dyDescent="0.25">
      <c r="A285" s="1"/>
      <c r="B285" s="1"/>
      <c r="C285" s="1"/>
      <c r="D285" s="1"/>
      <c r="E285" s="1"/>
      <c r="F285" s="1"/>
      <c r="G285" s="1489" t="s">
        <v>3390</v>
      </c>
      <c r="H285" s="4" t="str">
        <f>'BID 1 b'!B1526</f>
        <v>Belanja perlengkapan cetak/pengadaan - belanja barang cetak dan pengadaan</v>
      </c>
      <c r="I285" s="73">
        <f>SUM('BID 1 b'!F1527:F1528)</f>
        <v>1660750</v>
      </c>
      <c r="J285" s="4" t="s">
        <v>1775</v>
      </c>
      <c r="K285" s="4" t="s">
        <v>3597</v>
      </c>
      <c r="L285" s="73"/>
      <c r="M285" s="73"/>
      <c r="N285" s="73">
        <v>1660750</v>
      </c>
      <c r="O285" s="73"/>
      <c r="P285" s="73"/>
      <c r="Q285" s="73"/>
      <c r="R285" s="73"/>
      <c r="S285" s="73"/>
      <c r="T285" s="73"/>
      <c r="U285" s="73"/>
      <c r="V285" s="73"/>
      <c r="W285" s="73"/>
      <c r="X285" s="1864">
        <f t="shared" si="10"/>
        <v>1660750</v>
      </c>
      <c r="Y285" s="23">
        <f t="shared" si="9"/>
        <v>0</v>
      </c>
    </row>
    <row r="286" spans="1:25" ht="60" x14ac:dyDescent="0.25">
      <c r="A286" s="865">
        <v>1</v>
      </c>
      <c r="B286" s="865">
        <v>4</v>
      </c>
      <c r="C286" s="1490" t="s">
        <v>3392</v>
      </c>
      <c r="D286" s="865"/>
      <c r="E286" s="865"/>
      <c r="F286" s="865"/>
      <c r="G286" s="865"/>
      <c r="H286" s="1061" t="str">
        <f>'BID 1 b'!B1546</f>
        <v>: Penyusunan laporan Kepala Desa/ Penyelenggaraan Pemerintah Desa (Laporan akhir tahun anggaran )</v>
      </c>
      <c r="I286" s="1063">
        <f>I289</f>
        <v>1500000</v>
      </c>
      <c r="J286" s="865" t="s">
        <v>1506</v>
      </c>
      <c r="K286" s="1061" t="s">
        <v>3597</v>
      </c>
      <c r="L286" s="1063"/>
      <c r="M286" s="1063"/>
      <c r="N286" s="1063"/>
      <c r="O286" s="1063"/>
      <c r="P286" s="1063"/>
      <c r="Q286" s="1063"/>
      <c r="R286" s="1063"/>
      <c r="S286" s="1063"/>
      <c r="T286" s="1063"/>
      <c r="U286" s="1063"/>
      <c r="V286" s="1063"/>
      <c r="W286" s="1063"/>
      <c r="X286" s="1866">
        <f t="shared" si="10"/>
        <v>0</v>
      </c>
      <c r="Y286" s="23">
        <f t="shared" si="9"/>
        <v>-1500000</v>
      </c>
    </row>
    <row r="287" spans="1:25" x14ac:dyDescent="0.25">
      <c r="A287" s="1"/>
      <c r="B287" s="1"/>
      <c r="C287" s="1"/>
      <c r="D287" s="1">
        <v>5</v>
      </c>
      <c r="E287" s="1">
        <v>2</v>
      </c>
      <c r="F287" s="1"/>
      <c r="G287" s="1"/>
      <c r="H287" s="4" t="str">
        <f>'BID 1 b'!B1552</f>
        <v>Belanja Barang Jasa :</v>
      </c>
      <c r="I287" s="73"/>
      <c r="J287" s="1"/>
      <c r="K287" s="4" t="s">
        <v>3597</v>
      </c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1864">
        <f t="shared" si="10"/>
        <v>0</v>
      </c>
      <c r="Y287" s="23">
        <f t="shared" si="9"/>
        <v>0</v>
      </c>
    </row>
    <row r="288" spans="1:25" ht="30" x14ac:dyDescent="0.25">
      <c r="A288" s="1"/>
      <c r="B288" s="1"/>
      <c r="C288" s="1"/>
      <c r="D288" s="1"/>
      <c r="E288" s="1"/>
      <c r="F288" s="1">
        <v>1</v>
      </c>
      <c r="G288" s="1"/>
      <c r="H288" s="4" t="str">
        <f>'BID 1 b'!B1553</f>
        <v>Belanja Barang Perlengkapan</v>
      </c>
      <c r="I288" s="73"/>
      <c r="J288" s="1"/>
      <c r="K288" s="4" t="s">
        <v>3597</v>
      </c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1864">
        <f t="shared" si="10"/>
        <v>0</v>
      </c>
      <c r="Y288" s="23">
        <f t="shared" si="9"/>
        <v>0</v>
      </c>
    </row>
    <row r="289" spans="1:25" ht="45" x14ac:dyDescent="0.25">
      <c r="A289" s="1"/>
      <c r="B289" s="1"/>
      <c r="C289" s="1"/>
      <c r="D289" s="1"/>
      <c r="E289" s="1"/>
      <c r="F289" s="1"/>
      <c r="G289" s="1489" t="s">
        <v>3390</v>
      </c>
      <c r="H289" s="4" t="str">
        <f>'BID 1 b'!B1554</f>
        <v>Belanja perlengkapan cetak/pengadaan - belanja barang cetak dan pengadaan</v>
      </c>
      <c r="I289" s="73">
        <f>'BID 1 b'!F1555</f>
        <v>1500000</v>
      </c>
      <c r="J289" s="1" t="s">
        <v>1506</v>
      </c>
      <c r="K289" s="4" t="s">
        <v>3597</v>
      </c>
      <c r="L289" s="73"/>
      <c r="M289" s="73"/>
      <c r="N289" s="73">
        <v>1500000</v>
      </c>
      <c r="O289" s="73"/>
      <c r="P289" s="73"/>
      <c r="Q289" s="73"/>
      <c r="R289" s="73"/>
      <c r="S289" s="73"/>
      <c r="T289" s="73"/>
      <c r="U289" s="73"/>
      <c r="V289" s="73"/>
      <c r="W289" s="73"/>
      <c r="X289" s="1864">
        <f t="shared" si="10"/>
        <v>1500000</v>
      </c>
      <c r="Y289" s="23">
        <f t="shared" si="9"/>
        <v>0</v>
      </c>
    </row>
    <row r="290" spans="1:25" ht="30" x14ac:dyDescent="0.25">
      <c r="A290" s="1869">
        <v>2</v>
      </c>
      <c r="B290" s="1869"/>
      <c r="C290" s="1869"/>
      <c r="D290" s="1869"/>
      <c r="E290" s="1869"/>
      <c r="F290" s="1869"/>
      <c r="G290" s="1869"/>
      <c r="H290" s="1870" t="str">
        <f>'Bid 2b'!B5</f>
        <v>Pelaksanaan Pembangunan Desa</v>
      </c>
      <c r="I290" s="1871">
        <f>I292+I317+I327+I334+I345+I353+I360+I369+I378+I390+I400+I412+I428+I442+I450+I458+I462+I471+I479+I496+I506+I522+I529+I538+I544+I550+I555+I572+I592+I601+I612+I619+I625+I639+I644</f>
        <v>3312223224.1999998</v>
      </c>
      <c r="J290" s="1869"/>
      <c r="K290" s="1870"/>
      <c r="L290" s="1871"/>
      <c r="M290" s="1871"/>
      <c r="N290" s="1871"/>
      <c r="O290" s="1871"/>
      <c r="P290" s="1871"/>
      <c r="Q290" s="1871"/>
      <c r="R290" s="1871"/>
      <c r="S290" s="1871"/>
      <c r="T290" s="1871"/>
      <c r="U290" s="1871"/>
      <c r="V290" s="1871"/>
      <c r="W290" s="1871"/>
      <c r="X290" s="1872">
        <f t="shared" si="10"/>
        <v>0</v>
      </c>
      <c r="Y290" s="23">
        <f t="shared" si="9"/>
        <v>-3312223224.1999998</v>
      </c>
    </row>
    <row r="291" spans="1:25" x14ac:dyDescent="0.25">
      <c r="A291" s="865">
        <v>2</v>
      </c>
      <c r="B291" s="865">
        <v>1</v>
      </c>
      <c r="C291" s="865"/>
      <c r="D291" s="865"/>
      <c r="E291" s="865"/>
      <c r="F291" s="865"/>
      <c r="G291" s="865"/>
      <c r="H291" s="865" t="str">
        <f>'Bid 2b'!B6</f>
        <v>Pendidikan</v>
      </c>
      <c r="I291" s="1063"/>
      <c r="J291" s="865"/>
      <c r="K291" s="1061"/>
      <c r="L291" s="1063"/>
      <c r="M291" s="1063"/>
      <c r="N291" s="1063"/>
      <c r="O291" s="1063"/>
      <c r="P291" s="1063"/>
      <c r="Q291" s="1063"/>
      <c r="R291" s="1063"/>
      <c r="S291" s="1063"/>
      <c r="T291" s="1063"/>
      <c r="U291" s="1063"/>
      <c r="V291" s="1063"/>
      <c r="W291" s="1063"/>
      <c r="X291" s="1866">
        <f t="shared" si="10"/>
        <v>0</v>
      </c>
      <c r="Y291" s="23">
        <f t="shared" si="9"/>
        <v>0</v>
      </c>
    </row>
    <row r="292" spans="1:25" ht="75" x14ac:dyDescent="0.25">
      <c r="A292" s="865">
        <v>2</v>
      </c>
      <c r="B292" s="865">
        <v>1</v>
      </c>
      <c r="C292" s="1490" t="s">
        <v>3366</v>
      </c>
      <c r="D292" s="865"/>
      <c r="E292" s="865"/>
      <c r="F292" s="865"/>
      <c r="G292" s="865"/>
      <c r="H292" s="1061" t="str">
        <f>'Bid 2b'!B7</f>
        <v>Penyelenggaraan PAUD/TK/TKA/ Madrasah Non Formal Milik Desa (Pengelolaan Taman Kanak - kanak  TK Kumara Sari VI )</v>
      </c>
      <c r="I292" s="1063">
        <f>SUM(I293:I316)</f>
        <v>276660000</v>
      </c>
      <c r="J292" s="865"/>
      <c r="K292" s="1061" t="s">
        <v>3599</v>
      </c>
      <c r="L292" s="1063"/>
      <c r="M292" s="1063"/>
      <c r="N292" s="1063"/>
      <c r="O292" s="1063"/>
      <c r="P292" s="1063"/>
      <c r="Q292" s="1063"/>
      <c r="R292" s="1063"/>
      <c r="S292" s="1063"/>
      <c r="T292" s="1063"/>
      <c r="U292" s="1063"/>
      <c r="V292" s="1063"/>
      <c r="W292" s="1063"/>
      <c r="X292" s="1866">
        <f t="shared" si="10"/>
        <v>0</v>
      </c>
      <c r="Y292" s="23">
        <f t="shared" si="9"/>
        <v>-276660000</v>
      </c>
    </row>
    <row r="293" spans="1:25" x14ac:dyDescent="0.25">
      <c r="A293" s="1"/>
      <c r="B293" s="1"/>
      <c r="C293" s="1"/>
      <c r="D293" s="1">
        <v>5</v>
      </c>
      <c r="E293" s="1">
        <v>2</v>
      </c>
      <c r="F293" s="1"/>
      <c r="G293" s="1"/>
      <c r="H293" s="4" t="str">
        <f>'Bid 2b'!B12</f>
        <v>Belanja Barang Jasa :</v>
      </c>
      <c r="I293" s="73"/>
      <c r="J293" s="1"/>
      <c r="K293" s="4" t="s">
        <v>3599</v>
      </c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1864">
        <f t="shared" si="10"/>
        <v>0</v>
      </c>
      <c r="Y293" s="23">
        <f t="shared" si="9"/>
        <v>0</v>
      </c>
    </row>
    <row r="294" spans="1:25" ht="30" x14ac:dyDescent="0.25">
      <c r="A294" s="1"/>
      <c r="B294" s="1"/>
      <c r="C294" s="1"/>
      <c r="D294" s="1"/>
      <c r="E294" s="1"/>
      <c r="F294" s="1">
        <v>1</v>
      </c>
      <c r="G294" s="1"/>
      <c r="H294" s="4" t="str">
        <f>'Bid 2b'!B13</f>
        <v>Belanja Barang Perlengkapan</v>
      </c>
      <c r="I294" s="73"/>
      <c r="J294" s="1"/>
      <c r="K294" s="4" t="s">
        <v>3599</v>
      </c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1864">
        <f t="shared" si="10"/>
        <v>0</v>
      </c>
      <c r="Y294" s="23">
        <f t="shared" si="9"/>
        <v>0</v>
      </c>
    </row>
    <row r="295" spans="1:25" ht="30" x14ac:dyDescent="0.25">
      <c r="A295" s="1"/>
      <c r="B295" s="1"/>
      <c r="C295" s="1"/>
      <c r="D295" s="1"/>
      <c r="E295" s="1"/>
      <c r="F295" s="1"/>
      <c r="G295" s="1489" t="s">
        <v>3366</v>
      </c>
      <c r="H295" s="4" t="str">
        <f>'Bid 2b'!B14</f>
        <v>Belanja perlengkapan alat tulis kantor dan Benda Pos</v>
      </c>
      <c r="I295" s="73">
        <f>SUM('Bid 2b'!F16:F61)</f>
        <v>47515000</v>
      </c>
      <c r="J295" s="4" t="s">
        <v>2178</v>
      </c>
      <c r="K295" s="4" t="s">
        <v>3599</v>
      </c>
      <c r="L295" s="73"/>
      <c r="M295" s="73">
        <v>9503000</v>
      </c>
      <c r="N295" s="73"/>
      <c r="O295" s="73">
        <v>9503000</v>
      </c>
      <c r="P295" s="73"/>
      <c r="Q295" s="73">
        <v>9503000</v>
      </c>
      <c r="R295" s="73"/>
      <c r="S295" s="73"/>
      <c r="T295" s="73">
        <v>9503000</v>
      </c>
      <c r="U295" s="73"/>
      <c r="V295" s="73">
        <v>9503000</v>
      </c>
      <c r="W295" s="73"/>
      <c r="X295" s="1864">
        <f t="shared" si="10"/>
        <v>47515000</v>
      </c>
      <c r="Y295" s="23">
        <f t="shared" si="9"/>
        <v>0</v>
      </c>
    </row>
    <row r="296" spans="1:25" ht="30" x14ac:dyDescent="0.25">
      <c r="A296" s="1"/>
      <c r="B296" s="1"/>
      <c r="C296" s="1"/>
      <c r="D296" s="1"/>
      <c r="E296" s="1"/>
      <c r="F296" s="1"/>
      <c r="G296" s="1489" t="s">
        <v>3390</v>
      </c>
      <c r="H296" s="1" t="str">
        <f>'Bid 2b'!B62</f>
        <v>Belanja Cetak</v>
      </c>
      <c r="I296" s="73">
        <f>SUM('Bid 2b'!F63:F68)</f>
        <v>8319000</v>
      </c>
      <c r="J296" s="4" t="s">
        <v>2178</v>
      </c>
      <c r="K296" s="4" t="s">
        <v>3599</v>
      </c>
      <c r="L296" s="73"/>
      <c r="M296" s="73"/>
      <c r="N296" s="73"/>
      <c r="O296" s="73"/>
      <c r="P296" s="73"/>
      <c r="Q296" s="73">
        <v>8319000</v>
      </c>
      <c r="R296" s="73"/>
      <c r="S296" s="73"/>
      <c r="T296" s="73"/>
      <c r="U296" s="73"/>
      <c r="V296" s="73"/>
      <c r="W296" s="73"/>
      <c r="X296" s="1864">
        <f t="shared" si="10"/>
        <v>8319000</v>
      </c>
      <c r="Y296" s="23">
        <f t="shared" si="9"/>
        <v>0</v>
      </c>
    </row>
    <row r="297" spans="1:25" ht="30" x14ac:dyDescent="0.25">
      <c r="A297" s="1"/>
      <c r="B297" s="1"/>
      <c r="C297" s="1"/>
      <c r="D297" s="1"/>
      <c r="E297" s="1"/>
      <c r="F297" s="1"/>
      <c r="G297" s="1489" t="s">
        <v>3386</v>
      </c>
      <c r="H297" s="4" t="str">
        <f>'Bid 2b'!B69</f>
        <v xml:space="preserve">Belanja Perlengkapan Alat Listrik </v>
      </c>
      <c r="I297" s="73">
        <f>'Bid 2b'!F70</f>
        <v>1630000</v>
      </c>
      <c r="J297" s="4" t="s">
        <v>2178</v>
      </c>
      <c r="K297" s="4" t="s">
        <v>3599</v>
      </c>
      <c r="L297" s="73"/>
      <c r="M297" s="73"/>
      <c r="N297" s="73">
        <v>1630000</v>
      </c>
      <c r="O297" s="73"/>
      <c r="P297" s="73"/>
      <c r="Q297" s="73"/>
      <c r="R297" s="73"/>
      <c r="S297" s="73"/>
      <c r="T297" s="73"/>
      <c r="U297" s="73"/>
      <c r="V297" s="73"/>
      <c r="W297" s="73"/>
      <c r="X297" s="1864">
        <f t="shared" si="10"/>
        <v>1630000</v>
      </c>
      <c r="Y297" s="23">
        <f t="shared" si="9"/>
        <v>0</v>
      </c>
    </row>
    <row r="298" spans="1:25" ht="45" x14ac:dyDescent="0.25">
      <c r="A298" s="1"/>
      <c r="B298" s="1"/>
      <c r="C298" s="1"/>
      <c r="D298" s="1"/>
      <c r="E298" s="1"/>
      <c r="F298" s="1"/>
      <c r="G298" s="1489" t="s">
        <v>3388</v>
      </c>
      <c r="H298" s="4" t="str">
        <f>'Bid 2b'!B72</f>
        <v xml:space="preserve">Belanja perlengkapan alat alat rumah tangga/peralatan dan Bahan kebersihan </v>
      </c>
      <c r="I298" s="73">
        <f>SUM('Bid 2b'!F73:F89)</f>
        <v>4326000</v>
      </c>
      <c r="J298" s="4" t="s">
        <v>2178</v>
      </c>
      <c r="K298" s="4" t="s">
        <v>3599</v>
      </c>
      <c r="L298" s="73"/>
      <c r="M298" s="73"/>
      <c r="N298" s="73">
        <v>4326000</v>
      </c>
      <c r="O298" s="73"/>
      <c r="P298" s="73"/>
      <c r="Q298" s="73"/>
      <c r="R298" s="73"/>
      <c r="S298" s="73"/>
      <c r="T298" s="73"/>
      <c r="U298" s="73"/>
      <c r="V298" s="73"/>
      <c r="W298" s="73"/>
      <c r="X298" s="1864">
        <f t="shared" si="10"/>
        <v>4326000</v>
      </c>
      <c r="Y298" s="23">
        <f t="shared" si="9"/>
        <v>0</v>
      </c>
    </row>
    <row r="299" spans="1:25" ht="60" x14ac:dyDescent="0.25">
      <c r="A299" s="1"/>
      <c r="B299" s="1"/>
      <c r="C299" s="1"/>
      <c r="D299" s="1"/>
      <c r="E299" s="1"/>
      <c r="F299" s="1"/>
      <c r="G299" s="1489" t="s">
        <v>3391</v>
      </c>
      <c r="H299" s="4" t="str">
        <f>'Bid 2b'!B90</f>
        <v>Belanja perlengkapan barang konsumsi (makan/ minum) Belanja Barang konsumsi</v>
      </c>
      <c r="I299" s="73">
        <f>'Bid 2b'!F91</f>
        <v>180000</v>
      </c>
      <c r="J299" s="4" t="s">
        <v>2178</v>
      </c>
      <c r="K299" s="4" t="s">
        <v>3599</v>
      </c>
      <c r="L299" s="73">
        <v>15000</v>
      </c>
      <c r="M299" s="73">
        <v>15000</v>
      </c>
      <c r="N299" s="73">
        <v>15000</v>
      </c>
      <c r="O299" s="73">
        <v>15000</v>
      </c>
      <c r="P299" s="73">
        <v>15000</v>
      </c>
      <c r="Q299" s="73">
        <v>15000</v>
      </c>
      <c r="R299" s="73">
        <v>15000</v>
      </c>
      <c r="S299" s="73">
        <v>15000</v>
      </c>
      <c r="T299" s="73">
        <v>15000</v>
      </c>
      <c r="U299" s="73">
        <v>15000</v>
      </c>
      <c r="V299" s="73">
        <v>15000</v>
      </c>
      <c r="W299" s="73">
        <v>15000</v>
      </c>
      <c r="X299" s="1864">
        <f t="shared" si="10"/>
        <v>180000</v>
      </c>
      <c r="Y299" s="23">
        <f t="shared" si="9"/>
        <v>0</v>
      </c>
    </row>
    <row r="300" spans="1:25" ht="30" x14ac:dyDescent="0.25">
      <c r="A300" s="1"/>
      <c r="B300" s="1"/>
      <c r="C300" s="1"/>
      <c r="D300" s="1"/>
      <c r="E300" s="1"/>
      <c r="F300" s="1"/>
      <c r="G300" s="1489" t="s">
        <v>3392</v>
      </c>
      <c r="H300" s="1" t="str">
        <f>'Bid 2b'!B93</f>
        <v>Belanja Bahan / Material</v>
      </c>
      <c r="I300" s="73">
        <f>SUM('Bid 2b'!F94:F95)</f>
        <v>4250000</v>
      </c>
      <c r="J300" s="4" t="s">
        <v>2178</v>
      </c>
      <c r="K300" s="4" t="s">
        <v>3599</v>
      </c>
      <c r="L300" s="73"/>
      <c r="M300" s="73"/>
      <c r="N300" s="73">
        <v>3500000</v>
      </c>
      <c r="O300" s="73"/>
      <c r="P300" s="73"/>
      <c r="Q300" s="73"/>
      <c r="R300" s="73"/>
      <c r="S300" s="73">
        <v>750000</v>
      </c>
      <c r="T300" s="73"/>
      <c r="U300" s="73"/>
      <c r="V300" s="73"/>
      <c r="W300" s="73"/>
      <c r="X300" s="1864">
        <f t="shared" si="10"/>
        <v>4250000</v>
      </c>
      <c r="Y300" s="23">
        <f t="shared" ref="Y300:Y363" si="11">X300-I300</f>
        <v>0</v>
      </c>
    </row>
    <row r="301" spans="1:25" ht="30" x14ac:dyDescent="0.25">
      <c r="A301" s="1"/>
      <c r="B301" s="1"/>
      <c r="C301" s="1"/>
      <c r="D301" s="1"/>
      <c r="E301" s="1"/>
      <c r="F301" s="1"/>
      <c r="G301" s="1489" t="s">
        <v>3393</v>
      </c>
      <c r="H301" s="4" t="str">
        <f>'Bid 2b'!B97</f>
        <v>Belanja bendera/ umbul umbul/ spanduk</v>
      </c>
      <c r="I301" s="73">
        <f>'Bid 2b'!F98</f>
        <v>300000</v>
      </c>
      <c r="J301" s="4" t="s">
        <v>2178</v>
      </c>
      <c r="K301" s="4" t="s">
        <v>3599</v>
      </c>
      <c r="L301" s="73"/>
      <c r="M301" s="73"/>
      <c r="N301" s="73"/>
      <c r="O301" s="73"/>
      <c r="P301" s="73"/>
      <c r="Q301" s="73"/>
      <c r="R301" s="73">
        <v>300000</v>
      </c>
      <c r="S301" s="73"/>
      <c r="T301" s="73"/>
      <c r="U301" s="73"/>
      <c r="V301" s="73"/>
      <c r="W301" s="73"/>
      <c r="X301" s="1864">
        <f t="shared" si="10"/>
        <v>300000</v>
      </c>
      <c r="Y301" s="23">
        <f t="shared" si="11"/>
        <v>0</v>
      </c>
    </row>
    <row r="302" spans="1:25" ht="30" x14ac:dyDescent="0.25">
      <c r="A302" s="1"/>
      <c r="B302" s="1"/>
      <c r="C302" s="1"/>
      <c r="D302" s="1"/>
      <c r="E302" s="1"/>
      <c r="F302" s="1"/>
      <c r="G302" s="1">
        <v>10</v>
      </c>
      <c r="H302" s="1" t="str">
        <f>'Bid 2b'!B100</f>
        <v>Belanja Obat</v>
      </c>
      <c r="I302" s="73">
        <f>'Bid 2b'!E101</f>
        <v>309000</v>
      </c>
      <c r="J302" s="4" t="s">
        <v>2178</v>
      </c>
      <c r="K302" s="4" t="s">
        <v>3599</v>
      </c>
      <c r="L302" s="73"/>
      <c r="M302" s="73"/>
      <c r="N302" s="73"/>
      <c r="O302" s="73"/>
      <c r="P302" s="73"/>
      <c r="Q302" s="73"/>
      <c r="R302" s="73">
        <v>309000</v>
      </c>
      <c r="S302" s="73"/>
      <c r="T302" s="73"/>
      <c r="U302" s="73"/>
      <c r="V302" s="73"/>
      <c r="W302" s="73"/>
      <c r="X302" s="1864">
        <f t="shared" si="10"/>
        <v>309000</v>
      </c>
      <c r="Y302" s="23">
        <f t="shared" si="11"/>
        <v>0</v>
      </c>
    </row>
    <row r="303" spans="1:25" ht="30" x14ac:dyDescent="0.25">
      <c r="A303" s="1"/>
      <c r="B303" s="1"/>
      <c r="C303" s="1"/>
      <c r="D303" s="1"/>
      <c r="E303" s="1"/>
      <c r="F303" s="1"/>
      <c r="G303" s="1489" t="s">
        <v>3394</v>
      </c>
      <c r="H303" s="4" t="str">
        <f>'Bid 2b'!B103</f>
        <v>Belanja Pakaian Dinas/ Seragam/ Atribut</v>
      </c>
      <c r="I303" s="73">
        <f>'Bid 2b'!F104</f>
        <v>4500000</v>
      </c>
      <c r="J303" s="1" t="s">
        <v>1223</v>
      </c>
      <c r="K303" s="4" t="s">
        <v>3599</v>
      </c>
      <c r="L303" s="73"/>
      <c r="M303" s="73"/>
      <c r="N303" s="73"/>
      <c r="O303" s="73"/>
      <c r="P303" s="73"/>
      <c r="Q303" s="73"/>
      <c r="R303" s="73">
        <v>4500000</v>
      </c>
      <c r="S303" s="73"/>
      <c r="T303" s="73"/>
      <c r="U303" s="73"/>
      <c r="V303" s="73"/>
      <c r="W303" s="73"/>
      <c r="X303" s="1864">
        <f t="shared" si="10"/>
        <v>4500000</v>
      </c>
      <c r="Y303" s="23">
        <f t="shared" si="11"/>
        <v>0</v>
      </c>
    </row>
    <row r="304" spans="1:25" ht="30" x14ac:dyDescent="0.25">
      <c r="A304" s="1"/>
      <c r="B304" s="1"/>
      <c r="C304" s="1"/>
      <c r="D304" s="1"/>
      <c r="E304" s="1"/>
      <c r="F304" s="1"/>
      <c r="G304" s="1">
        <v>90</v>
      </c>
      <c r="H304" s="4" t="str">
        <f>'Bid 2b'!B106</f>
        <v>Belanja Upakara, Upacara Dan Aci</v>
      </c>
      <c r="I304" s="73">
        <f>SUM('Bid 2b'!F107:F116)</f>
        <v>14972000</v>
      </c>
      <c r="J304" s="4" t="s">
        <v>2178</v>
      </c>
      <c r="K304" s="4" t="s">
        <v>3599</v>
      </c>
      <c r="L304" s="73">
        <v>781000</v>
      </c>
      <c r="M304" s="73">
        <v>781000</v>
      </c>
      <c r="N304" s="73">
        <v>931000</v>
      </c>
      <c r="O304" s="73">
        <v>3431000</v>
      </c>
      <c r="P304" s="73">
        <v>781000</v>
      </c>
      <c r="Q304" s="73">
        <v>931000</v>
      </c>
      <c r="R304" s="73">
        <v>781000</v>
      </c>
      <c r="S304" s="73">
        <v>781000</v>
      </c>
      <c r="T304" s="73">
        <v>781000</v>
      </c>
      <c r="U304" s="73">
        <v>3281000</v>
      </c>
      <c r="V304" s="73">
        <v>931000</v>
      </c>
      <c r="W304" s="73">
        <v>781000</v>
      </c>
      <c r="X304" s="1864">
        <f t="shared" si="10"/>
        <v>14972000</v>
      </c>
      <c r="Y304" s="23">
        <f t="shared" si="11"/>
        <v>0</v>
      </c>
    </row>
    <row r="305" spans="1:25" x14ac:dyDescent="0.25">
      <c r="A305" s="1"/>
      <c r="B305" s="1"/>
      <c r="C305" s="1"/>
      <c r="D305" s="1">
        <v>5</v>
      </c>
      <c r="E305" s="1">
        <v>2</v>
      </c>
      <c r="F305" s="1">
        <v>2</v>
      </c>
      <c r="G305" s="1"/>
      <c r="H305" s="4" t="str">
        <f>'Bid 2b'!B118</f>
        <v>Belanja jasa honorarium</v>
      </c>
      <c r="I305" s="73"/>
      <c r="J305" s="1"/>
      <c r="K305" s="4" t="s">
        <v>3599</v>
      </c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1864">
        <f t="shared" si="10"/>
        <v>0</v>
      </c>
      <c r="Y305" s="23">
        <f t="shared" si="11"/>
        <v>0</v>
      </c>
    </row>
    <row r="306" spans="1:25" ht="45" x14ac:dyDescent="0.25">
      <c r="A306" s="1"/>
      <c r="B306" s="1"/>
      <c r="C306" s="1"/>
      <c r="D306" s="1"/>
      <c r="E306" s="1"/>
      <c r="F306" s="1"/>
      <c r="G306" s="1489" t="s">
        <v>3389</v>
      </c>
      <c r="H306" s="4" t="str">
        <f>'Bid 2b'!B119</f>
        <v>Belanja jasa honorarium Ahli/Profesi/Konsultan/Narasumber</v>
      </c>
      <c r="I306" s="73">
        <f>SUM('Bid 2b'!F120:F129)</f>
        <v>142800000</v>
      </c>
      <c r="J306" s="4" t="s">
        <v>1777</v>
      </c>
      <c r="K306" s="4" t="s">
        <v>3599</v>
      </c>
      <c r="L306" s="73">
        <v>11900000</v>
      </c>
      <c r="M306" s="73">
        <v>11900000</v>
      </c>
      <c r="N306" s="73">
        <v>11900000</v>
      </c>
      <c r="O306" s="73">
        <v>11900000</v>
      </c>
      <c r="P306" s="73">
        <v>11900000</v>
      </c>
      <c r="Q306" s="73">
        <v>11900000</v>
      </c>
      <c r="R306" s="73">
        <v>11900000</v>
      </c>
      <c r="S306" s="73">
        <v>11900000</v>
      </c>
      <c r="T306" s="73">
        <v>11900000</v>
      </c>
      <c r="U306" s="73">
        <v>11900000</v>
      </c>
      <c r="V306" s="73">
        <v>11900000</v>
      </c>
      <c r="W306" s="73">
        <v>11900000</v>
      </c>
      <c r="X306" s="1864">
        <f t="shared" si="10"/>
        <v>142800000</v>
      </c>
      <c r="Y306" s="23">
        <f t="shared" si="11"/>
        <v>0</v>
      </c>
    </row>
    <row r="307" spans="1:25" ht="30" x14ac:dyDescent="0.25">
      <c r="A307" s="1"/>
      <c r="B307" s="1"/>
      <c r="C307" s="1"/>
      <c r="D307" s="1">
        <v>5</v>
      </c>
      <c r="E307" s="1">
        <v>2</v>
      </c>
      <c r="F307" s="1">
        <v>5</v>
      </c>
      <c r="G307" s="1"/>
      <c r="H307" s="4" t="str">
        <f>'Bid 2b'!B131</f>
        <v>Belanja Operasional perkantoran</v>
      </c>
      <c r="I307" s="73"/>
      <c r="J307" s="1"/>
      <c r="K307" s="4" t="s">
        <v>3599</v>
      </c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1864">
        <f t="shared" si="10"/>
        <v>0</v>
      </c>
      <c r="Y307" s="23">
        <f t="shared" si="11"/>
        <v>0</v>
      </c>
    </row>
    <row r="308" spans="1:25" ht="30" x14ac:dyDescent="0.25">
      <c r="A308" s="1"/>
      <c r="B308" s="1"/>
      <c r="C308" s="1"/>
      <c r="D308" s="1"/>
      <c r="E308" s="1"/>
      <c r="F308" s="1"/>
      <c r="G308" s="1489" t="s">
        <v>3366</v>
      </c>
      <c r="H308" s="4" t="str">
        <f>'Bid 2b'!B132</f>
        <v xml:space="preserve">Belanja jasa Langganan listrik </v>
      </c>
      <c r="I308" s="73">
        <f>'Bid 2b'!F132</f>
        <v>24000000</v>
      </c>
      <c r="J308" s="1" t="s">
        <v>1506</v>
      </c>
      <c r="K308" s="4" t="s">
        <v>3599</v>
      </c>
      <c r="L308" s="73">
        <v>2000000</v>
      </c>
      <c r="M308" s="73">
        <v>2000000</v>
      </c>
      <c r="N308" s="73">
        <v>2000000</v>
      </c>
      <c r="O308" s="73">
        <v>2000000</v>
      </c>
      <c r="P308" s="73">
        <v>2000000</v>
      </c>
      <c r="Q308" s="73">
        <v>2000000</v>
      </c>
      <c r="R308" s="73">
        <v>2000000</v>
      </c>
      <c r="S308" s="73">
        <v>2000000</v>
      </c>
      <c r="T308" s="73">
        <v>2000000</v>
      </c>
      <c r="U308" s="73">
        <v>2000000</v>
      </c>
      <c r="V308" s="73">
        <v>2000000</v>
      </c>
      <c r="W308" s="73">
        <v>2000000</v>
      </c>
      <c r="X308" s="1864">
        <f t="shared" ref="X308:X371" si="12">SUM(L308:W308)</f>
        <v>24000000</v>
      </c>
      <c r="Y308" s="23">
        <f t="shared" si="11"/>
        <v>0</v>
      </c>
    </row>
    <row r="309" spans="1:25" x14ac:dyDescent="0.25">
      <c r="A309" s="1"/>
      <c r="B309" s="1"/>
      <c r="C309" s="1"/>
      <c r="D309" s="1"/>
      <c r="E309" s="1"/>
      <c r="F309" s="1"/>
      <c r="G309" s="1489" t="s">
        <v>3386</v>
      </c>
      <c r="H309" s="4" t="str">
        <f>'Bid 2b'!B133</f>
        <v>Belanja jasa langganan Air</v>
      </c>
      <c r="I309" s="73">
        <f>'Bid 2b'!F133</f>
        <v>3000000</v>
      </c>
      <c r="J309" s="1" t="s">
        <v>1506</v>
      </c>
      <c r="K309" s="4" t="s">
        <v>3599</v>
      </c>
      <c r="L309" s="73">
        <v>250000</v>
      </c>
      <c r="M309" s="73">
        <v>250000</v>
      </c>
      <c r="N309" s="73">
        <v>250000</v>
      </c>
      <c r="O309" s="73">
        <v>250000</v>
      </c>
      <c r="P309" s="73">
        <v>250000</v>
      </c>
      <c r="Q309" s="73">
        <v>250000</v>
      </c>
      <c r="R309" s="73">
        <v>250000</v>
      </c>
      <c r="S309" s="73">
        <v>250000</v>
      </c>
      <c r="T309" s="73">
        <v>250000</v>
      </c>
      <c r="U309" s="73">
        <v>250000</v>
      </c>
      <c r="V309" s="73">
        <v>250000</v>
      </c>
      <c r="W309" s="73">
        <v>250000</v>
      </c>
      <c r="X309" s="1864">
        <f t="shared" si="12"/>
        <v>3000000</v>
      </c>
      <c r="Y309" s="23">
        <f t="shared" si="11"/>
        <v>0</v>
      </c>
    </row>
    <row r="310" spans="1:25" ht="30" x14ac:dyDescent="0.25">
      <c r="A310" s="1"/>
      <c r="B310" s="1"/>
      <c r="C310" s="1"/>
      <c r="D310" s="1"/>
      <c r="E310" s="1"/>
      <c r="F310" s="1"/>
      <c r="G310" s="1489" t="s">
        <v>3390</v>
      </c>
      <c r="H310" s="4" t="str">
        <f>'Bid 2b'!B134</f>
        <v>Belanja jasa langganan internet</v>
      </c>
      <c r="I310" s="73">
        <f>'Bid 2b'!F134</f>
        <v>3600000</v>
      </c>
      <c r="J310" s="1" t="s">
        <v>1506</v>
      </c>
      <c r="K310" s="4" t="s">
        <v>3599</v>
      </c>
      <c r="L310" s="73">
        <v>300000</v>
      </c>
      <c r="M310" s="73">
        <v>300000</v>
      </c>
      <c r="N310" s="73">
        <v>300000</v>
      </c>
      <c r="O310" s="73">
        <v>300000</v>
      </c>
      <c r="P310" s="73">
        <v>300000</v>
      </c>
      <c r="Q310" s="73">
        <v>300000</v>
      </c>
      <c r="R310" s="73">
        <v>300000</v>
      </c>
      <c r="S310" s="73">
        <v>300000</v>
      </c>
      <c r="T310" s="73">
        <v>300000</v>
      </c>
      <c r="U310" s="73">
        <v>300000</v>
      </c>
      <c r="V310" s="73">
        <v>300000</v>
      </c>
      <c r="W310" s="73">
        <v>300000</v>
      </c>
      <c r="X310" s="1864">
        <f t="shared" si="12"/>
        <v>3600000</v>
      </c>
      <c r="Y310" s="23">
        <f t="shared" si="11"/>
        <v>0</v>
      </c>
    </row>
    <row r="311" spans="1:25" x14ac:dyDescent="0.25">
      <c r="A311" s="1"/>
      <c r="B311" s="1"/>
      <c r="C311" s="1"/>
      <c r="D311" s="1">
        <v>5</v>
      </c>
      <c r="E311" s="1">
        <v>2</v>
      </c>
      <c r="F311" s="1">
        <v>6</v>
      </c>
      <c r="G311" s="1"/>
      <c r="H311" s="4" t="str">
        <f>'Bid 2b'!B135</f>
        <v>Belanja Pemeliharaan</v>
      </c>
      <c r="I311" s="73"/>
      <c r="J311" s="1"/>
      <c r="K311" s="4" t="s">
        <v>3599</v>
      </c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1864">
        <f t="shared" si="12"/>
        <v>0</v>
      </c>
      <c r="Y311" s="23">
        <f t="shared" si="11"/>
        <v>0</v>
      </c>
    </row>
    <row r="312" spans="1:25" x14ac:dyDescent="0.25">
      <c r="A312" s="1"/>
      <c r="B312" s="1"/>
      <c r="C312" s="1"/>
      <c r="D312" s="1"/>
      <c r="E312" s="1"/>
      <c r="F312" s="1"/>
      <c r="G312" s="1489" t="s">
        <v>3388</v>
      </c>
      <c r="H312" s="4" t="str">
        <f>'Bid 2b'!B136</f>
        <v>Pemeliharaan Peralatan</v>
      </c>
      <c r="I312" s="73">
        <f>'Bid 2b'!F137+'Bid 2b'!F138+'Bid 2b'!F139</f>
        <v>10000000</v>
      </c>
      <c r="J312" s="1" t="s">
        <v>1223</v>
      </c>
      <c r="K312" s="4" t="s">
        <v>3599</v>
      </c>
      <c r="L312" s="73"/>
      <c r="M312" s="73"/>
      <c r="N312" s="73"/>
      <c r="O312" s="73"/>
      <c r="P312" s="73"/>
      <c r="Q312" s="73">
        <v>10000000</v>
      </c>
      <c r="R312" s="73"/>
      <c r="S312" s="73"/>
      <c r="T312" s="73"/>
      <c r="U312" s="73"/>
      <c r="V312" s="73"/>
      <c r="W312" s="73"/>
      <c r="X312" s="1864">
        <f t="shared" si="12"/>
        <v>10000000</v>
      </c>
      <c r="Y312" s="23">
        <f t="shared" si="11"/>
        <v>0</v>
      </c>
    </row>
    <row r="313" spans="1:25" ht="30" x14ac:dyDescent="0.25">
      <c r="A313" s="1"/>
      <c r="B313" s="1"/>
      <c r="C313" s="1"/>
      <c r="D313" s="1"/>
      <c r="E313" s="1"/>
      <c r="F313" s="1"/>
      <c r="G313" s="1489" t="s">
        <v>3389</v>
      </c>
      <c r="H313" s="1" t="str">
        <f>'Bid 2b'!B140</f>
        <v>Pemeliharaan Bangunan</v>
      </c>
      <c r="I313" s="73">
        <f>'Bid 2b'!F141</f>
        <v>1959000</v>
      </c>
      <c r="J313" s="4" t="s">
        <v>2178</v>
      </c>
      <c r="K313" s="4" t="s">
        <v>3599</v>
      </c>
      <c r="L313" s="73"/>
      <c r="M313" s="73"/>
      <c r="N313" s="73"/>
      <c r="O313" s="73"/>
      <c r="P313" s="73"/>
      <c r="Q313" s="73">
        <v>1959000</v>
      </c>
      <c r="R313" s="73"/>
      <c r="S313" s="73"/>
      <c r="T313" s="73"/>
      <c r="U313" s="73"/>
      <c r="V313" s="73"/>
      <c r="W313" s="73"/>
      <c r="X313" s="1864">
        <f t="shared" si="12"/>
        <v>1959000</v>
      </c>
      <c r="Y313" s="23">
        <f t="shared" si="11"/>
        <v>0</v>
      </c>
    </row>
    <row r="314" spans="1:25" x14ac:dyDescent="0.25">
      <c r="A314" s="1"/>
      <c r="B314" s="1"/>
      <c r="C314" s="1"/>
      <c r="D314" s="1">
        <v>5</v>
      </c>
      <c r="E314" s="1">
        <v>3</v>
      </c>
      <c r="F314" s="1"/>
      <c r="G314" s="1"/>
      <c r="H314" s="4" t="str">
        <f>'Bid 2b'!B142</f>
        <v>Belanja Modal</v>
      </c>
      <c r="I314" s="73"/>
      <c r="J314" s="1"/>
      <c r="K314" s="4" t="s">
        <v>3599</v>
      </c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1864">
        <f t="shared" si="12"/>
        <v>0</v>
      </c>
      <c r="Y314" s="23">
        <f t="shared" si="11"/>
        <v>0</v>
      </c>
    </row>
    <row r="315" spans="1:25" x14ac:dyDescent="0.25">
      <c r="A315" s="1"/>
      <c r="B315" s="1"/>
      <c r="C315" s="1"/>
      <c r="D315" s="1"/>
      <c r="E315" s="1"/>
      <c r="F315" s="1">
        <v>2</v>
      </c>
      <c r="G315" s="1"/>
      <c r="H315" s="4" t="str">
        <f>'Bid 2b'!B143</f>
        <v>Belanja Modal Peralatan</v>
      </c>
      <c r="I315" s="73"/>
      <c r="J315" s="1"/>
      <c r="K315" s="4" t="s">
        <v>3599</v>
      </c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1864">
        <f t="shared" si="12"/>
        <v>0</v>
      </c>
      <c r="Y315" s="23">
        <f t="shared" si="11"/>
        <v>0</v>
      </c>
    </row>
    <row r="316" spans="1:25" ht="45" x14ac:dyDescent="0.25">
      <c r="A316" s="1"/>
      <c r="B316" s="1"/>
      <c r="C316" s="1"/>
      <c r="D316" s="1"/>
      <c r="E316" s="1"/>
      <c r="F316" s="1"/>
      <c r="G316" s="1489" t="s">
        <v>3389</v>
      </c>
      <c r="H316" s="4" t="str">
        <f>'Bid 2b'!B144</f>
        <v>Belanja Modal Peralatan Mebeulair dan Aksesori Ruangan</v>
      </c>
      <c r="I316" s="73">
        <f>'Bid 2b'!F145</f>
        <v>5000000</v>
      </c>
      <c r="J316" s="4" t="s">
        <v>1223</v>
      </c>
      <c r="K316" s="4" t="s">
        <v>3599</v>
      </c>
      <c r="L316" s="73"/>
      <c r="M316" s="73"/>
      <c r="N316" s="73"/>
      <c r="O316" s="73"/>
      <c r="P316" s="73"/>
      <c r="Q316" s="73"/>
      <c r="R316" s="73">
        <v>5000000</v>
      </c>
      <c r="S316" s="73"/>
      <c r="T316" s="73"/>
      <c r="U316" s="73"/>
      <c r="V316" s="73"/>
      <c r="W316" s="73"/>
      <c r="X316" s="1864">
        <f t="shared" si="12"/>
        <v>5000000</v>
      </c>
      <c r="Y316" s="23">
        <f t="shared" si="11"/>
        <v>0</v>
      </c>
    </row>
    <row r="317" spans="1:25" ht="73.150000000000006" customHeight="1" x14ac:dyDescent="0.25">
      <c r="A317" s="865">
        <v>2</v>
      </c>
      <c r="B317" s="865">
        <v>1</v>
      </c>
      <c r="C317" s="1490" t="s">
        <v>3388</v>
      </c>
      <c r="D317" s="865"/>
      <c r="E317" s="865"/>
      <c r="F317" s="865"/>
      <c r="G317" s="865"/>
      <c r="H317" s="1061" t="str">
        <f>'Bid 2b'!B160</f>
        <v>: Pembinaan atau Pelatihan Kelompok Belajar Widya Kumara Bhuwana ( Pelatihan Bahasa dan Aksara Bali Untuk Anak-Anak )</v>
      </c>
      <c r="I317" s="1063">
        <f>SUM(I318:I326)</f>
        <v>18008000</v>
      </c>
      <c r="J317" s="865" t="s">
        <v>1506</v>
      </c>
      <c r="K317" s="1061" t="s">
        <v>3599</v>
      </c>
      <c r="L317" s="1063"/>
      <c r="M317" s="1063"/>
      <c r="N317" s="1063"/>
      <c r="O317" s="1063"/>
      <c r="P317" s="1063"/>
      <c r="Q317" s="1063"/>
      <c r="R317" s="1063"/>
      <c r="S317" s="1063"/>
      <c r="T317" s="1063"/>
      <c r="U317" s="1063"/>
      <c r="V317" s="1063"/>
      <c r="W317" s="1063"/>
      <c r="X317" s="1866">
        <f t="shared" si="12"/>
        <v>0</v>
      </c>
      <c r="Y317" s="23">
        <f t="shared" si="11"/>
        <v>-18008000</v>
      </c>
    </row>
    <row r="318" spans="1:25" x14ac:dyDescent="0.25">
      <c r="A318" s="1"/>
      <c r="B318" s="1"/>
      <c r="C318" s="1"/>
      <c r="D318" s="1">
        <v>5</v>
      </c>
      <c r="E318" s="1">
        <v>2</v>
      </c>
      <c r="F318" s="1"/>
      <c r="G318" s="1"/>
      <c r="H318" s="4" t="str">
        <f>'Bid 2b'!B167</f>
        <v>Belanja Barang Jasa</v>
      </c>
      <c r="I318" s="73"/>
      <c r="J318" s="1"/>
      <c r="K318" s="4" t="s">
        <v>3599</v>
      </c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1864">
        <f t="shared" si="12"/>
        <v>0</v>
      </c>
      <c r="Y318" s="23">
        <f t="shared" si="11"/>
        <v>0</v>
      </c>
    </row>
    <row r="319" spans="1:25" ht="30" x14ac:dyDescent="0.25">
      <c r="A319" s="1"/>
      <c r="B319" s="1"/>
      <c r="C319" s="1"/>
      <c r="D319" s="1"/>
      <c r="E319" s="1"/>
      <c r="F319" s="1">
        <v>1</v>
      </c>
      <c r="G319" s="1"/>
      <c r="H319" s="4" t="str">
        <f>'Bid 2b'!B168</f>
        <v>Belanja Barang Perlengkapan</v>
      </c>
      <c r="I319" s="73"/>
      <c r="J319" s="1"/>
      <c r="K319" s="4" t="s">
        <v>3599</v>
      </c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1864">
        <f t="shared" si="12"/>
        <v>0</v>
      </c>
      <c r="Y319" s="23">
        <f t="shared" si="11"/>
        <v>0</v>
      </c>
    </row>
    <row r="320" spans="1:25" ht="30" x14ac:dyDescent="0.25">
      <c r="A320" s="1"/>
      <c r="B320" s="1"/>
      <c r="C320" s="1"/>
      <c r="D320" s="1"/>
      <c r="E320" s="1"/>
      <c r="F320" s="1"/>
      <c r="G320" s="1489" t="s">
        <v>3366</v>
      </c>
      <c r="H320" s="4" t="str">
        <f>'Bid 2b'!B169</f>
        <v>Belanja Alat Tulis Kantor dan Benda Pos</v>
      </c>
      <c r="I320" s="73">
        <f>SUM('Bid 2b'!F170:F175)</f>
        <v>2390000</v>
      </c>
      <c r="J320" s="1" t="s">
        <v>1506</v>
      </c>
      <c r="K320" s="4" t="s">
        <v>3599</v>
      </c>
      <c r="L320" s="73">
        <v>2390000</v>
      </c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1864">
        <f t="shared" si="12"/>
        <v>2390000</v>
      </c>
      <c r="Y320" s="23">
        <f t="shared" si="11"/>
        <v>0</v>
      </c>
    </row>
    <row r="321" spans="1:25" ht="30" x14ac:dyDescent="0.25">
      <c r="A321" s="1"/>
      <c r="B321" s="1"/>
      <c r="C321" s="1"/>
      <c r="D321" s="1"/>
      <c r="E321" s="1"/>
      <c r="F321" s="1"/>
      <c r="G321" s="1489" t="s">
        <v>3391</v>
      </c>
      <c r="H321" s="4" t="str">
        <f>'Bid 2b'!B176</f>
        <v>Belanja Barang Perlengkapan Konsumsi</v>
      </c>
      <c r="I321" s="73">
        <f>SUM('Bid 2b'!F177)</f>
        <v>9240000</v>
      </c>
      <c r="J321" s="1" t="s">
        <v>1506</v>
      </c>
      <c r="K321" s="4" t="s">
        <v>3599</v>
      </c>
      <c r="L321" s="73">
        <v>9240000</v>
      </c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1864">
        <f t="shared" si="12"/>
        <v>9240000</v>
      </c>
      <c r="Y321" s="23">
        <f t="shared" si="11"/>
        <v>0</v>
      </c>
    </row>
    <row r="322" spans="1:25" ht="30" x14ac:dyDescent="0.25">
      <c r="A322" s="1"/>
      <c r="B322" s="1"/>
      <c r="C322" s="1"/>
      <c r="D322" s="1"/>
      <c r="E322" s="1"/>
      <c r="F322" s="1"/>
      <c r="G322" s="1489" t="s">
        <v>3393</v>
      </c>
      <c r="H322" s="4" t="str">
        <f>'Bid 2b'!B178</f>
        <v>Belanja Bendera/ Umbul-umbul/ Spanduk</v>
      </c>
      <c r="I322" s="73">
        <f>'Bid 2b'!F179</f>
        <v>90000</v>
      </c>
      <c r="J322" s="1" t="s">
        <v>1506</v>
      </c>
      <c r="K322" s="4" t="s">
        <v>3599</v>
      </c>
      <c r="L322" s="73">
        <v>90000</v>
      </c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1864">
        <f t="shared" si="12"/>
        <v>90000</v>
      </c>
      <c r="Y322" s="23">
        <f t="shared" si="11"/>
        <v>0</v>
      </c>
    </row>
    <row r="323" spans="1:25" x14ac:dyDescent="0.25">
      <c r="A323" s="1"/>
      <c r="B323" s="1"/>
      <c r="C323" s="1"/>
      <c r="D323" s="1">
        <v>5</v>
      </c>
      <c r="E323" s="1">
        <v>2</v>
      </c>
      <c r="F323" s="1">
        <v>2</v>
      </c>
      <c r="G323" s="1"/>
      <c r="H323" s="4" t="str">
        <f>'Bid 2b'!B180</f>
        <v>Belanja Honorarium</v>
      </c>
      <c r="I323" s="73"/>
      <c r="J323" s="1"/>
      <c r="K323" s="4" t="s">
        <v>3599</v>
      </c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1864">
        <f t="shared" si="12"/>
        <v>0</v>
      </c>
      <c r="Y323" s="23">
        <f t="shared" si="11"/>
        <v>0</v>
      </c>
    </row>
    <row r="324" spans="1:25" ht="30" x14ac:dyDescent="0.25">
      <c r="A324" s="1"/>
      <c r="B324" s="1"/>
      <c r="C324" s="1"/>
      <c r="D324" s="1"/>
      <c r="E324" s="1"/>
      <c r="F324" s="1"/>
      <c r="G324" s="1489" t="s">
        <v>3366</v>
      </c>
      <c r="H324" s="4" t="str">
        <f>'Bid 2b'!B181</f>
        <v>Belanja Jasa Honorarium Tim Yang Melaksanakan Kegiatan</v>
      </c>
      <c r="I324" s="73">
        <f>'Bid 2b'!F182</f>
        <v>4200000</v>
      </c>
      <c r="J324" s="1" t="s">
        <v>1506</v>
      </c>
      <c r="K324" s="4" t="s">
        <v>3599</v>
      </c>
      <c r="L324" s="73">
        <v>4200000</v>
      </c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1864">
        <f t="shared" si="12"/>
        <v>4200000</v>
      </c>
      <c r="Y324" s="23">
        <f t="shared" si="11"/>
        <v>0</v>
      </c>
    </row>
    <row r="325" spans="1:25" ht="45" x14ac:dyDescent="0.25">
      <c r="A325" s="1"/>
      <c r="B325" s="1"/>
      <c r="C325" s="1"/>
      <c r="D325" s="1">
        <v>5</v>
      </c>
      <c r="E325" s="1">
        <v>2</v>
      </c>
      <c r="F325" s="1">
        <v>7</v>
      </c>
      <c r="G325" s="1"/>
      <c r="H325" s="4" t="str">
        <f>'Bid 2b'!B184</f>
        <v>Belanaja Barang dan Jasa yang Diserahkan kepada masyarakat</v>
      </c>
      <c r="I325" s="73"/>
      <c r="J325" s="1"/>
      <c r="K325" s="4" t="s">
        <v>3599</v>
      </c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1864">
        <f t="shared" si="12"/>
        <v>0</v>
      </c>
      <c r="Y325" s="23">
        <f t="shared" si="11"/>
        <v>0</v>
      </c>
    </row>
    <row r="326" spans="1:25" ht="45" x14ac:dyDescent="0.25">
      <c r="A326" s="1"/>
      <c r="B326" s="1"/>
      <c r="C326" s="1"/>
      <c r="D326" s="1"/>
      <c r="E326" s="1"/>
      <c r="F326" s="1"/>
      <c r="G326" s="1489" t="s">
        <v>3366</v>
      </c>
      <c r="H326" s="4" t="str">
        <f>'Bid 2b'!B185</f>
        <v>Belanaja Barang Perlengkapan yang Diserahkan ke Masyarakat</v>
      </c>
      <c r="I326" s="73">
        <f>SUM('Bid 2b'!F186:F188)</f>
        <v>2088000</v>
      </c>
      <c r="J326" s="1" t="s">
        <v>1506</v>
      </c>
      <c r="K326" s="4" t="s">
        <v>3599</v>
      </c>
      <c r="L326" s="73">
        <v>2088000</v>
      </c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1864">
        <f t="shared" si="12"/>
        <v>2088000</v>
      </c>
      <c r="Y326" s="23">
        <f t="shared" si="11"/>
        <v>0</v>
      </c>
    </row>
    <row r="327" spans="1:25" ht="75" customHeight="1" x14ac:dyDescent="0.25">
      <c r="A327" s="865">
        <v>2</v>
      </c>
      <c r="B327" s="865">
        <v>1</v>
      </c>
      <c r="C327" s="1490" t="s">
        <v>3392</v>
      </c>
      <c r="D327" s="865"/>
      <c r="E327" s="865"/>
      <c r="F327" s="865"/>
      <c r="G327" s="865"/>
      <c r="H327" s="1061" t="str">
        <f>'Bid 2b'!B204</f>
        <v>:Peningkatan Sarana Prasarana Perpustakaan/Taman Bacaan Desa/ Sanggar Belajar Milik Desa (Perpustakaan Digital dan keliling)</v>
      </c>
      <c r="I327" s="1063">
        <f>SUM(I328:I332)</f>
        <v>6979246</v>
      </c>
      <c r="J327" s="1061" t="s">
        <v>2177</v>
      </c>
      <c r="K327" s="1061" t="s">
        <v>3595</v>
      </c>
      <c r="L327" s="1063"/>
      <c r="M327" s="1063"/>
      <c r="N327" s="1063"/>
      <c r="O327" s="1063"/>
      <c r="P327" s="1063"/>
      <c r="Q327" s="1063"/>
      <c r="R327" s="1063"/>
      <c r="S327" s="1063"/>
      <c r="T327" s="1063"/>
      <c r="U327" s="1063"/>
      <c r="V327" s="1063"/>
      <c r="W327" s="1063"/>
      <c r="X327" s="1866">
        <f t="shared" si="12"/>
        <v>0</v>
      </c>
      <c r="Y327" s="23">
        <f t="shared" si="11"/>
        <v>-6979246</v>
      </c>
    </row>
    <row r="328" spans="1:25" x14ac:dyDescent="0.25">
      <c r="A328" s="1"/>
      <c r="B328" s="1"/>
      <c r="C328" s="1"/>
      <c r="D328" s="1">
        <v>5</v>
      </c>
      <c r="E328" s="1">
        <v>2</v>
      </c>
      <c r="F328" s="1"/>
      <c r="G328" s="1"/>
      <c r="H328" s="4" t="str">
        <f>'Bid 2b'!B211</f>
        <v>Belanja Barang Jasa</v>
      </c>
      <c r="I328" s="73"/>
      <c r="J328" s="4"/>
      <c r="K328" s="4" t="s">
        <v>3595</v>
      </c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1864">
        <f t="shared" si="12"/>
        <v>0</v>
      </c>
      <c r="Y328" s="23">
        <f t="shared" si="11"/>
        <v>0</v>
      </c>
    </row>
    <row r="329" spans="1:25" ht="30" x14ac:dyDescent="0.25">
      <c r="A329" s="1"/>
      <c r="B329" s="1"/>
      <c r="C329" s="1"/>
      <c r="D329" s="1"/>
      <c r="E329" s="1"/>
      <c r="F329" s="1">
        <v>1</v>
      </c>
      <c r="G329" s="1"/>
      <c r="H329" s="4" t="str">
        <f>'Bid 2b'!B212</f>
        <v>Belanja Barang Perlengkapan</v>
      </c>
      <c r="I329" s="73"/>
      <c r="J329" s="4"/>
      <c r="K329" s="4" t="s">
        <v>3595</v>
      </c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1864">
        <f t="shared" si="12"/>
        <v>0</v>
      </c>
      <c r="Y329" s="23">
        <f t="shared" si="11"/>
        <v>0</v>
      </c>
    </row>
    <row r="330" spans="1:25" ht="30" x14ac:dyDescent="0.25">
      <c r="A330" s="1"/>
      <c r="B330" s="1"/>
      <c r="C330" s="1"/>
      <c r="D330" s="1"/>
      <c r="E330" s="1"/>
      <c r="F330" s="1"/>
      <c r="G330" s="1489" t="s">
        <v>3389</v>
      </c>
      <c r="H330" s="4" t="str">
        <f>'Bid 2b'!B213</f>
        <v>Belanja Bahan Bakar Kendaraan Bermotor</v>
      </c>
      <c r="I330" s="73">
        <f>'Bid 2b'!F214</f>
        <v>4000000</v>
      </c>
      <c r="J330" s="4" t="s">
        <v>2177</v>
      </c>
      <c r="K330" s="4" t="s">
        <v>3595</v>
      </c>
      <c r="L330" s="73">
        <v>341000</v>
      </c>
      <c r="M330" s="73">
        <v>341000</v>
      </c>
      <c r="N330" s="73">
        <v>341000</v>
      </c>
      <c r="O330" s="73">
        <v>341000</v>
      </c>
      <c r="P330" s="73">
        <v>341000</v>
      </c>
      <c r="Q330" s="73">
        <v>341000</v>
      </c>
      <c r="R330" s="73">
        <v>341000</v>
      </c>
      <c r="S330" s="73">
        <v>341000</v>
      </c>
      <c r="T330" s="73">
        <v>341000</v>
      </c>
      <c r="U330" s="73">
        <v>198185</v>
      </c>
      <c r="V330" s="73">
        <v>341000</v>
      </c>
      <c r="W330" s="73">
        <v>391815</v>
      </c>
      <c r="X330" s="1864">
        <f t="shared" si="12"/>
        <v>4000000</v>
      </c>
      <c r="Y330" s="23">
        <f t="shared" si="11"/>
        <v>0</v>
      </c>
    </row>
    <row r="331" spans="1:25" x14ac:dyDescent="0.25">
      <c r="A331" s="1"/>
      <c r="B331" s="1"/>
      <c r="C331" s="1"/>
      <c r="D331" s="1">
        <v>5</v>
      </c>
      <c r="E331" s="1">
        <v>2</v>
      </c>
      <c r="F331" s="1">
        <v>6</v>
      </c>
      <c r="G331" s="1"/>
      <c r="H331" s="4" t="str">
        <f>'Bid 2b'!B215</f>
        <v>Belanja Pemeliharaan</v>
      </c>
      <c r="I331" s="73"/>
      <c r="J331" s="4"/>
      <c r="K331" s="4" t="s">
        <v>3595</v>
      </c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1864">
        <f t="shared" si="12"/>
        <v>0</v>
      </c>
      <c r="Y331" s="23">
        <f t="shared" si="11"/>
        <v>0</v>
      </c>
    </row>
    <row r="332" spans="1:25" ht="30" x14ac:dyDescent="0.25">
      <c r="A332" s="1"/>
      <c r="B332" s="1"/>
      <c r="C332" s="1"/>
      <c r="D332" s="1"/>
      <c r="E332" s="1"/>
      <c r="F332" s="1"/>
      <c r="G332" s="1489" t="s">
        <v>3386</v>
      </c>
      <c r="H332" s="4" t="str">
        <f>'Bid 2b'!B216</f>
        <v>Belanja Pemeliharaan Kendaraan Bermotor</v>
      </c>
      <c r="I332" s="73">
        <f>'Bid 2b'!F217</f>
        <v>2979246</v>
      </c>
      <c r="J332" s="4" t="s">
        <v>2177</v>
      </c>
      <c r="K332" s="4" t="s">
        <v>3595</v>
      </c>
      <c r="L332" s="73">
        <v>240000</v>
      </c>
      <c r="M332" s="73">
        <v>240000</v>
      </c>
      <c r="N332" s="73">
        <v>240000</v>
      </c>
      <c r="O332" s="73">
        <v>240000</v>
      </c>
      <c r="P332" s="73">
        <v>622185</v>
      </c>
      <c r="Q332" s="73">
        <v>240000</v>
      </c>
      <c r="R332" s="73">
        <v>240000</v>
      </c>
      <c r="S332" s="73">
        <v>240000</v>
      </c>
      <c r="T332" s="73">
        <v>240000</v>
      </c>
      <c r="U332" s="73"/>
      <c r="V332" s="73">
        <v>240000</v>
      </c>
      <c r="W332" s="73">
        <v>197061</v>
      </c>
      <c r="X332" s="1864">
        <f t="shared" si="12"/>
        <v>2979246</v>
      </c>
      <c r="Y332" s="23">
        <f t="shared" si="11"/>
        <v>0</v>
      </c>
    </row>
    <row r="333" spans="1:25" ht="16.899999999999999" customHeight="1" x14ac:dyDescent="0.25">
      <c r="A333" s="865">
        <v>2</v>
      </c>
      <c r="B333" s="865">
        <v>2</v>
      </c>
      <c r="C333" s="865"/>
      <c r="D333" s="865"/>
      <c r="E333" s="865"/>
      <c r="F333" s="865"/>
      <c r="G333" s="865"/>
      <c r="H333" s="865" t="str">
        <f>'Bid 2b'!B229</f>
        <v>: Kesehatan</v>
      </c>
      <c r="I333" s="1063"/>
      <c r="J333" s="1061"/>
      <c r="K333" s="1061"/>
      <c r="L333" s="1063"/>
      <c r="M333" s="1063"/>
      <c r="N333" s="1063"/>
      <c r="O333" s="1063"/>
      <c r="P333" s="1063"/>
      <c r="Q333" s="1063"/>
      <c r="R333" s="1063"/>
      <c r="S333" s="1063"/>
      <c r="T333" s="1063"/>
      <c r="U333" s="1063"/>
      <c r="V333" s="1063"/>
      <c r="W333" s="1063"/>
      <c r="X333" s="1866">
        <f t="shared" si="12"/>
        <v>0</v>
      </c>
      <c r="Y333" s="23">
        <f t="shared" si="11"/>
        <v>0</v>
      </c>
    </row>
    <row r="334" spans="1:25" ht="46.15" customHeight="1" x14ac:dyDescent="0.25">
      <c r="A334" s="865">
        <v>2</v>
      </c>
      <c r="B334" s="865">
        <v>2</v>
      </c>
      <c r="C334" s="1490" t="s">
        <v>3386</v>
      </c>
      <c r="D334" s="865"/>
      <c r="E334" s="865"/>
      <c r="F334" s="865"/>
      <c r="G334" s="865"/>
      <c r="H334" s="1061" t="str">
        <f>'Bid 2b'!B230</f>
        <v>: Penyelenggaraan Posyandu (Penyelenggaraan Posyandu ILP)</v>
      </c>
      <c r="I334" s="1063">
        <f>SUM(I335:I344)</f>
        <v>883933100</v>
      </c>
      <c r="J334" s="865"/>
      <c r="K334" s="1061" t="s">
        <v>3600</v>
      </c>
      <c r="L334" s="1063"/>
      <c r="M334" s="1063"/>
      <c r="N334" s="1063"/>
      <c r="O334" s="1063"/>
      <c r="P334" s="1063"/>
      <c r="Q334" s="1063"/>
      <c r="R334" s="1063"/>
      <c r="S334" s="1063"/>
      <c r="T334" s="1063"/>
      <c r="U334" s="1063"/>
      <c r="V334" s="1063"/>
      <c r="W334" s="1063"/>
      <c r="X334" s="1866">
        <f t="shared" si="12"/>
        <v>0</v>
      </c>
      <c r="Y334" s="23">
        <f t="shared" si="11"/>
        <v>-883933100</v>
      </c>
    </row>
    <row r="335" spans="1:25" x14ac:dyDescent="0.25">
      <c r="A335" s="1"/>
      <c r="B335" s="1"/>
      <c r="C335" s="1"/>
      <c r="D335" s="1">
        <v>5</v>
      </c>
      <c r="E335" s="1">
        <v>2</v>
      </c>
      <c r="F335" s="1"/>
      <c r="G335" s="1"/>
      <c r="H335" s="4" t="str">
        <f>'Bid 2b'!B235</f>
        <v>Belanja Barang dan Jasa</v>
      </c>
      <c r="I335" s="73"/>
      <c r="J335" s="1"/>
      <c r="K335" s="4" t="s">
        <v>3600</v>
      </c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1864">
        <f t="shared" si="12"/>
        <v>0</v>
      </c>
      <c r="Y335" s="23">
        <f t="shared" si="11"/>
        <v>0</v>
      </c>
    </row>
    <row r="336" spans="1:25" ht="30" x14ac:dyDescent="0.25">
      <c r="A336" s="1"/>
      <c r="B336" s="1"/>
      <c r="C336" s="1"/>
      <c r="D336" s="1"/>
      <c r="E336" s="1"/>
      <c r="F336" s="1">
        <v>1</v>
      </c>
      <c r="G336" s="1"/>
      <c r="H336" s="4" t="str">
        <f>'Bid 2b'!B236</f>
        <v>Belanaja Barang Pelengkapan</v>
      </c>
      <c r="I336" s="73"/>
      <c r="J336" s="1"/>
      <c r="K336" s="4" t="s">
        <v>3600</v>
      </c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1864">
        <f t="shared" si="12"/>
        <v>0</v>
      </c>
      <c r="Y336" s="23">
        <f t="shared" si="11"/>
        <v>0</v>
      </c>
    </row>
    <row r="337" spans="1:27" ht="30" x14ac:dyDescent="0.25">
      <c r="A337" s="1"/>
      <c r="B337" s="1"/>
      <c r="C337" s="1"/>
      <c r="D337" s="1"/>
      <c r="E337" s="1"/>
      <c r="F337" s="1"/>
      <c r="G337" s="1489" t="s">
        <v>3366</v>
      </c>
      <c r="H337" s="4" t="str">
        <f>'Bid 2b'!B237</f>
        <v>Perlangakapan Alat Tulis Kantor dan Benda POS</v>
      </c>
      <c r="I337" s="73">
        <f>SUM('Bid 2b'!F238:F241)</f>
        <v>4553000</v>
      </c>
      <c r="J337" s="4" t="s">
        <v>2179</v>
      </c>
      <c r="K337" s="4" t="s">
        <v>3600</v>
      </c>
      <c r="L337" s="73"/>
      <c r="M337" s="73"/>
      <c r="N337" s="73">
        <v>4553000</v>
      </c>
      <c r="O337" s="73"/>
      <c r="P337" s="73"/>
      <c r="Q337" s="73"/>
      <c r="R337" s="73"/>
      <c r="S337" s="73"/>
      <c r="T337" s="73"/>
      <c r="U337" s="73"/>
      <c r="V337" s="73"/>
      <c r="W337" s="73"/>
      <c r="X337" s="1864">
        <f t="shared" si="12"/>
        <v>4553000</v>
      </c>
      <c r="Y337" s="23">
        <f t="shared" si="11"/>
        <v>0</v>
      </c>
    </row>
    <row r="338" spans="1:27" ht="30" x14ac:dyDescent="0.25">
      <c r="A338" s="1"/>
      <c r="B338" s="1"/>
      <c r="C338" s="1"/>
      <c r="D338" s="1"/>
      <c r="E338" s="1"/>
      <c r="F338" s="1"/>
      <c r="G338" s="1489" t="s">
        <v>3391</v>
      </c>
      <c r="H338" s="4" t="str">
        <f>'Bid 2b'!B242</f>
        <v>Belanja Perlengkapan Barang Konsumsi</v>
      </c>
      <c r="I338" s="73">
        <f>'Bid 2b'!F244+'Bid 2b'!F246+'Bid 2b'!F248</f>
        <v>288180000</v>
      </c>
      <c r="J338" s="1" t="s">
        <v>1410</v>
      </c>
      <c r="K338" s="4" t="s">
        <v>3600</v>
      </c>
      <c r="L338" s="73">
        <v>24015000</v>
      </c>
      <c r="M338" s="73">
        <v>24015000</v>
      </c>
      <c r="N338" s="73">
        <v>24015000</v>
      </c>
      <c r="O338" s="73">
        <v>24015000</v>
      </c>
      <c r="P338" s="73">
        <v>24015000</v>
      </c>
      <c r="Q338" s="73">
        <v>24015000</v>
      </c>
      <c r="R338" s="73">
        <v>24015000</v>
      </c>
      <c r="S338" s="73">
        <v>24015000</v>
      </c>
      <c r="T338" s="73">
        <v>24015000</v>
      </c>
      <c r="U338" s="73">
        <v>24015000</v>
      </c>
      <c r="V338" s="73">
        <v>24015000</v>
      </c>
      <c r="W338" s="73">
        <v>24015000</v>
      </c>
      <c r="X338" s="1864">
        <f t="shared" si="12"/>
        <v>288180000</v>
      </c>
      <c r="Y338" s="23">
        <f t="shared" si="11"/>
        <v>0</v>
      </c>
    </row>
    <row r="339" spans="1:27" ht="30" x14ac:dyDescent="0.25">
      <c r="A339" s="1"/>
      <c r="B339" s="1"/>
      <c r="C339" s="1"/>
      <c r="D339" s="1"/>
      <c r="E339" s="1"/>
      <c r="F339" s="1"/>
      <c r="G339" s="1489" t="s">
        <v>3391</v>
      </c>
      <c r="H339" s="4" t="str">
        <f>'Bid 2b'!B242</f>
        <v>Belanja Perlengkapan Barang Konsumsi</v>
      </c>
      <c r="I339" s="73">
        <f>'Bid 2b'!F247+'Bid 2b'!F249</f>
        <v>175500000</v>
      </c>
      <c r="J339" s="4" t="s">
        <v>1777</v>
      </c>
      <c r="K339" s="4" t="s">
        <v>3600</v>
      </c>
      <c r="L339" s="73">
        <v>19500000</v>
      </c>
      <c r="M339" s="73">
        <v>19500000</v>
      </c>
      <c r="N339" s="73">
        <v>19500000</v>
      </c>
      <c r="O339" s="73">
        <v>19500000</v>
      </c>
      <c r="P339" s="73">
        <v>19500000</v>
      </c>
      <c r="Q339" s="73">
        <v>19500000</v>
      </c>
      <c r="R339" s="73">
        <v>9750000</v>
      </c>
      <c r="S339" s="73">
        <v>9750000</v>
      </c>
      <c r="T339" s="73">
        <v>9750000</v>
      </c>
      <c r="U339" s="73">
        <v>9750000</v>
      </c>
      <c r="V339" s="73">
        <v>9750000</v>
      </c>
      <c r="W339" s="73">
        <v>9750000</v>
      </c>
      <c r="X339" s="1864">
        <f t="shared" si="12"/>
        <v>175500000</v>
      </c>
      <c r="Y339" s="23">
        <f t="shared" si="11"/>
        <v>0</v>
      </c>
    </row>
    <row r="340" spans="1:27" s="1903" customFormat="1" x14ac:dyDescent="0.25">
      <c r="A340" s="1898"/>
      <c r="B340" s="1898"/>
      <c r="C340" s="1898"/>
      <c r="D340" s="1898"/>
      <c r="E340" s="1898"/>
      <c r="F340" s="1898"/>
      <c r="G340" s="1904" t="s">
        <v>3392</v>
      </c>
      <c r="H340" s="1898" t="str">
        <f>'Bid 2b'!B251</f>
        <v>Belanja Bahan/Material</v>
      </c>
      <c r="I340" s="1900">
        <f>SUM('Bid 2b'!F252:F258)</f>
        <v>75460100</v>
      </c>
      <c r="J340" s="1898" t="s">
        <v>1506</v>
      </c>
      <c r="K340" s="1899" t="s">
        <v>3600</v>
      </c>
      <c r="L340" s="1900">
        <v>34610050</v>
      </c>
      <c r="M340" s="1900"/>
      <c r="N340" s="1900"/>
      <c r="O340" s="1900"/>
      <c r="P340" s="1900"/>
      <c r="Q340" s="1900"/>
      <c r="R340" s="1905">
        <v>40850050</v>
      </c>
      <c r="S340" s="1900"/>
      <c r="T340" s="1900"/>
      <c r="U340" s="1900"/>
      <c r="V340" s="1900"/>
      <c r="W340" s="1900"/>
      <c r="X340" s="1901">
        <f t="shared" si="12"/>
        <v>75460100</v>
      </c>
      <c r="Y340" s="1902">
        <f t="shared" si="11"/>
        <v>0</v>
      </c>
      <c r="Z340" s="1905"/>
      <c r="AA340" s="1903">
        <v>57450050</v>
      </c>
    </row>
    <row r="341" spans="1:27" s="1903" customFormat="1" x14ac:dyDescent="0.25">
      <c r="A341" s="1898"/>
      <c r="B341" s="1898"/>
      <c r="C341" s="1898"/>
      <c r="D341" s="1898"/>
      <c r="E341" s="1898"/>
      <c r="F341" s="1898"/>
      <c r="G341" s="1904" t="s">
        <v>3394</v>
      </c>
      <c r="H341" s="1898" t="str">
        <f>'Bid 2b'!B259</f>
        <v xml:space="preserve">Belanja Seragam </v>
      </c>
      <c r="I341" s="1900">
        <f>'Bid 2b'!F260</f>
        <v>0</v>
      </c>
      <c r="J341" s="1898" t="s">
        <v>1506</v>
      </c>
      <c r="K341" s="1899" t="s">
        <v>3600</v>
      </c>
      <c r="L341" s="1900"/>
      <c r="M341" s="1900"/>
      <c r="N341" s="1900"/>
      <c r="O341" s="1900"/>
      <c r="P341" s="1900"/>
      <c r="Q341" s="1900"/>
      <c r="R341" s="1900"/>
      <c r="S341" s="1900"/>
      <c r="T341" s="1900"/>
      <c r="U341" s="1900"/>
      <c r="V341" s="1900"/>
      <c r="W341" s="1900"/>
      <c r="X341" s="1901">
        <f t="shared" si="12"/>
        <v>0</v>
      </c>
      <c r="Y341" s="1902">
        <f t="shared" si="11"/>
        <v>0</v>
      </c>
    </row>
    <row r="342" spans="1:27" x14ac:dyDescent="0.25">
      <c r="A342" s="1"/>
      <c r="B342" s="1"/>
      <c r="C342" s="1"/>
      <c r="D342" s="1"/>
      <c r="E342" s="1"/>
      <c r="F342" s="1"/>
      <c r="G342" s="1">
        <v>90</v>
      </c>
      <c r="H342" s="4" t="str">
        <f>'Bid 2b'!B261</f>
        <v>Belanja Perlengkapan Aci</v>
      </c>
      <c r="I342" s="73">
        <f>SUM('Bid 2b'!F262:F263)</f>
        <v>6240000</v>
      </c>
      <c r="J342" s="1" t="s">
        <v>1506</v>
      </c>
      <c r="K342" s="4" t="s">
        <v>3600</v>
      </c>
      <c r="L342" s="73">
        <v>6240000</v>
      </c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1864">
        <f t="shared" si="12"/>
        <v>6240000</v>
      </c>
      <c r="Y342" s="23">
        <f t="shared" si="11"/>
        <v>0</v>
      </c>
    </row>
    <row r="343" spans="1:27" x14ac:dyDescent="0.25">
      <c r="A343" s="1"/>
      <c r="B343" s="1"/>
      <c r="C343" s="1"/>
      <c r="D343" s="1">
        <v>5</v>
      </c>
      <c r="E343" s="1">
        <v>2</v>
      </c>
      <c r="F343" s="1">
        <v>2</v>
      </c>
      <c r="G343" s="1"/>
      <c r="H343" s="4" t="str">
        <f>'Bid 2b'!B264</f>
        <v>Belanja Jasa Honorarium</v>
      </c>
      <c r="I343" s="73"/>
      <c r="J343" s="1"/>
      <c r="K343" s="4" t="s">
        <v>3600</v>
      </c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1864">
        <f t="shared" si="12"/>
        <v>0</v>
      </c>
      <c r="Y343" s="23">
        <f t="shared" si="11"/>
        <v>0</v>
      </c>
    </row>
    <row r="344" spans="1:27" s="1903" customFormat="1" ht="30" x14ac:dyDescent="0.25">
      <c r="A344" s="1898"/>
      <c r="B344" s="1898"/>
      <c r="C344" s="1898"/>
      <c r="D344" s="1898"/>
      <c r="E344" s="1898"/>
      <c r="F344" s="1898"/>
      <c r="G344" s="1904" t="s">
        <v>3390</v>
      </c>
      <c r="H344" s="1899" t="str">
        <f>'Bid 2b'!B265</f>
        <v>Belanja Jasa Honorarium Petugas</v>
      </c>
      <c r="I344" s="1900">
        <f>'Bid 2b'!F266</f>
        <v>334000000</v>
      </c>
      <c r="J344" s="1898" t="s">
        <v>1506</v>
      </c>
      <c r="K344" s="1899" t="s">
        <v>3600</v>
      </c>
      <c r="L344" s="1900">
        <v>33400000</v>
      </c>
      <c r="M344" s="1900">
        <v>33400000</v>
      </c>
      <c r="N344" s="1900">
        <v>33400000</v>
      </c>
      <c r="O344" s="1900">
        <v>33400000</v>
      </c>
      <c r="P344" s="1900">
        <v>33400000</v>
      </c>
      <c r="Q344" s="1900">
        <v>33400000</v>
      </c>
      <c r="R344" s="1900">
        <v>33400000</v>
      </c>
      <c r="S344" s="1900">
        <v>33400000</v>
      </c>
      <c r="T344" s="1900">
        <v>33400000</v>
      </c>
      <c r="U344" s="1900">
        <v>33400000</v>
      </c>
      <c r="V344" s="1900"/>
      <c r="W344" s="1900"/>
      <c r="X344" s="1901">
        <f t="shared" si="12"/>
        <v>334000000</v>
      </c>
      <c r="Y344" s="1902">
        <f t="shared" si="11"/>
        <v>0</v>
      </c>
    </row>
    <row r="345" spans="1:27" ht="45" x14ac:dyDescent="0.25">
      <c r="A345" s="865">
        <v>2</v>
      </c>
      <c r="B345" s="865">
        <v>2</v>
      </c>
      <c r="C345" s="1490" t="s">
        <v>3386</v>
      </c>
      <c r="D345" s="865"/>
      <c r="E345" s="865"/>
      <c r="F345" s="865"/>
      <c r="G345" s="865"/>
      <c r="H345" s="1061" t="str">
        <f>'Bid 2b'!B281</f>
        <v>: Penyelenggaraan POSyandu (Pos Gizi dan Ibu Hamil)</v>
      </c>
      <c r="I345" s="1063">
        <f>SUM(I346:I352)</f>
        <v>3095000</v>
      </c>
      <c r="J345" s="1061" t="s">
        <v>3295</v>
      </c>
      <c r="K345" s="1061" t="s">
        <v>3600</v>
      </c>
      <c r="L345" s="1063"/>
      <c r="M345" s="1063"/>
      <c r="N345" s="1063"/>
      <c r="O345" s="1063"/>
      <c r="P345" s="1063"/>
      <c r="Q345" s="1063"/>
      <c r="R345" s="1063"/>
      <c r="S345" s="1063"/>
      <c r="T345" s="1063"/>
      <c r="U345" s="1063"/>
      <c r="V345" s="1063"/>
      <c r="W345" s="1063"/>
      <c r="X345" s="1866">
        <f t="shared" si="12"/>
        <v>0</v>
      </c>
      <c r="Y345" s="23">
        <f t="shared" si="11"/>
        <v>-3095000</v>
      </c>
    </row>
    <row r="346" spans="1:27" x14ac:dyDescent="0.25">
      <c r="A346" s="1"/>
      <c r="B346" s="1"/>
      <c r="C346" s="1"/>
      <c r="D346" s="1">
        <v>5</v>
      </c>
      <c r="E346" s="1">
        <v>2</v>
      </c>
      <c r="F346" s="1"/>
      <c r="G346" s="1"/>
      <c r="H346" s="4" t="str">
        <f>'Bid 2b'!B288</f>
        <v>Belanja Barang Jasa</v>
      </c>
      <c r="I346" s="73"/>
      <c r="J346" s="1"/>
      <c r="K346" s="4" t="s">
        <v>3600</v>
      </c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1864">
        <f t="shared" si="12"/>
        <v>0</v>
      </c>
      <c r="Y346" s="23">
        <f t="shared" si="11"/>
        <v>0</v>
      </c>
    </row>
    <row r="347" spans="1:27" ht="30" x14ac:dyDescent="0.25">
      <c r="A347" s="1"/>
      <c r="B347" s="1"/>
      <c r="C347" s="1"/>
      <c r="D347" s="1"/>
      <c r="E347" s="1"/>
      <c r="F347" s="1">
        <v>1</v>
      </c>
      <c r="G347" s="1"/>
      <c r="H347" s="4" t="str">
        <f>'Bid 2b'!B289</f>
        <v>Belanja Barang Perlengkapan</v>
      </c>
      <c r="I347" s="73"/>
      <c r="J347" s="1"/>
      <c r="K347" s="4" t="s">
        <v>3600</v>
      </c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1864">
        <f t="shared" si="12"/>
        <v>0</v>
      </c>
      <c r="Y347" s="23">
        <f t="shared" si="11"/>
        <v>0</v>
      </c>
    </row>
    <row r="348" spans="1:27" ht="30" x14ac:dyDescent="0.25">
      <c r="A348" s="1"/>
      <c r="B348" s="1"/>
      <c r="C348" s="1"/>
      <c r="D348" s="1"/>
      <c r="E348" s="1"/>
      <c r="F348" s="1"/>
      <c r="G348" s="1489" t="s">
        <v>3366</v>
      </c>
      <c r="H348" s="4" t="str">
        <f>'Bid 2b'!B290</f>
        <v>Belanja Alat Tulis Kantor dan Benda Pos</v>
      </c>
      <c r="I348" s="73">
        <f>SUM('Bid 2b'!F291:F291)</f>
        <v>105000</v>
      </c>
      <c r="J348" s="4" t="s">
        <v>3295</v>
      </c>
      <c r="K348" s="4" t="s">
        <v>3600</v>
      </c>
      <c r="L348" s="73"/>
      <c r="M348" s="73"/>
      <c r="N348" s="73"/>
      <c r="O348" s="73"/>
      <c r="P348" s="73">
        <v>105000</v>
      </c>
      <c r="Q348" s="73"/>
      <c r="R348" s="73"/>
      <c r="S348" s="73"/>
      <c r="T348" s="73"/>
      <c r="U348" s="73"/>
      <c r="V348" s="73"/>
      <c r="W348" s="73"/>
      <c r="X348" s="1864">
        <f t="shared" si="12"/>
        <v>105000</v>
      </c>
      <c r="Y348" s="23">
        <f t="shared" si="11"/>
        <v>0</v>
      </c>
    </row>
    <row r="349" spans="1:27" ht="30" x14ac:dyDescent="0.25">
      <c r="A349" s="1"/>
      <c r="B349" s="1"/>
      <c r="C349" s="1"/>
      <c r="D349" s="1"/>
      <c r="E349" s="1"/>
      <c r="F349" s="1"/>
      <c r="G349" s="1489" t="s">
        <v>3391</v>
      </c>
      <c r="H349" s="4" t="str">
        <f>'Bid 2b'!B293</f>
        <v>Belanja Perlengkapan Barang Konsumsi</v>
      </c>
      <c r="I349" s="73">
        <f>SUM('Bid 2b'!F294:F296)</f>
        <v>2300000</v>
      </c>
      <c r="J349" s="4" t="s">
        <v>3295</v>
      </c>
      <c r="K349" s="4" t="s">
        <v>3600</v>
      </c>
      <c r="L349" s="73"/>
      <c r="M349" s="73"/>
      <c r="N349" s="73"/>
      <c r="O349" s="73"/>
      <c r="P349" s="73">
        <v>2300000</v>
      </c>
      <c r="Q349" s="73"/>
      <c r="R349" s="73"/>
      <c r="S349" s="73"/>
      <c r="T349" s="73"/>
      <c r="U349" s="73"/>
      <c r="V349" s="73"/>
      <c r="W349" s="73"/>
      <c r="X349" s="1864">
        <f t="shared" si="12"/>
        <v>2300000</v>
      </c>
      <c r="Y349" s="23">
        <f t="shared" si="11"/>
        <v>0</v>
      </c>
    </row>
    <row r="350" spans="1:27" ht="30" x14ac:dyDescent="0.25">
      <c r="A350" s="1"/>
      <c r="B350" s="1"/>
      <c r="C350" s="1"/>
      <c r="D350" s="1"/>
      <c r="E350" s="1"/>
      <c r="F350" s="1"/>
      <c r="G350" s="1489" t="s">
        <v>3393</v>
      </c>
      <c r="H350" s="4" t="str">
        <f>'Bid 2b'!B299</f>
        <v>Belanja Bendera/ Umbul-umbul/ Spanduk</v>
      </c>
      <c r="I350" s="73">
        <f>'Bid 2b'!F300</f>
        <v>90000</v>
      </c>
      <c r="J350" s="4" t="s">
        <v>3295</v>
      </c>
      <c r="K350" s="4" t="s">
        <v>3600</v>
      </c>
      <c r="L350" s="73"/>
      <c r="M350" s="73"/>
      <c r="N350" s="73"/>
      <c r="O350" s="73"/>
      <c r="P350" s="73">
        <v>90000</v>
      </c>
      <c r="Q350" s="73"/>
      <c r="R350" s="73"/>
      <c r="S350" s="73"/>
      <c r="T350" s="73"/>
      <c r="U350" s="73"/>
      <c r="V350" s="73"/>
      <c r="W350" s="73"/>
      <c r="X350" s="1864">
        <f t="shared" si="12"/>
        <v>90000</v>
      </c>
      <c r="Y350" s="23">
        <f t="shared" si="11"/>
        <v>0</v>
      </c>
    </row>
    <row r="351" spans="1:27" x14ac:dyDescent="0.25">
      <c r="A351" s="1"/>
      <c r="B351" s="1"/>
      <c r="C351" s="1"/>
      <c r="D351" s="1">
        <v>5</v>
      </c>
      <c r="E351" s="1">
        <v>2</v>
      </c>
      <c r="F351" s="1">
        <v>2</v>
      </c>
      <c r="G351" s="1"/>
      <c r="H351" s="4" t="str">
        <f>'Bid 2b'!B302</f>
        <v>Belanja Jasa Honorarium</v>
      </c>
      <c r="I351" s="73"/>
      <c r="J351" s="1"/>
      <c r="K351" s="4" t="s">
        <v>3600</v>
      </c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1864">
        <f t="shared" si="12"/>
        <v>0</v>
      </c>
      <c r="Y351" s="23">
        <f t="shared" si="11"/>
        <v>0</v>
      </c>
    </row>
    <row r="352" spans="1:27" ht="60" x14ac:dyDescent="0.25">
      <c r="A352" s="1"/>
      <c r="B352" s="1"/>
      <c r="C352" s="1"/>
      <c r="D352" s="1"/>
      <c r="E352" s="1"/>
      <c r="F352" s="1"/>
      <c r="G352" s="1489" t="s">
        <v>3389</v>
      </c>
      <c r="H352" s="4" t="str">
        <f>'Bid 2b'!B303</f>
        <v>Belanja Jasa Honorarium Ahli/ Profesi/Konsultan/Narasumber</v>
      </c>
      <c r="I352" s="73">
        <f>'Bid 2b'!F304</f>
        <v>600000</v>
      </c>
      <c r="J352" s="4" t="s">
        <v>3295</v>
      </c>
      <c r="K352" s="4" t="s">
        <v>3600</v>
      </c>
      <c r="L352" s="73"/>
      <c r="M352" s="73"/>
      <c r="N352" s="73"/>
      <c r="O352" s="73"/>
      <c r="P352" s="73">
        <v>600000</v>
      </c>
      <c r="Q352" s="73"/>
      <c r="R352" s="73"/>
      <c r="S352" s="73"/>
      <c r="T352" s="73"/>
      <c r="U352" s="73"/>
      <c r="V352" s="73"/>
      <c r="W352" s="73"/>
      <c r="X352" s="1864">
        <f t="shared" si="12"/>
        <v>600000</v>
      </c>
      <c r="Y352" s="23">
        <f t="shared" si="11"/>
        <v>0</v>
      </c>
    </row>
    <row r="353" spans="1:25" ht="61.15" customHeight="1" x14ac:dyDescent="0.25">
      <c r="A353" s="1061">
        <v>2</v>
      </c>
      <c r="B353" s="1061">
        <v>2</v>
      </c>
      <c r="C353" s="1542" t="s">
        <v>3388</v>
      </c>
      <c r="D353" s="1061"/>
      <c r="E353" s="1061"/>
      <c r="F353" s="1061"/>
      <c r="G353" s="1061"/>
      <c r="H353" s="1061" t="str">
        <f>'Bid 2b'!B369</f>
        <v>: Penyuluhan dan Pelatihan Bidang Kesehatan (Pembinaan Kader POSyandu terintegrasi/ILP)</v>
      </c>
      <c r="I353" s="1534">
        <f>SUM(I354:I359)</f>
        <v>8410000</v>
      </c>
      <c r="J353" s="1061" t="s">
        <v>1410</v>
      </c>
      <c r="K353" s="1061" t="s">
        <v>3600</v>
      </c>
      <c r="L353" s="1063"/>
      <c r="M353" s="1063"/>
      <c r="N353" s="1063"/>
      <c r="O353" s="1063"/>
      <c r="P353" s="1063"/>
      <c r="Q353" s="1063"/>
      <c r="R353" s="1063"/>
      <c r="S353" s="1063"/>
      <c r="T353" s="1063"/>
      <c r="U353" s="1063"/>
      <c r="V353" s="1063"/>
      <c r="W353" s="1063"/>
      <c r="X353" s="1866">
        <f t="shared" si="12"/>
        <v>0</v>
      </c>
      <c r="Y353" s="23">
        <f t="shared" si="11"/>
        <v>-8410000</v>
      </c>
    </row>
    <row r="354" spans="1:25" x14ac:dyDescent="0.25">
      <c r="A354" s="1"/>
      <c r="B354" s="1"/>
      <c r="C354" s="1"/>
      <c r="D354" s="1">
        <v>5</v>
      </c>
      <c r="E354" s="1">
        <v>2</v>
      </c>
      <c r="F354" s="1"/>
      <c r="G354" s="1"/>
      <c r="H354" s="1" t="str">
        <f>'Bid 2b'!B374</f>
        <v>Belanja Barang dan Jasa</v>
      </c>
      <c r="I354" s="73"/>
      <c r="J354" s="1"/>
      <c r="K354" s="4" t="s">
        <v>3600</v>
      </c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1864">
        <f t="shared" si="12"/>
        <v>0</v>
      </c>
      <c r="Y354" s="23">
        <f t="shared" si="11"/>
        <v>0</v>
      </c>
    </row>
    <row r="355" spans="1:25" x14ac:dyDescent="0.25">
      <c r="A355" s="1"/>
      <c r="B355" s="1"/>
      <c r="C355" s="1"/>
      <c r="D355" s="1"/>
      <c r="E355" s="1"/>
      <c r="F355" s="1">
        <v>1</v>
      </c>
      <c r="G355" s="1"/>
      <c r="H355" s="1" t="str">
        <f>'Bid 2b'!B375</f>
        <v>Belanaja Barang Pelengkapan</v>
      </c>
      <c r="I355" s="73"/>
      <c r="J355" s="1"/>
      <c r="K355" s="4" t="s">
        <v>3600</v>
      </c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1864">
        <f t="shared" si="12"/>
        <v>0</v>
      </c>
      <c r="Y355" s="23">
        <f t="shared" si="11"/>
        <v>0</v>
      </c>
    </row>
    <row r="356" spans="1:25" x14ac:dyDescent="0.25">
      <c r="A356" s="1"/>
      <c r="B356" s="1"/>
      <c r="C356" s="1"/>
      <c r="D356" s="1"/>
      <c r="E356" s="1"/>
      <c r="F356" s="1"/>
      <c r="G356" s="1489" t="s">
        <v>3391</v>
      </c>
      <c r="H356" s="1" t="str">
        <f>'Bid 2b'!B377</f>
        <v>Belanja Barang Konsumsi</v>
      </c>
      <c r="I356" s="73">
        <f>SUM('Bid 2b'!F378)</f>
        <v>520000</v>
      </c>
      <c r="J356" s="1" t="s">
        <v>1410</v>
      </c>
      <c r="K356" s="4" t="s">
        <v>3600</v>
      </c>
      <c r="L356" s="73"/>
      <c r="M356" s="73"/>
      <c r="N356" s="73"/>
      <c r="O356" s="73"/>
      <c r="P356" s="73"/>
      <c r="Q356" s="73"/>
      <c r="R356" s="73"/>
      <c r="S356" s="73">
        <v>520000</v>
      </c>
      <c r="T356" s="73"/>
      <c r="U356" s="73"/>
      <c r="V356" s="73"/>
      <c r="W356" s="73"/>
      <c r="X356" s="1864">
        <f t="shared" si="12"/>
        <v>520000</v>
      </c>
      <c r="Y356" s="23">
        <f t="shared" si="11"/>
        <v>0</v>
      </c>
    </row>
    <row r="357" spans="1:25" x14ac:dyDescent="0.25">
      <c r="A357" s="1"/>
      <c r="B357" s="1"/>
      <c r="C357" s="1"/>
      <c r="D357" s="1"/>
      <c r="E357" s="1"/>
      <c r="F357" s="1"/>
      <c r="G357" s="1489" t="s">
        <v>3393</v>
      </c>
      <c r="H357" s="1" t="str">
        <f>'Bid 2b'!B379</f>
        <v>Belanja Bendera/Umbul - umbul Spanduk</v>
      </c>
      <c r="I357" s="73">
        <f>'Bid 2b'!F380</f>
        <v>90000</v>
      </c>
      <c r="J357" s="1" t="s">
        <v>1410</v>
      </c>
      <c r="K357" s="4" t="s">
        <v>3600</v>
      </c>
      <c r="L357" s="73"/>
      <c r="M357" s="73"/>
      <c r="N357" s="73"/>
      <c r="O357" s="73"/>
      <c r="P357" s="73"/>
      <c r="Q357" s="73"/>
      <c r="R357" s="73"/>
      <c r="S357" s="73">
        <v>90000</v>
      </c>
      <c r="T357" s="73"/>
      <c r="U357" s="73"/>
      <c r="V357" s="73"/>
      <c r="W357" s="73"/>
      <c r="X357" s="1864">
        <f t="shared" si="12"/>
        <v>90000</v>
      </c>
      <c r="Y357" s="23">
        <f t="shared" si="11"/>
        <v>0</v>
      </c>
    </row>
    <row r="358" spans="1:25" x14ac:dyDescent="0.25">
      <c r="A358" s="1"/>
      <c r="B358" s="1"/>
      <c r="C358" s="1"/>
      <c r="D358" s="1">
        <v>5</v>
      </c>
      <c r="E358" s="1">
        <v>2</v>
      </c>
      <c r="F358" s="1">
        <v>2</v>
      </c>
      <c r="G358" s="1"/>
      <c r="H358" s="4" t="str">
        <f>'Bid 2b'!B381</f>
        <v>Belanja Jasa Honorarium</v>
      </c>
      <c r="I358" s="73"/>
      <c r="J358" s="1"/>
      <c r="K358" s="4" t="s">
        <v>3600</v>
      </c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1864">
        <f t="shared" si="12"/>
        <v>0</v>
      </c>
      <c r="Y358" s="23">
        <f t="shared" si="11"/>
        <v>0</v>
      </c>
    </row>
    <row r="359" spans="1:25" ht="60" x14ac:dyDescent="0.25">
      <c r="A359" s="1"/>
      <c r="B359" s="1"/>
      <c r="C359" s="1"/>
      <c r="D359" s="1"/>
      <c r="E359" s="1"/>
      <c r="F359" s="1"/>
      <c r="G359" s="1489" t="s">
        <v>3389</v>
      </c>
      <c r="H359" s="4" t="str">
        <f>'Bid 2b'!B382</f>
        <v>Belanja Jasa Honorarium Ahli/ Profesi/Konsultan/Narasumber</v>
      </c>
      <c r="I359" s="73">
        <f>'Bid 2b'!F383</f>
        <v>7800000</v>
      </c>
      <c r="J359" s="1" t="s">
        <v>1410</v>
      </c>
      <c r="K359" s="4" t="s">
        <v>3600</v>
      </c>
      <c r="L359" s="73"/>
      <c r="M359" s="73"/>
      <c r="N359" s="73"/>
      <c r="O359" s="73"/>
      <c r="P359" s="73"/>
      <c r="Q359" s="73"/>
      <c r="R359" s="73"/>
      <c r="S359" s="73">
        <v>7800000</v>
      </c>
      <c r="T359" s="73"/>
      <c r="U359" s="73"/>
      <c r="V359" s="73"/>
      <c r="W359" s="73"/>
      <c r="X359" s="1864">
        <f t="shared" si="12"/>
        <v>7800000</v>
      </c>
      <c r="Y359" s="23">
        <f t="shared" si="11"/>
        <v>0</v>
      </c>
    </row>
    <row r="360" spans="1:25" ht="60" customHeight="1" x14ac:dyDescent="0.25">
      <c r="A360" s="865">
        <v>2</v>
      </c>
      <c r="B360" s="865">
        <v>2</v>
      </c>
      <c r="C360" s="1490" t="s">
        <v>3388</v>
      </c>
      <c r="D360" s="865"/>
      <c r="E360" s="865"/>
      <c r="F360" s="865"/>
      <c r="G360" s="865"/>
      <c r="H360" s="1061" t="str">
        <f>'Bid 2b'!B403</f>
        <v xml:space="preserve"> : Penyuluhan dan Pelatihan Bidang Kesehatan (Pendampingan calon pengantin)</v>
      </c>
      <c r="I360" s="1063">
        <f>SUM(I361:I368)</f>
        <v>11814900</v>
      </c>
      <c r="J360" s="1061" t="s">
        <v>2179</v>
      </c>
      <c r="K360" s="1061" t="s">
        <v>3600</v>
      </c>
      <c r="L360" s="1063"/>
      <c r="M360" s="1063"/>
      <c r="N360" s="1063"/>
      <c r="O360" s="1063"/>
      <c r="P360" s="1063"/>
      <c r="Q360" s="1063"/>
      <c r="R360" s="1063"/>
      <c r="S360" s="1063"/>
      <c r="T360" s="1063"/>
      <c r="U360" s="1063"/>
      <c r="V360" s="1063"/>
      <c r="W360" s="1063"/>
      <c r="X360" s="1866">
        <f t="shared" si="12"/>
        <v>0</v>
      </c>
      <c r="Y360" s="23">
        <f t="shared" si="11"/>
        <v>-11814900</v>
      </c>
    </row>
    <row r="361" spans="1:25" x14ac:dyDescent="0.25">
      <c r="A361" s="1"/>
      <c r="B361" s="1"/>
      <c r="C361" s="1"/>
      <c r="D361" s="1">
        <v>5</v>
      </c>
      <c r="E361" s="1">
        <v>2</v>
      </c>
      <c r="F361" s="1"/>
      <c r="G361" s="1"/>
      <c r="H361" s="4" t="str">
        <f>'Bid 2b'!B410</f>
        <v>Belanja Barang Jasa</v>
      </c>
      <c r="I361" s="73"/>
      <c r="J361" s="1"/>
      <c r="K361" s="4" t="s">
        <v>3600</v>
      </c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1864">
        <f t="shared" si="12"/>
        <v>0</v>
      </c>
      <c r="Y361" s="23">
        <f t="shared" si="11"/>
        <v>0</v>
      </c>
    </row>
    <row r="362" spans="1:25" ht="30" x14ac:dyDescent="0.25">
      <c r="A362" s="1"/>
      <c r="B362" s="1"/>
      <c r="C362" s="1"/>
      <c r="D362" s="1"/>
      <c r="E362" s="1"/>
      <c r="F362" s="1">
        <v>1</v>
      </c>
      <c r="G362" s="1"/>
      <c r="H362" s="4" t="str">
        <f>'Bid 2b'!B411</f>
        <v>Belanja Barang Perlengkapan</v>
      </c>
      <c r="I362" s="73"/>
      <c r="J362" s="1"/>
      <c r="K362" s="4" t="s">
        <v>3600</v>
      </c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1864">
        <f t="shared" si="12"/>
        <v>0</v>
      </c>
      <c r="Y362" s="23">
        <f t="shared" si="11"/>
        <v>0</v>
      </c>
    </row>
    <row r="363" spans="1:25" ht="30" x14ac:dyDescent="0.25">
      <c r="A363" s="1"/>
      <c r="B363" s="1"/>
      <c r="C363" s="1"/>
      <c r="D363" s="1"/>
      <c r="E363" s="1"/>
      <c r="F363" s="1"/>
      <c r="G363" s="1489" t="s">
        <v>3366</v>
      </c>
      <c r="H363" s="4" t="str">
        <f>'Bid 2b'!B412</f>
        <v>Belanja Alat Tulis Kantor dan Benda Pos</v>
      </c>
      <c r="I363" s="73">
        <f>SUM('Bid 2b'!F413:F413)</f>
        <v>45500</v>
      </c>
      <c r="J363" s="4" t="s">
        <v>2179</v>
      </c>
      <c r="K363" s="4" t="s">
        <v>3600</v>
      </c>
      <c r="L363" s="73"/>
      <c r="M363" s="73"/>
      <c r="N363" s="73">
        <v>45500</v>
      </c>
      <c r="O363" s="73"/>
      <c r="P363" s="73"/>
      <c r="Q363" s="73"/>
      <c r="R363" s="73"/>
      <c r="S363" s="73"/>
      <c r="T363" s="73"/>
      <c r="U363" s="73"/>
      <c r="V363" s="73"/>
      <c r="W363" s="73"/>
      <c r="X363" s="1864">
        <f t="shared" si="12"/>
        <v>45500</v>
      </c>
      <c r="Y363" s="23">
        <f t="shared" si="11"/>
        <v>0</v>
      </c>
    </row>
    <row r="364" spans="1:25" x14ac:dyDescent="0.25">
      <c r="A364" s="1"/>
      <c r="B364" s="1"/>
      <c r="C364" s="1"/>
      <c r="D364" s="1"/>
      <c r="E364" s="1"/>
      <c r="F364" s="1"/>
      <c r="G364" s="1489" t="s">
        <v>3392</v>
      </c>
      <c r="H364" s="4" t="str">
        <f>'Bid 2b'!B415</f>
        <v>Belanja Bahan Material</v>
      </c>
      <c r="I364" s="73">
        <f>SUM('Bid 2b'!F416:F418)</f>
        <v>1679400</v>
      </c>
      <c r="J364" s="4" t="s">
        <v>2179</v>
      </c>
      <c r="K364" s="4" t="s">
        <v>3600</v>
      </c>
      <c r="L364" s="73"/>
      <c r="M364" s="73"/>
      <c r="N364" s="73">
        <v>1679400</v>
      </c>
      <c r="O364" s="73"/>
      <c r="P364" s="73"/>
      <c r="Q364" s="73"/>
      <c r="R364" s="73"/>
      <c r="S364" s="73"/>
      <c r="T364" s="73"/>
      <c r="U364" s="73"/>
      <c r="V364" s="73"/>
      <c r="W364" s="73"/>
      <c r="X364" s="1864">
        <f t="shared" si="12"/>
        <v>1679400</v>
      </c>
      <c r="Y364" s="23">
        <f t="shared" ref="Y364:Y427" si="13">X364-I364</f>
        <v>0</v>
      </c>
    </row>
    <row r="365" spans="1:25" ht="30" x14ac:dyDescent="0.25">
      <c r="A365" s="1"/>
      <c r="B365" s="1"/>
      <c r="C365" s="1"/>
      <c r="D365" s="1"/>
      <c r="E365" s="1"/>
      <c r="F365" s="1"/>
      <c r="G365" s="1489" t="s">
        <v>3391</v>
      </c>
      <c r="H365" s="4" t="str">
        <f>'Bid 2b'!B419</f>
        <v>Belanja Perlengkapan Barang Konsumsi</v>
      </c>
      <c r="I365" s="73">
        <f>'Bid 2b'!F420</f>
        <v>4000000</v>
      </c>
      <c r="J365" s="4" t="s">
        <v>2179</v>
      </c>
      <c r="K365" s="4" t="s">
        <v>3600</v>
      </c>
      <c r="L365" s="73"/>
      <c r="M365" s="73"/>
      <c r="N365" s="73">
        <v>1000000</v>
      </c>
      <c r="O365" s="73"/>
      <c r="P365" s="73"/>
      <c r="Q365" s="73">
        <v>1000000</v>
      </c>
      <c r="R365" s="73"/>
      <c r="S365" s="73"/>
      <c r="T365" s="73">
        <v>1000000</v>
      </c>
      <c r="U365" s="73"/>
      <c r="V365" s="73"/>
      <c r="W365" s="73">
        <v>1000000</v>
      </c>
      <c r="X365" s="1864">
        <f t="shared" si="12"/>
        <v>4000000</v>
      </c>
      <c r="Y365" s="23">
        <f t="shared" si="13"/>
        <v>0</v>
      </c>
    </row>
    <row r="366" spans="1:25" ht="30" x14ac:dyDescent="0.25">
      <c r="A366" s="1"/>
      <c r="B366" s="1"/>
      <c r="C366" s="1"/>
      <c r="D366" s="1"/>
      <c r="E366" s="1"/>
      <c r="F366" s="1"/>
      <c r="G366" s="1489" t="s">
        <v>3393</v>
      </c>
      <c r="H366" s="4" t="str">
        <f>'Bid 2b'!B422</f>
        <v>Belanja Bendera/ Umbul-umbul/ Spanduk</v>
      </c>
      <c r="I366" s="73">
        <f>'Bid 2b'!F423</f>
        <v>90000</v>
      </c>
      <c r="J366" s="4" t="s">
        <v>2179</v>
      </c>
      <c r="K366" s="4" t="s">
        <v>3600</v>
      </c>
      <c r="L366" s="73"/>
      <c r="M366" s="73"/>
      <c r="N366" s="73">
        <v>90000</v>
      </c>
      <c r="O366" s="73"/>
      <c r="P366" s="73"/>
      <c r="Q366" s="73"/>
      <c r="R366" s="73"/>
      <c r="S366" s="73"/>
      <c r="T366" s="73"/>
      <c r="U366" s="73"/>
      <c r="V366" s="73"/>
      <c r="W366" s="73"/>
      <c r="X366" s="1864">
        <f t="shared" si="12"/>
        <v>90000</v>
      </c>
      <c r="Y366" s="23">
        <f t="shared" si="13"/>
        <v>0</v>
      </c>
    </row>
    <row r="367" spans="1:25" x14ac:dyDescent="0.25">
      <c r="A367" s="1"/>
      <c r="B367" s="1"/>
      <c r="C367" s="1"/>
      <c r="D367" s="1">
        <v>5</v>
      </c>
      <c r="E367" s="1">
        <v>2</v>
      </c>
      <c r="F367" s="1">
        <v>2</v>
      </c>
      <c r="G367" s="1"/>
      <c r="H367" s="4" t="str">
        <f>'Bid 2b'!B425</f>
        <v>Belanja Jasa Honorarium</v>
      </c>
      <c r="I367" s="73"/>
      <c r="J367" s="1"/>
      <c r="K367" s="4" t="s">
        <v>3600</v>
      </c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1864">
        <f t="shared" si="12"/>
        <v>0</v>
      </c>
      <c r="Y367" s="23">
        <f t="shared" si="13"/>
        <v>0</v>
      </c>
    </row>
    <row r="368" spans="1:25" ht="60" x14ac:dyDescent="0.25">
      <c r="A368" s="1"/>
      <c r="B368" s="1"/>
      <c r="C368" s="1"/>
      <c r="D368" s="1"/>
      <c r="E368" s="1"/>
      <c r="F368" s="1"/>
      <c r="G368" s="1489" t="s">
        <v>3389</v>
      </c>
      <c r="H368" s="4" t="str">
        <f>'Bid 2b'!B426</f>
        <v>Belanja Jasa Honorarium Ahli/ Profesi/Konsultan/Narasumber</v>
      </c>
      <c r="I368" s="73">
        <f>'Bid 2b'!F427</f>
        <v>6000000</v>
      </c>
      <c r="J368" s="4" t="s">
        <v>2179</v>
      </c>
      <c r="K368" s="4" t="s">
        <v>3600</v>
      </c>
      <c r="L368" s="73"/>
      <c r="M368" s="73"/>
      <c r="N368" s="73">
        <v>1500000</v>
      </c>
      <c r="O368" s="73"/>
      <c r="P368" s="73"/>
      <c r="Q368" s="73">
        <v>1500000</v>
      </c>
      <c r="R368" s="73"/>
      <c r="S368" s="73"/>
      <c r="T368" s="73">
        <v>1500000</v>
      </c>
      <c r="U368" s="73"/>
      <c r="V368" s="73"/>
      <c r="W368" s="73">
        <v>1500000</v>
      </c>
      <c r="X368" s="1864">
        <f t="shared" si="12"/>
        <v>6000000</v>
      </c>
      <c r="Y368" s="23">
        <f t="shared" si="13"/>
        <v>0</v>
      </c>
    </row>
    <row r="369" spans="1:25" ht="72" customHeight="1" x14ac:dyDescent="0.25">
      <c r="A369" s="865">
        <v>2</v>
      </c>
      <c r="B369" s="865">
        <v>2</v>
      </c>
      <c r="C369" s="1490" t="s">
        <v>3388</v>
      </c>
      <c r="D369" s="865"/>
      <c r="E369" s="865"/>
      <c r="F369" s="865"/>
      <c r="G369" s="865"/>
      <c r="H369" s="1061" t="str">
        <f>'Bid 2b'!B442</f>
        <v>: Penyuluhan dan Pelatihan Bidang Kesehatan untuk Masyarakat (Pembinaan Kampung Keluarga Berkualitas)</v>
      </c>
      <c r="I369" s="1063">
        <f>SUM(I370:I377)</f>
        <v>3757000</v>
      </c>
      <c r="J369" s="1061" t="s">
        <v>2179</v>
      </c>
      <c r="K369" s="1061" t="s">
        <v>3600</v>
      </c>
      <c r="L369" s="1063"/>
      <c r="M369" s="1063"/>
      <c r="N369" s="1063"/>
      <c r="O369" s="1063"/>
      <c r="P369" s="1063"/>
      <c r="Q369" s="1063"/>
      <c r="R369" s="1063"/>
      <c r="S369" s="1063"/>
      <c r="T369" s="1063"/>
      <c r="U369" s="1063"/>
      <c r="V369" s="1063"/>
      <c r="W369" s="1063"/>
      <c r="X369" s="1866">
        <f t="shared" si="12"/>
        <v>0</v>
      </c>
      <c r="Y369" s="23">
        <f t="shared" si="13"/>
        <v>-3757000</v>
      </c>
    </row>
    <row r="370" spans="1:25" x14ac:dyDescent="0.25">
      <c r="A370" s="1"/>
      <c r="B370" s="1"/>
      <c r="C370" s="1"/>
      <c r="D370" s="1">
        <v>5</v>
      </c>
      <c r="E370" s="1">
        <v>2</v>
      </c>
      <c r="F370" s="1"/>
      <c r="G370" s="1"/>
      <c r="H370" s="4" t="str">
        <f>'Bid 2b'!B448</f>
        <v>Belanja Barang Jasa</v>
      </c>
      <c r="I370" s="73"/>
      <c r="J370" s="1"/>
      <c r="K370" s="4" t="s">
        <v>3600</v>
      </c>
      <c r="L370" s="73"/>
      <c r="M370" s="73"/>
      <c r="N370" s="73"/>
      <c r="O370" s="73"/>
      <c r="P370" s="73"/>
      <c r="Q370" s="73"/>
      <c r="R370" s="73"/>
      <c r="S370" s="73"/>
      <c r="T370" s="73"/>
      <c r="U370" s="73"/>
      <c r="V370" s="73"/>
      <c r="W370" s="73"/>
      <c r="X370" s="1864">
        <f t="shared" si="12"/>
        <v>0</v>
      </c>
      <c r="Y370" s="23">
        <f t="shared" si="13"/>
        <v>0</v>
      </c>
    </row>
    <row r="371" spans="1:25" ht="30" x14ac:dyDescent="0.25">
      <c r="A371" s="1"/>
      <c r="B371" s="1"/>
      <c r="C371" s="1"/>
      <c r="D371" s="1"/>
      <c r="E371" s="1"/>
      <c r="F371" s="1">
        <v>1</v>
      </c>
      <c r="G371" s="1"/>
      <c r="H371" s="4" t="str">
        <f>'Bid 2b'!B449</f>
        <v>Belanja Barang Perlengkapan</v>
      </c>
      <c r="I371" s="73"/>
      <c r="J371" s="1"/>
      <c r="K371" s="4" t="s">
        <v>3600</v>
      </c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1864">
        <f t="shared" si="12"/>
        <v>0</v>
      </c>
      <c r="Y371" s="23">
        <f t="shared" si="13"/>
        <v>0</v>
      </c>
    </row>
    <row r="372" spans="1:25" ht="30" x14ac:dyDescent="0.25">
      <c r="A372" s="1"/>
      <c r="B372" s="1"/>
      <c r="C372" s="1"/>
      <c r="D372" s="1"/>
      <c r="E372" s="1"/>
      <c r="F372" s="1"/>
      <c r="G372" s="1489" t="s">
        <v>3366</v>
      </c>
      <c r="H372" s="4" t="str">
        <f>'Bid 2b'!B450</f>
        <v>Belanja Alat Tulis Kantor dan Benda Pos</v>
      </c>
      <c r="I372" s="73">
        <f>SUM('Bid 2b'!F451:F454)</f>
        <v>1162000</v>
      </c>
      <c r="J372" s="4" t="s">
        <v>2179</v>
      </c>
      <c r="K372" s="4" t="s">
        <v>3600</v>
      </c>
      <c r="L372" s="73"/>
      <c r="M372" s="73"/>
      <c r="N372" s="73"/>
      <c r="O372" s="73"/>
      <c r="P372" s="73">
        <v>1162000</v>
      </c>
      <c r="Q372" s="73"/>
      <c r="R372" s="73"/>
      <c r="S372" s="73"/>
      <c r="T372" s="73"/>
      <c r="U372" s="73"/>
      <c r="V372" s="73"/>
      <c r="W372" s="73"/>
      <c r="X372" s="1864">
        <f t="shared" ref="X372:X435" si="14">SUM(L372:W372)</f>
        <v>1162000</v>
      </c>
      <c r="Y372" s="23">
        <f t="shared" si="13"/>
        <v>0</v>
      </c>
    </row>
    <row r="373" spans="1:25" x14ac:dyDescent="0.25">
      <c r="A373" s="1"/>
      <c r="B373" s="1"/>
      <c r="C373" s="1"/>
      <c r="D373" s="1"/>
      <c r="E373" s="1"/>
      <c r="F373" s="1"/>
      <c r="G373" s="1489" t="s">
        <v>3390</v>
      </c>
      <c r="H373" s="4" t="str">
        <f>'Bid 2b'!B455</f>
        <v>Belanja Cetak Penggandaan</v>
      </c>
      <c r="I373" s="73">
        <f>'Bid 2b'!F456</f>
        <v>105000</v>
      </c>
      <c r="J373" s="4" t="s">
        <v>2179</v>
      </c>
      <c r="K373" s="4" t="s">
        <v>3600</v>
      </c>
      <c r="L373" s="73"/>
      <c r="M373" s="73"/>
      <c r="N373" s="73"/>
      <c r="O373" s="73"/>
      <c r="P373" s="73">
        <v>105000</v>
      </c>
      <c r="Q373" s="73"/>
      <c r="R373" s="73"/>
      <c r="S373" s="73"/>
      <c r="T373" s="73"/>
      <c r="U373" s="73"/>
      <c r="V373" s="73"/>
      <c r="W373" s="73"/>
      <c r="X373" s="1864">
        <f t="shared" si="14"/>
        <v>105000</v>
      </c>
      <c r="Y373" s="23">
        <f t="shared" si="13"/>
        <v>0</v>
      </c>
    </row>
    <row r="374" spans="1:25" ht="30" x14ac:dyDescent="0.25">
      <c r="A374" s="1"/>
      <c r="B374" s="1"/>
      <c r="C374" s="1"/>
      <c r="D374" s="1"/>
      <c r="E374" s="1"/>
      <c r="F374" s="1"/>
      <c r="G374" s="1489" t="s">
        <v>3391</v>
      </c>
      <c r="H374" s="4" t="str">
        <f>'Bid 3b'!B1051</f>
        <v>Belanja Perlengkapan Barang Konsumsi</v>
      </c>
      <c r="I374" s="73">
        <f>'Bid 2b'!F458</f>
        <v>600000</v>
      </c>
      <c r="J374" s="4" t="s">
        <v>2179</v>
      </c>
      <c r="K374" s="4" t="s">
        <v>3600</v>
      </c>
      <c r="L374" s="73"/>
      <c r="M374" s="73"/>
      <c r="N374" s="73"/>
      <c r="O374" s="73"/>
      <c r="P374" s="73">
        <v>600000</v>
      </c>
      <c r="Q374" s="73"/>
      <c r="R374" s="73"/>
      <c r="S374" s="73"/>
      <c r="T374" s="73"/>
      <c r="U374" s="73"/>
      <c r="V374" s="73"/>
      <c r="W374" s="73"/>
      <c r="X374" s="1864">
        <f t="shared" si="14"/>
        <v>600000</v>
      </c>
      <c r="Y374" s="23">
        <f t="shared" si="13"/>
        <v>0</v>
      </c>
    </row>
    <row r="375" spans="1:25" ht="30" x14ac:dyDescent="0.25">
      <c r="A375" s="1"/>
      <c r="B375" s="1"/>
      <c r="C375" s="1"/>
      <c r="D375" s="1"/>
      <c r="E375" s="1"/>
      <c r="F375" s="1"/>
      <c r="G375" s="1489" t="s">
        <v>3393</v>
      </c>
      <c r="H375" s="4" t="str">
        <f>'Bid 2b'!B459</f>
        <v>Belanja Bendera/ Umbul-umbul/ Spanduk</v>
      </c>
      <c r="I375" s="73">
        <f>'Bid 2b'!F460</f>
        <v>90000</v>
      </c>
      <c r="J375" s="4" t="s">
        <v>2179</v>
      </c>
      <c r="K375" s="4" t="s">
        <v>3600</v>
      </c>
      <c r="L375" s="73"/>
      <c r="M375" s="73"/>
      <c r="N375" s="73"/>
      <c r="O375" s="73"/>
      <c r="P375" s="73">
        <v>90000</v>
      </c>
      <c r="Q375" s="73"/>
      <c r="R375" s="73"/>
      <c r="S375" s="73"/>
      <c r="T375" s="73"/>
      <c r="U375" s="73"/>
      <c r="V375" s="73"/>
      <c r="W375" s="73"/>
      <c r="X375" s="1864">
        <f t="shared" si="14"/>
        <v>90000</v>
      </c>
      <c r="Y375" s="23">
        <f t="shared" si="13"/>
        <v>0</v>
      </c>
    </row>
    <row r="376" spans="1:25" x14ac:dyDescent="0.25">
      <c r="A376" s="1"/>
      <c r="B376" s="1"/>
      <c r="C376" s="1"/>
      <c r="D376" s="1">
        <v>5</v>
      </c>
      <c r="E376" s="1">
        <v>2</v>
      </c>
      <c r="F376" s="1">
        <v>2</v>
      </c>
      <c r="G376" s="1"/>
      <c r="H376" s="4" t="str">
        <f>'Bid 2b'!B461</f>
        <v>Belanja  Jasa Honorarium</v>
      </c>
      <c r="I376" s="73"/>
      <c r="J376" s="4"/>
      <c r="K376" s="4" t="s">
        <v>3600</v>
      </c>
      <c r="L376" s="73"/>
      <c r="M376" s="73"/>
      <c r="N376" s="73"/>
      <c r="O376" s="73"/>
      <c r="P376" s="73"/>
      <c r="Q376" s="73"/>
      <c r="R376" s="73"/>
      <c r="S376" s="73"/>
      <c r="T376" s="73"/>
      <c r="U376" s="73"/>
      <c r="V376" s="73"/>
      <c r="W376" s="73"/>
      <c r="X376" s="1864">
        <f t="shared" si="14"/>
        <v>0</v>
      </c>
      <c r="Y376" s="23">
        <f t="shared" si="13"/>
        <v>0</v>
      </c>
    </row>
    <row r="377" spans="1:25" ht="45" x14ac:dyDescent="0.25">
      <c r="A377" s="1"/>
      <c r="B377" s="1"/>
      <c r="C377" s="1"/>
      <c r="D377" s="1"/>
      <c r="E377" s="1"/>
      <c r="F377" s="1"/>
      <c r="G377" s="1489" t="s">
        <v>3390</v>
      </c>
      <c r="H377" s="4" t="str">
        <f>'Bid 2b'!B462</f>
        <v>Belanja Jasa Honorarium Ahli/Profesi/Konsultan/Narasumber</v>
      </c>
      <c r="I377" s="73">
        <f>'Bid 2b'!F463</f>
        <v>1800000</v>
      </c>
      <c r="J377" s="4" t="s">
        <v>2179</v>
      </c>
      <c r="K377" s="4" t="s">
        <v>3600</v>
      </c>
      <c r="L377" s="73"/>
      <c r="M377" s="73"/>
      <c r="N377" s="73"/>
      <c r="O377" s="73"/>
      <c r="P377" s="73">
        <v>1800000</v>
      </c>
      <c r="Q377" s="73"/>
      <c r="R377" s="73"/>
      <c r="S377" s="73"/>
      <c r="T377" s="73"/>
      <c r="U377" s="73"/>
      <c r="V377" s="73"/>
      <c r="W377" s="73"/>
      <c r="X377" s="1864">
        <f t="shared" si="14"/>
        <v>1800000</v>
      </c>
      <c r="Y377" s="23">
        <f t="shared" si="13"/>
        <v>0</v>
      </c>
    </row>
    <row r="378" spans="1:25" ht="58.9" customHeight="1" x14ac:dyDescent="0.25">
      <c r="A378" s="865">
        <v>2</v>
      </c>
      <c r="B378" s="865">
        <v>2</v>
      </c>
      <c r="C378" s="1490" t="s">
        <v>3388</v>
      </c>
      <c r="D378" s="865"/>
      <c r="E378" s="865"/>
      <c r="F378" s="865"/>
      <c r="G378" s="865"/>
      <c r="H378" s="1061" t="str">
        <f>'Bid 2b'!B479</f>
        <v>Penyuluhan dan Pelatihan Bidang Kesehatan (PHBS : Sostaliasasi AIDS, Tuber Colosis, Malaria)</v>
      </c>
      <c r="I378" s="1063">
        <f>SUM(I379:I389)</f>
        <v>19592000</v>
      </c>
      <c r="J378" s="1061" t="s">
        <v>1220</v>
      </c>
      <c r="K378" s="1061" t="s">
        <v>3600</v>
      </c>
      <c r="L378" s="1063"/>
      <c r="M378" s="1063"/>
      <c r="N378" s="1063"/>
      <c r="O378" s="1063"/>
      <c r="P378" s="1063"/>
      <c r="Q378" s="1063"/>
      <c r="R378" s="1063"/>
      <c r="S378" s="1063"/>
      <c r="T378" s="1063"/>
      <c r="U378" s="1063"/>
      <c r="V378" s="1063"/>
      <c r="W378" s="1063"/>
      <c r="X378" s="1866">
        <f t="shared" si="14"/>
        <v>0</v>
      </c>
      <c r="Y378" s="23">
        <f t="shared" si="13"/>
        <v>-19592000</v>
      </c>
    </row>
    <row r="379" spans="1:25" x14ac:dyDescent="0.25">
      <c r="A379" s="1"/>
      <c r="B379" s="1"/>
      <c r="C379" s="1"/>
      <c r="D379" s="1">
        <v>5</v>
      </c>
      <c r="E379" s="1">
        <v>2</v>
      </c>
      <c r="F379" s="1"/>
      <c r="G379" s="1"/>
      <c r="H379" s="4" t="str">
        <f>'Bid 2b'!B484</f>
        <v>Belanja Barang Jasa :</v>
      </c>
      <c r="I379" s="73"/>
      <c r="J379" s="4"/>
      <c r="K379" s="4" t="s">
        <v>3600</v>
      </c>
      <c r="L379" s="73"/>
      <c r="M379" s="73"/>
      <c r="N379" s="73"/>
      <c r="O379" s="73"/>
      <c r="P379" s="73"/>
      <c r="Q379" s="73"/>
      <c r="R379" s="73"/>
      <c r="S379" s="73"/>
      <c r="T379" s="73"/>
      <c r="U379" s="73"/>
      <c r="V379" s="73"/>
      <c r="W379" s="73"/>
      <c r="X379" s="1864">
        <f t="shared" si="14"/>
        <v>0</v>
      </c>
      <c r="Y379" s="23">
        <f t="shared" si="13"/>
        <v>0</v>
      </c>
    </row>
    <row r="380" spans="1:25" ht="30" x14ac:dyDescent="0.25">
      <c r="A380" s="1"/>
      <c r="B380" s="1"/>
      <c r="C380" s="1"/>
      <c r="D380" s="1"/>
      <c r="E380" s="1"/>
      <c r="F380" s="1">
        <v>1</v>
      </c>
      <c r="G380" s="1"/>
      <c r="H380" s="4" t="str">
        <f>'Bid 2b'!B485</f>
        <v>Belanja Barang Perlengkapan</v>
      </c>
      <c r="I380" s="73"/>
      <c r="J380" s="4"/>
      <c r="K380" s="4" t="s">
        <v>3600</v>
      </c>
      <c r="L380" s="73"/>
      <c r="M380" s="73"/>
      <c r="N380" s="73"/>
      <c r="O380" s="73"/>
      <c r="P380" s="73"/>
      <c r="Q380" s="73"/>
      <c r="R380" s="73"/>
      <c r="S380" s="73"/>
      <c r="T380" s="73"/>
      <c r="U380" s="73"/>
      <c r="V380" s="73"/>
      <c r="W380" s="73"/>
      <c r="X380" s="1864">
        <f t="shared" si="14"/>
        <v>0</v>
      </c>
      <c r="Y380" s="23">
        <f t="shared" si="13"/>
        <v>0</v>
      </c>
    </row>
    <row r="381" spans="1:25" s="1903" customFormat="1" ht="60" x14ac:dyDescent="0.25">
      <c r="A381" s="1898"/>
      <c r="B381" s="1898"/>
      <c r="C381" s="1898"/>
      <c r="D381" s="1898"/>
      <c r="E381" s="1898"/>
      <c r="F381" s="1898"/>
      <c r="G381" s="1904" t="s">
        <v>3391</v>
      </c>
      <c r="H381" s="1899" t="str">
        <f>'Bid 2b'!B486</f>
        <v>Belanja Perlengkapan barang konsumsi (makan/minum) - Belanja barang konsumsi</v>
      </c>
      <c r="I381" s="1900">
        <f>'Bid 2b'!F487</f>
        <v>820000</v>
      </c>
      <c r="J381" s="1899" t="s">
        <v>1220</v>
      </c>
      <c r="K381" s="1899" t="s">
        <v>3600</v>
      </c>
      <c r="L381" s="1900"/>
      <c r="M381" s="1900"/>
      <c r="N381" s="1900"/>
      <c r="O381" s="1900"/>
      <c r="P381" s="1900">
        <v>820000</v>
      </c>
      <c r="Q381" s="1900"/>
      <c r="R381" s="1900"/>
      <c r="S381" s="1900"/>
      <c r="T381" s="1900"/>
      <c r="U381" s="1900"/>
      <c r="V381" s="1900"/>
      <c r="W381" s="1900"/>
      <c r="X381" s="1901">
        <f t="shared" si="14"/>
        <v>820000</v>
      </c>
      <c r="Y381" s="1902">
        <f t="shared" si="13"/>
        <v>0</v>
      </c>
    </row>
    <row r="382" spans="1:25" s="1903" customFormat="1" ht="30" x14ac:dyDescent="0.25">
      <c r="A382" s="1898"/>
      <c r="B382" s="1898"/>
      <c r="C382" s="1898"/>
      <c r="D382" s="1898"/>
      <c r="E382" s="1898"/>
      <c r="F382" s="1898"/>
      <c r="G382" s="1904" t="s">
        <v>3393</v>
      </c>
      <c r="H382" s="1899" t="str">
        <f>'Bid 2b'!B489</f>
        <v>Belanja bendera/ umbul umbul/ spanduk</v>
      </c>
      <c r="I382" s="1900">
        <f>'Bid 2b'!F490</f>
        <v>90000</v>
      </c>
      <c r="J382" s="1899" t="s">
        <v>1220</v>
      </c>
      <c r="K382" s="1899" t="s">
        <v>3600</v>
      </c>
      <c r="L382" s="1900"/>
      <c r="M382" s="1900"/>
      <c r="N382" s="1900"/>
      <c r="O382" s="1900"/>
      <c r="P382" s="1900">
        <v>90000</v>
      </c>
      <c r="Q382" s="1900"/>
      <c r="R382" s="1900"/>
      <c r="S382" s="1900"/>
      <c r="T382" s="1900"/>
      <c r="U382" s="1900"/>
      <c r="V382" s="1900"/>
      <c r="W382" s="1900"/>
      <c r="X382" s="1901">
        <f t="shared" si="14"/>
        <v>90000</v>
      </c>
      <c r="Y382" s="1902">
        <f t="shared" si="13"/>
        <v>0</v>
      </c>
    </row>
    <row r="383" spans="1:25" s="1903" customFormat="1" ht="30" x14ac:dyDescent="0.25">
      <c r="A383" s="1898"/>
      <c r="B383" s="1898"/>
      <c r="C383" s="1898"/>
      <c r="D383" s="1898">
        <v>5</v>
      </c>
      <c r="E383" s="1898">
        <v>2</v>
      </c>
      <c r="F383" s="1898">
        <v>2</v>
      </c>
      <c r="G383" s="1904"/>
      <c r="H383" s="1899" t="str">
        <f>'Bid 2b'!B493</f>
        <v>Honorararium Pelatih/Narasumber</v>
      </c>
      <c r="I383" s="1900"/>
      <c r="J383" s="1899"/>
      <c r="K383" s="1899" t="s">
        <v>3600</v>
      </c>
      <c r="L383" s="1900"/>
      <c r="M383" s="1900"/>
      <c r="N383" s="1900"/>
      <c r="O383" s="1900"/>
      <c r="P383" s="1900"/>
      <c r="Q383" s="1900"/>
      <c r="R383" s="1900"/>
      <c r="S383" s="1900"/>
      <c r="T383" s="1900"/>
      <c r="U383" s="1900"/>
      <c r="V383" s="1900"/>
      <c r="W383" s="1900"/>
      <c r="X383" s="1901">
        <f t="shared" si="14"/>
        <v>0</v>
      </c>
      <c r="Y383" s="1902">
        <f t="shared" si="13"/>
        <v>0</v>
      </c>
    </row>
    <row r="384" spans="1:25" s="1903" customFormat="1" ht="30" x14ac:dyDescent="0.25">
      <c r="A384" s="1898"/>
      <c r="B384" s="1898"/>
      <c r="C384" s="1898"/>
      <c r="D384" s="1898"/>
      <c r="E384" s="1898"/>
      <c r="F384" s="1898"/>
      <c r="G384" s="1904" t="s">
        <v>3389</v>
      </c>
      <c r="H384" s="1899" t="str">
        <f>'Bid 2b'!B493</f>
        <v>Honorararium Pelatih/Narasumber</v>
      </c>
      <c r="I384" s="1900">
        <f>'Bid 2b'!F494</f>
        <v>600000</v>
      </c>
      <c r="J384" s="1899" t="s">
        <v>1220</v>
      </c>
      <c r="K384" s="1899" t="s">
        <v>3600</v>
      </c>
      <c r="L384" s="1900"/>
      <c r="M384" s="1900"/>
      <c r="N384" s="1900"/>
      <c r="O384" s="1900"/>
      <c r="P384" s="1900">
        <v>600000</v>
      </c>
      <c r="Q384" s="1900"/>
      <c r="R384" s="1900"/>
      <c r="S384" s="1900"/>
      <c r="T384" s="1900"/>
      <c r="U384" s="1900"/>
      <c r="V384" s="1900"/>
      <c r="W384" s="1900"/>
      <c r="X384" s="1901">
        <f t="shared" si="14"/>
        <v>600000</v>
      </c>
      <c r="Y384" s="1902">
        <f t="shared" si="13"/>
        <v>0</v>
      </c>
    </row>
    <row r="385" spans="1:25" s="1903" customFormat="1" x14ac:dyDescent="0.25">
      <c r="A385" s="1898"/>
      <c r="B385" s="1898"/>
      <c r="C385" s="1898"/>
      <c r="D385" s="1898"/>
      <c r="E385" s="1898"/>
      <c r="F385" s="1898"/>
      <c r="G385" s="1904"/>
      <c r="H385" s="1899" t="str">
        <f>'Bid 2b'!B495</f>
        <v>Jumat Bersih</v>
      </c>
      <c r="I385" s="1900"/>
      <c r="J385" s="1899"/>
      <c r="K385" s="1899" t="s">
        <v>3600</v>
      </c>
      <c r="L385" s="1900"/>
      <c r="M385" s="1900"/>
      <c r="N385" s="1900"/>
      <c r="O385" s="1900"/>
      <c r="P385" s="1900"/>
      <c r="Q385" s="1900"/>
      <c r="R385" s="1900"/>
      <c r="S385" s="1900"/>
      <c r="T385" s="1900"/>
      <c r="U385" s="1900"/>
      <c r="V385" s="1900"/>
      <c r="W385" s="1900"/>
      <c r="X385" s="1901">
        <f t="shared" si="14"/>
        <v>0</v>
      </c>
      <c r="Y385" s="1902">
        <f t="shared" si="13"/>
        <v>0</v>
      </c>
    </row>
    <row r="386" spans="1:25" s="1903" customFormat="1" x14ac:dyDescent="0.25">
      <c r="A386" s="1898"/>
      <c r="B386" s="1898"/>
      <c r="C386" s="1898"/>
      <c r="D386" s="1898">
        <v>5</v>
      </c>
      <c r="E386" s="1898">
        <v>2</v>
      </c>
      <c r="F386" s="1898"/>
      <c r="G386" s="1904"/>
      <c r="H386" s="1899" t="str">
        <f>'Bid 2b'!B497</f>
        <v>Belanja Barang Jasa :</v>
      </c>
      <c r="I386" s="1900"/>
      <c r="J386" s="1899"/>
      <c r="K386" s="1899" t="s">
        <v>3600</v>
      </c>
      <c r="L386" s="1900"/>
      <c r="M386" s="1900"/>
      <c r="N386" s="1900"/>
      <c r="O386" s="1900"/>
      <c r="P386" s="1900"/>
      <c r="Q386" s="1900"/>
      <c r="R386" s="1900"/>
      <c r="S386" s="1900"/>
      <c r="T386" s="1900"/>
      <c r="U386" s="1900"/>
      <c r="V386" s="1900"/>
      <c r="W386" s="1900"/>
      <c r="X386" s="1901">
        <f t="shared" si="14"/>
        <v>0</v>
      </c>
      <c r="Y386" s="1902">
        <f t="shared" si="13"/>
        <v>0</v>
      </c>
    </row>
    <row r="387" spans="1:25" s="1903" customFormat="1" ht="30" x14ac:dyDescent="0.25">
      <c r="A387" s="1898"/>
      <c r="B387" s="1898"/>
      <c r="C387" s="1898"/>
      <c r="D387" s="1898"/>
      <c r="E387" s="1898"/>
      <c r="F387" s="1898">
        <v>1</v>
      </c>
      <c r="G387" s="1904"/>
      <c r="H387" s="1899" t="str">
        <f>'Bid 2b'!B498</f>
        <v>Belanja Barang Perlengkapan</v>
      </c>
      <c r="I387" s="1900"/>
      <c r="J387" s="1899"/>
      <c r="K387" s="1899" t="s">
        <v>3600</v>
      </c>
      <c r="L387" s="1900"/>
      <c r="M387" s="1900"/>
      <c r="N387" s="1900"/>
      <c r="O387" s="1900"/>
      <c r="P387" s="1900"/>
      <c r="Q387" s="1900"/>
      <c r="R387" s="1900"/>
      <c r="S387" s="1900"/>
      <c r="T387" s="1900"/>
      <c r="U387" s="1900"/>
      <c r="V387" s="1900"/>
      <c r="W387" s="1900"/>
      <c r="X387" s="1901">
        <f t="shared" si="14"/>
        <v>0</v>
      </c>
      <c r="Y387" s="1902">
        <f t="shared" si="13"/>
        <v>0</v>
      </c>
    </row>
    <row r="388" spans="1:25" s="1903" customFormat="1" ht="60" x14ac:dyDescent="0.25">
      <c r="A388" s="1898"/>
      <c r="B388" s="1898"/>
      <c r="C388" s="1898"/>
      <c r="D388" s="1898"/>
      <c r="E388" s="1898"/>
      <c r="F388" s="1898"/>
      <c r="G388" s="1904" t="s">
        <v>3391</v>
      </c>
      <c r="H388" s="1899" t="str">
        <f>'Bid 2b'!B499</f>
        <v>Belanja Perlengkapan barang konsumsi (makan/minum) - Belanja barang konsumsi</v>
      </c>
      <c r="I388" s="1900">
        <f>'Bid 2b'!F500</f>
        <v>16800000</v>
      </c>
      <c r="J388" s="1899" t="s">
        <v>1220</v>
      </c>
      <c r="K388" s="1899" t="s">
        <v>3600</v>
      </c>
      <c r="L388" s="1900"/>
      <c r="M388" s="1900"/>
      <c r="N388" s="1900"/>
      <c r="O388" s="1900"/>
      <c r="P388" s="1900">
        <v>16800000</v>
      </c>
      <c r="Q388" s="1900"/>
      <c r="R388" s="1900"/>
      <c r="S388" s="1900"/>
      <c r="T388" s="1900"/>
      <c r="U388" s="1900"/>
      <c r="V388" s="1900"/>
      <c r="W388" s="1900"/>
      <c r="X388" s="1901">
        <f t="shared" si="14"/>
        <v>16800000</v>
      </c>
      <c r="Y388" s="1902">
        <f t="shared" si="13"/>
        <v>0</v>
      </c>
    </row>
    <row r="389" spans="1:25" s="1903" customFormat="1" x14ac:dyDescent="0.25">
      <c r="A389" s="1898"/>
      <c r="B389" s="1898"/>
      <c r="C389" s="1898"/>
      <c r="D389" s="1898"/>
      <c r="E389" s="1898"/>
      <c r="F389" s="1898"/>
      <c r="G389" s="1904" t="s">
        <v>3392</v>
      </c>
      <c r="H389" s="1899" t="str">
        <f>'Bid 2b'!B502</f>
        <v>Belanja Bahan Material</v>
      </c>
      <c r="I389" s="1900">
        <f>'Bid 2b'!F503+'Bid 2b'!F504</f>
        <v>1282000</v>
      </c>
      <c r="J389" s="1899" t="s">
        <v>1220</v>
      </c>
      <c r="K389" s="1899" t="s">
        <v>3600</v>
      </c>
      <c r="L389" s="1900"/>
      <c r="M389" s="1900"/>
      <c r="N389" s="1900"/>
      <c r="O389" s="1900"/>
      <c r="P389" s="1900">
        <v>1282000</v>
      </c>
      <c r="Q389" s="1900"/>
      <c r="R389" s="1900"/>
      <c r="S389" s="1900"/>
      <c r="T389" s="1900"/>
      <c r="U389" s="1900"/>
      <c r="V389" s="1900"/>
      <c r="W389" s="1900"/>
      <c r="X389" s="1901">
        <f t="shared" si="14"/>
        <v>1282000</v>
      </c>
      <c r="Y389" s="1902">
        <f t="shared" si="13"/>
        <v>0</v>
      </c>
    </row>
    <row r="390" spans="1:25" ht="60" customHeight="1" x14ac:dyDescent="0.25">
      <c r="A390" s="865">
        <v>2</v>
      </c>
      <c r="B390" s="865">
        <v>2</v>
      </c>
      <c r="C390" s="1490" t="s">
        <v>3388</v>
      </c>
      <c r="D390" s="865"/>
      <c r="E390" s="865"/>
      <c r="F390" s="865"/>
      <c r="G390" s="865"/>
      <c r="H390" s="1061" t="str">
        <f>'Bid 2b'!B521</f>
        <v>: Penyuluhan dan Pelatihan Bidang Kesehatan (Penyuluhan Narkoba dan HIV/AIDS)</v>
      </c>
      <c r="I390" s="1063">
        <f>SUM(I391:I399)</f>
        <v>25440000</v>
      </c>
      <c r="J390" s="1061" t="s">
        <v>1777</v>
      </c>
      <c r="K390" s="1061" t="s">
        <v>3600</v>
      </c>
      <c r="L390" s="1063"/>
      <c r="M390" s="1063"/>
      <c r="N390" s="1063"/>
      <c r="O390" s="1063"/>
      <c r="P390" s="1063"/>
      <c r="Q390" s="1063"/>
      <c r="R390" s="1063"/>
      <c r="S390" s="1063"/>
      <c r="T390" s="1063"/>
      <c r="U390" s="1063"/>
      <c r="V390" s="1063"/>
      <c r="W390" s="1063"/>
      <c r="X390" s="1866">
        <f t="shared" si="14"/>
        <v>0</v>
      </c>
      <c r="Y390" s="23">
        <f t="shared" si="13"/>
        <v>-25440000</v>
      </c>
    </row>
    <row r="391" spans="1:25" x14ac:dyDescent="0.25">
      <c r="A391" s="1"/>
      <c r="B391" s="1"/>
      <c r="C391" s="1"/>
      <c r="D391" s="1">
        <v>5</v>
      </c>
      <c r="E391" s="1">
        <v>2</v>
      </c>
      <c r="F391" s="1"/>
      <c r="G391" s="1"/>
      <c r="H391" s="4" t="str">
        <f>'Bid 2b'!B527</f>
        <v>Belanja Barang Jasa</v>
      </c>
      <c r="I391" s="73"/>
      <c r="J391" s="1"/>
      <c r="K391" s="4" t="s">
        <v>3600</v>
      </c>
      <c r="L391" s="73"/>
      <c r="M391" s="73"/>
      <c r="N391" s="73"/>
      <c r="O391" s="73"/>
      <c r="P391" s="73"/>
      <c r="Q391" s="73"/>
      <c r="R391" s="73"/>
      <c r="S391" s="73"/>
      <c r="T391" s="73"/>
      <c r="U391" s="73"/>
      <c r="V391" s="73"/>
      <c r="W391" s="73"/>
      <c r="X391" s="1864">
        <f t="shared" si="14"/>
        <v>0</v>
      </c>
      <c r="Y391" s="23">
        <f t="shared" si="13"/>
        <v>0</v>
      </c>
    </row>
    <row r="392" spans="1:25" ht="30" x14ac:dyDescent="0.25">
      <c r="A392" s="1"/>
      <c r="B392" s="1"/>
      <c r="C392" s="1"/>
      <c r="D392" s="1"/>
      <c r="E392" s="1"/>
      <c r="F392" s="1">
        <v>1</v>
      </c>
      <c r="G392" s="1"/>
      <c r="H392" s="4" t="str">
        <f>'Bid 2b'!B528</f>
        <v>Belanja Barang Perlengkapan</v>
      </c>
      <c r="I392" s="73"/>
      <c r="J392" s="1"/>
      <c r="K392" s="4" t="s">
        <v>3600</v>
      </c>
      <c r="L392" s="73"/>
      <c r="M392" s="73"/>
      <c r="N392" s="73"/>
      <c r="O392" s="73"/>
      <c r="P392" s="73"/>
      <c r="Q392" s="73"/>
      <c r="R392" s="73"/>
      <c r="S392" s="73"/>
      <c r="T392" s="73"/>
      <c r="U392" s="73"/>
      <c r="V392" s="73"/>
      <c r="W392" s="73"/>
      <c r="X392" s="1864">
        <f t="shared" si="14"/>
        <v>0</v>
      </c>
      <c r="Y392" s="23">
        <f t="shared" si="13"/>
        <v>0</v>
      </c>
    </row>
    <row r="393" spans="1:25" ht="30" x14ac:dyDescent="0.25">
      <c r="A393" s="1"/>
      <c r="B393" s="1"/>
      <c r="C393" s="1"/>
      <c r="D393" s="1"/>
      <c r="E393" s="1"/>
      <c r="F393" s="1"/>
      <c r="G393" s="1489" t="s">
        <v>3391</v>
      </c>
      <c r="H393" s="4" t="str">
        <f>'Bid 2b'!B529</f>
        <v>Belanja Perlengkapan Barang Konsumsi</v>
      </c>
      <c r="I393" s="73">
        <f>SUM('Bid 2b'!F530:F531)</f>
        <v>2600000</v>
      </c>
      <c r="J393" s="4" t="s">
        <v>1777</v>
      </c>
      <c r="K393" s="4" t="s">
        <v>3600</v>
      </c>
      <c r="L393" s="73"/>
      <c r="M393" s="73"/>
      <c r="N393" s="73"/>
      <c r="O393" s="73"/>
      <c r="P393" s="73"/>
      <c r="Q393" s="73">
        <v>2600000</v>
      </c>
      <c r="R393" s="73"/>
      <c r="S393" s="73"/>
      <c r="T393" s="73"/>
      <c r="U393" s="73"/>
      <c r="V393" s="73"/>
      <c r="W393" s="73"/>
      <c r="X393" s="1864">
        <f t="shared" si="14"/>
        <v>2600000</v>
      </c>
      <c r="Y393" s="23">
        <f t="shared" si="13"/>
        <v>0</v>
      </c>
    </row>
    <row r="394" spans="1:25" ht="30" x14ac:dyDescent="0.25">
      <c r="A394" s="1"/>
      <c r="B394" s="1"/>
      <c r="C394" s="1"/>
      <c r="D394" s="1"/>
      <c r="E394" s="1"/>
      <c r="F394" s="1"/>
      <c r="G394" s="1489" t="s">
        <v>3393</v>
      </c>
      <c r="H394" s="1536" t="str">
        <f>'Bid 2b'!B532</f>
        <v>Belanja Bendera/ Umbul-umbul/ Spanduk</v>
      </c>
      <c r="I394" s="73">
        <f>'Bid 2b'!F533</f>
        <v>90000</v>
      </c>
      <c r="J394" s="4" t="s">
        <v>1777</v>
      </c>
      <c r="K394" s="4" t="s">
        <v>3600</v>
      </c>
      <c r="L394" s="73"/>
      <c r="M394" s="73"/>
      <c r="N394" s="73"/>
      <c r="O394" s="73"/>
      <c r="P394" s="73"/>
      <c r="Q394" s="73">
        <v>90000</v>
      </c>
      <c r="R394" s="73"/>
      <c r="S394" s="73"/>
      <c r="T394" s="73"/>
      <c r="U394" s="73"/>
      <c r="V394" s="73"/>
      <c r="W394" s="73"/>
      <c r="X394" s="1864">
        <f t="shared" si="14"/>
        <v>90000</v>
      </c>
      <c r="Y394" s="23">
        <f t="shared" si="13"/>
        <v>0</v>
      </c>
    </row>
    <row r="395" spans="1:25" x14ac:dyDescent="0.25">
      <c r="A395" s="1"/>
      <c r="B395" s="1"/>
      <c r="C395" s="1"/>
      <c r="D395" s="1">
        <v>5</v>
      </c>
      <c r="E395" s="1">
        <v>2</v>
      </c>
      <c r="F395" s="1">
        <v>2</v>
      </c>
      <c r="G395" s="1"/>
      <c r="H395" s="4" t="str">
        <f>'Bid 2b'!B535</f>
        <v>Belanja Jasa Honorarium</v>
      </c>
      <c r="I395" s="73"/>
      <c r="J395" s="1"/>
      <c r="K395" s="4" t="s">
        <v>3600</v>
      </c>
      <c r="L395" s="73"/>
      <c r="M395" s="73"/>
      <c r="N395" s="73"/>
      <c r="O395" s="73"/>
      <c r="P395" s="73"/>
      <c r="Q395" s="73"/>
      <c r="R395" s="73"/>
      <c r="S395" s="73"/>
      <c r="T395" s="73"/>
      <c r="U395" s="73"/>
      <c r="V395" s="73"/>
      <c r="W395" s="73"/>
      <c r="X395" s="1864">
        <f t="shared" si="14"/>
        <v>0</v>
      </c>
      <c r="Y395" s="23">
        <f t="shared" si="13"/>
        <v>0</v>
      </c>
    </row>
    <row r="396" spans="1:25" ht="45" x14ac:dyDescent="0.25">
      <c r="A396" s="1"/>
      <c r="B396" s="1"/>
      <c r="C396" s="1"/>
      <c r="D396" s="1"/>
      <c r="E396" s="1"/>
      <c r="F396" s="1"/>
      <c r="G396" s="1489" t="s">
        <v>3366</v>
      </c>
      <c r="H396" s="4" t="str">
        <f>'Bid 2b'!B536</f>
        <v>Belanja Jasa Honorarium Tim yang Melaksanakan Kegiatan (TPK )</v>
      </c>
      <c r="I396" s="73">
        <f>SUM('Bid 2b'!F537:F539)</f>
        <v>1150000</v>
      </c>
      <c r="J396" s="4" t="s">
        <v>1777</v>
      </c>
      <c r="K396" s="4" t="s">
        <v>3600</v>
      </c>
      <c r="L396" s="73"/>
      <c r="M396" s="73"/>
      <c r="N396" s="73"/>
      <c r="O396" s="73"/>
      <c r="P396" s="73"/>
      <c r="Q396" s="73">
        <v>1150000</v>
      </c>
      <c r="R396" s="73"/>
      <c r="S396" s="73"/>
      <c r="T396" s="73"/>
      <c r="U396" s="73"/>
      <c r="V396" s="73"/>
      <c r="W396" s="73"/>
      <c r="X396" s="1864">
        <f t="shared" si="14"/>
        <v>1150000</v>
      </c>
      <c r="Y396" s="23">
        <f t="shared" si="13"/>
        <v>0</v>
      </c>
    </row>
    <row r="397" spans="1:25" ht="60" x14ac:dyDescent="0.25">
      <c r="A397" s="1"/>
      <c r="B397" s="1"/>
      <c r="C397" s="1"/>
      <c r="D397" s="1"/>
      <c r="E397" s="1"/>
      <c r="F397" s="1"/>
      <c r="G397" s="1489" t="s">
        <v>3389</v>
      </c>
      <c r="H397" s="4" t="str">
        <f>'Bid 2b'!B541</f>
        <v>Belanja Jasa Honorarium Ahli/ Profesi/Konsultan/Narasumber</v>
      </c>
      <c r="I397" s="73">
        <f>'Bid 2b'!F542+'Bid 2b'!F543</f>
        <v>900000</v>
      </c>
      <c r="J397" s="4" t="s">
        <v>1777</v>
      </c>
      <c r="K397" s="4" t="s">
        <v>3600</v>
      </c>
      <c r="L397" s="73"/>
      <c r="M397" s="73"/>
      <c r="N397" s="73"/>
      <c r="O397" s="73"/>
      <c r="P397" s="73"/>
      <c r="Q397" s="73">
        <v>900000</v>
      </c>
      <c r="R397" s="73"/>
      <c r="S397" s="73"/>
      <c r="T397" s="73"/>
      <c r="U397" s="73"/>
      <c r="V397" s="73"/>
      <c r="W397" s="73"/>
      <c r="X397" s="1864">
        <f t="shared" si="14"/>
        <v>900000</v>
      </c>
      <c r="Y397" s="23">
        <f t="shared" si="13"/>
        <v>0</v>
      </c>
    </row>
    <row r="398" spans="1:25" x14ac:dyDescent="0.25">
      <c r="A398" s="1"/>
      <c r="B398" s="1"/>
      <c r="C398" s="1"/>
      <c r="D398" s="1">
        <v>5</v>
      </c>
      <c r="E398" s="1">
        <v>2</v>
      </c>
      <c r="F398" s="1">
        <v>4</v>
      </c>
      <c r="G398" s="1"/>
      <c r="H398" s="4" t="str">
        <f>'Bid 2b'!B545</f>
        <v>Belanja Jasa Sewa</v>
      </c>
      <c r="I398" s="73"/>
      <c r="J398" s="1"/>
      <c r="K398" s="4" t="s">
        <v>3600</v>
      </c>
      <c r="L398" s="73"/>
      <c r="M398" s="73"/>
      <c r="N398" s="73"/>
      <c r="O398" s="73"/>
      <c r="P398" s="73"/>
      <c r="Q398" s="73"/>
      <c r="R398" s="73"/>
      <c r="S398" s="73"/>
      <c r="T398" s="73"/>
      <c r="U398" s="73"/>
      <c r="V398" s="73"/>
      <c r="W398" s="73"/>
      <c r="X398" s="1864">
        <f t="shared" si="14"/>
        <v>0</v>
      </c>
      <c r="Y398" s="23">
        <f t="shared" si="13"/>
        <v>0</v>
      </c>
    </row>
    <row r="399" spans="1:25" ht="30" x14ac:dyDescent="0.25">
      <c r="A399" s="1"/>
      <c r="B399" s="1"/>
      <c r="C399" s="1"/>
      <c r="D399" s="1"/>
      <c r="E399" s="1"/>
      <c r="F399" s="1"/>
      <c r="G399" s="1489" t="s">
        <v>3386</v>
      </c>
      <c r="H399" s="4" t="str">
        <f>'Bid 2b'!B546</f>
        <v>Belanja Jasa Sewa Alat Perlengkapan</v>
      </c>
      <c r="I399" s="73">
        <f>SUM('Bid 2b'!F547:F550)</f>
        <v>20700000</v>
      </c>
      <c r="J399" s="4" t="s">
        <v>1777</v>
      </c>
      <c r="K399" s="4" t="s">
        <v>3600</v>
      </c>
      <c r="L399" s="73"/>
      <c r="M399" s="73"/>
      <c r="N399" s="73"/>
      <c r="O399" s="73"/>
      <c r="P399" s="73"/>
      <c r="Q399" s="73">
        <v>20700000</v>
      </c>
      <c r="R399" s="73"/>
      <c r="S399" s="73"/>
      <c r="T399" s="73"/>
      <c r="U399" s="73"/>
      <c r="V399" s="73"/>
      <c r="W399" s="73"/>
      <c r="X399" s="1864">
        <f t="shared" si="14"/>
        <v>20700000</v>
      </c>
      <c r="Y399" s="23">
        <f t="shared" si="13"/>
        <v>0</v>
      </c>
    </row>
    <row r="400" spans="1:25" ht="44.45" customHeight="1" x14ac:dyDescent="0.25">
      <c r="A400" s="865">
        <v>2</v>
      </c>
      <c r="B400" s="865">
        <v>2</v>
      </c>
      <c r="C400" s="1490" t="s">
        <v>3388</v>
      </c>
      <c r="D400" s="865"/>
      <c r="E400" s="865"/>
      <c r="F400" s="865"/>
      <c r="G400" s="865"/>
      <c r="H400" s="1061" t="str">
        <f>'Bid 2b'!B569</f>
        <v>: Penyuluhan dan Pelatihan Bidang Kesehatan ( Penyuluhan KB )</v>
      </c>
      <c r="I400" s="1063">
        <f>SUM(I401:I411)</f>
        <v>25990000</v>
      </c>
      <c r="J400" s="1061" t="s">
        <v>2179</v>
      </c>
      <c r="K400" s="1061" t="s">
        <v>3600</v>
      </c>
      <c r="L400" s="1063"/>
      <c r="M400" s="1063"/>
      <c r="N400" s="1063"/>
      <c r="O400" s="1063"/>
      <c r="P400" s="1063"/>
      <c r="Q400" s="1063"/>
      <c r="R400" s="1063"/>
      <c r="S400" s="1063"/>
      <c r="T400" s="1063"/>
      <c r="U400" s="1063"/>
      <c r="V400" s="1063"/>
      <c r="W400" s="1063"/>
      <c r="X400" s="1866">
        <f t="shared" si="14"/>
        <v>0</v>
      </c>
      <c r="Y400" s="23">
        <f t="shared" si="13"/>
        <v>-25990000</v>
      </c>
    </row>
    <row r="401" spans="1:25" x14ac:dyDescent="0.25">
      <c r="A401" s="1"/>
      <c r="B401" s="1"/>
      <c r="C401" s="1"/>
      <c r="D401" s="1">
        <v>5</v>
      </c>
      <c r="E401" s="1">
        <v>2</v>
      </c>
      <c r="F401" s="1"/>
      <c r="G401" s="1"/>
      <c r="H401" s="4" t="str">
        <f>'Bid 2b'!B575</f>
        <v>Belanja Barang Jasa</v>
      </c>
      <c r="I401" s="73"/>
      <c r="J401" s="1"/>
      <c r="K401" s="4" t="s">
        <v>3600</v>
      </c>
      <c r="L401" s="73"/>
      <c r="M401" s="73"/>
      <c r="N401" s="73"/>
      <c r="O401" s="73"/>
      <c r="P401" s="73"/>
      <c r="Q401" s="73"/>
      <c r="R401" s="73"/>
      <c r="S401" s="73"/>
      <c r="T401" s="73"/>
      <c r="U401" s="73"/>
      <c r="V401" s="73"/>
      <c r="W401" s="73"/>
      <c r="X401" s="1864">
        <f t="shared" si="14"/>
        <v>0</v>
      </c>
      <c r="Y401" s="23">
        <f t="shared" si="13"/>
        <v>0</v>
      </c>
    </row>
    <row r="402" spans="1:25" ht="30" x14ac:dyDescent="0.25">
      <c r="A402" s="1"/>
      <c r="B402" s="1"/>
      <c r="C402" s="1"/>
      <c r="D402" s="1"/>
      <c r="E402" s="1"/>
      <c r="F402" s="1">
        <v>1</v>
      </c>
      <c r="G402" s="1"/>
      <c r="H402" s="4" t="str">
        <f>'Bid 2b'!B576</f>
        <v>Belanja Barang Perlengkapan</v>
      </c>
      <c r="I402" s="73"/>
      <c r="J402" s="1"/>
      <c r="K402" s="4" t="s">
        <v>3600</v>
      </c>
      <c r="L402" s="73"/>
      <c r="M402" s="73"/>
      <c r="N402" s="73"/>
      <c r="O402" s="73"/>
      <c r="P402" s="73"/>
      <c r="Q402" s="73"/>
      <c r="R402" s="73"/>
      <c r="S402" s="73"/>
      <c r="T402" s="73"/>
      <c r="U402" s="73"/>
      <c r="V402" s="73"/>
      <c r="W402" s="73"/>
      <c r="X402" s="1864">
        <f t="shared" si="14"/>
        <v>0</v>
      </c>
      <c r="Y402" s="23">
        <f t="shared" si="13"/>
        <v>0</v>
      </c>
    </row>
    <row r="403" spans="1:25" ht="30" x14ac:dyDescent="0.25">
      <c r="A403" s="1"/>
      <c r="B403" s="1"/>
      <c r="C403" s="1"/>
      <c r="D403" s="1"/>
      <c r="E403" s="1"/>
      <c r="F403" s="1"/>
      <c r="G403" s="1489" t="s">
        <v>3391</v>
      </c>
      <c r="H403" s="4" t="str">
        <f>'Bid 2b'!B577</f>
        <v>Belanja Perlengkapan Barang Konsumsi</v>
      </c>
      <c r="I403" s="73">
        <f>'Bid 2b'!F578+'Bid 2b'!F579</f>
        <v>2600000</v>
      </c>
      <c r="J403" s="4" t="s">
        <v>2179</v>
      </c>
      <c r="K403" s="4" t="s">
        <v>3600</v>
      </c>
      <c r="L403" s="73"/>
      <c r="M403" s="73"/>
      <c r="N403" s="73">
        <v>2600000</v>
      </c>
      <c r="O403" s="73"/>
      <c r="P403" s="73"/>
      <c r="Q403" s="73"/>
      <c r="R403" s="73"/>
      <c r="S403" s="73"/>
      <c r="T403" s="73"/>
      <c r="U403" s="73"/>
      <c r="V403" s="73"/>
      <c r="W403" s="73"/>
      <c r="X403" s="1864">
        <f t="shared" si="14"/>
        <v>2600000</v>
      </c>
      <c r="Y403" s="23">
        <f t="shared" si="13"/>
        <v>0</v>
      </c>
    </row>
    <row r="404" spans="1:25" ht="30" x14ac:dyDescent="0.25">
      <c r="A404" s="1"/>
      <c r="B404" s="1"/>
      <c r="C404" s="1"/>
      <c r="D404" s="1"/>
      <c r="E404" s="1"/>
      <c r="F404" s="1"/>
      <c r="G404" s="1489" t="s">
        <v>3393</v>
      </c>
      <c r="H404" s="4" t="str">
        <f>'Bid 2b'!B580</f>
        <v>Belanja Bendera/ Umbul-umbul/ Spanduk</v>
      </c>
      <c r="I404" s="73">
        <f>'Bid 2b'!F581</f>
        <v>90000</v>
      </c>
      <c r="J404" s="4" t="s">
        <v>2179</v>
      </c>
      <c r="K404" s="4" t="s">
        <v>3600</v>
      </c>
      <c r="L404" s="73"/>
      <c r="M404" s="73"/>
      <c r="N404" s="73">
        <v>90000</v>
      </c>
      <c r="O404" s="73"/>
      <c r="P404" s="73"/>
      <c r="Q404" s="73"/>
      <c r="R404" s="73"/>
      <c r="S404" s="73"/>
      <c r="T404" s="73"/>
      <c r="U404" s="73"/>
      <c r="V404" s="73"/>
      <c r="W404" s="73"/>
      <c r="X404" s="1864">
        <f t="shared" si="14"/>
        <v>90000</v>
      </c>
      <c r="Y404" s="23">
        <f t="shared" si="13"/>
        <v>0</v>
      </c>
    </row>
    <row r="405" spans="1:25" x14ac:dyDescent="0.25">
      <c r="A405" s="1"/>
      <c r="B405" s="1"/>
      <c r="C405" s="1"/>
      <c r="D405" s="1">
        <v>5</v>
      </c>
      <c r="E405" s="1">
        <v>2</v>
      </c>
      <c r="F405" s="1">
        <v>2</v>
      </c>
      <c r="G405" s="1"/>
      <c r="H405" s="4" t="str">
        <f>'Bid 2b'!B582</f>
        <v>Belanja Jasa Honorarium</v>
      </c>
      <c r="I405" s="73"/>
      <c r="J405" s="1"/>
      <c r="K405" s="4" t="s">
        <v>3600</v>
      </c>
      <c r="L405" s="73"/>
      <c r="M405" s="73"/>
      <c r="N405" s="73"/>
      <c r="O405" s="73"/>
      <c r="P405" s="73"/>
      <c r="Q405" s="73"/>
      <c r="R405" s="73"/>
      <c r="S405" s="73"/>
      <c r="T405" s="73"/>
      <c r="U405" s="73"/>
      <c r="V405" s="73"/>
      <c r="W405" s="73"/>
      <c r="X405" s="1864">
        <f t="shared" si="14"/>
        <v>0</v>
      </c>
      <c r="Y405" s="23">
        <f t="shared" si="13"/>
        <v>0</v>
      </c>
    </row>
    <row r="406" spans="1:25" ht="45" x14ac:dyDescent="0.25">
      <c r="A406" s="1"/>
      <c r="B406" s="1"/>
      <c r="C406" s="1"/>
      <c r="D406" s="1"/>
      <c r="E406" s="1"/>
      <c r="F406" s="1"/>
      <c r="G406" s="1489" t="s">
        <v>3366</v>
      </c>
      <c r="H406" s="4" t="str">
        <f>'Bid 2b'!B583</f>
        <v>Belanja Jasa Honorarium Tim yang Melaksanakan Kegiatan (TPK )</v>
      </c>
      <c r="I406" s="73">
        <f>SUM('Bid 2b'!F584:F586)</f>
        <v>1150000</v>
      </c>
      <c r="J406" s="4" t="s">
        <v>2179</v>
      </c>
      <c r="K406" s="4" t="s">
        <v>3600</v>
      </c>
      <c r="L406" s="73"/>
      <c r="M406" s="73"/>
      <c r="N406" s="73">
        <v>1150000</v>
      </c>
      <c r="O406" s="73"/>
      <c r="P406" s="73"/>
      <c r="Q406" s="73"/>
      <c r="R406" s="73"/>
      <c r="S406" s="73"/>
      <c r="T406" s="73"/>
      <c r="U406" s="73"/>
      <c r="V406" s="73"/>
      <c r="W406" s="73"/>
      <c r="X406" s="1864">
        <f t="shared" si="14"/>
        <v>1150000</v>
      </c>
      <c r="Y406" s="23">
        <f t="shared" si="13"/>
        <v>0</v>
      </c>
    </row>
    <row r="407" spans="1:25" ht="60" x14ac:dyDescent="0.25">
      <c r="A407" s="1"/>
      <c r="B407" s="1"/>
      <c r="C407" s="1"/>
      <c r="D407" s="1"/>
      <c r="E407" s="1"/>
      <c r="F407" s="1"/>
      <c r="G407" s="1489" t="s">
        <v>3389</v>
      </c>
      <c r="H407" s="4" t="str">
        <f>'Bid 2b'!B587</f>
        <v>Belanja Jasa Honorarium Ahli/ Profesi/Konsultan/Narasumber</v>
      </c>
      <c r="I407" s="73">
        <f>'Bid 2b'!F588</f>
        <v>600000</v>
      </c>
      <c r="J407" s="4" t="s">
        <v>2179</v>
      </c>
      <c r="K407" s="4" t="s">
        <v>3600</v>
      </c>
      <c r="L407" s="73"/>
      <c r="M407" s="73"/>
      <c r="N407" s="73">
        <v>600000</v>
      </c>
      <c r="O407" s="73"/>
      <c r="P407" s="73"/>
      <c r="Q407" s="73"/>
      <c r="R407" s="73"/>
      <c r="S407" s="73"/>
      <c r="T407" s="73"/>
      <c r="U407" s="73"/>
      <c r="V407" s="73"/>
      <c r="W407" s="73"/>
      <c r="X407" s="1864">
        <f t="shared" si="14"/>
        <v>600000</v>
      </c>
      <c r="Y407" s="23">
        <f t="shared" si="13"/>
        <v>0</v>
      </c>
    </row>
    <row r="408" spans="1:25" ht="30" x14ac:dyDescent="0.25">
      <c r="A408" s="1"/>
      <c r="B408" s="1"/>
      <c r="C408" s="1"/>
      <c r="D408" s="1"/>
      <c r="E408" s="1"/>
      <c r="F408" s="1"/>
      <c r="G408" s="1489" t="s">
        <v>3390</v>
      </c>
      <c r="H408" s="4" t="str">
        <f>'Bid 2b'!B589</f>
        <v>Belanja Jasa Honorarium Petugas</v>
      </c>
      <c r="I408" s="73">
        <f>'Bid 2b'!F590</f>
        <v>300000</v>
      </c>
      <c r="J408" s="4" t="s">
        <v>2179</v>
      </c>
      <c r="K408" s="4" t="s">
        <v>3600</v>
      </c>
      <c r="L408" s="73"/>
      <c r="M408" s="73"/>
      <c r="N408" s="73">
        <v>300000</v>
      </c>
      <c r="O408" s="73"/>
      <c r="P408" s="73"/>
      <c r="Q408" s="73"/>
      <c r="R408" s="73"/>
      <c r="S408" s="73"/>
      <c r="T408" s="73"/>
      <c r="U408" s="73"/>
      <c r="V408" s="73"/>
      <c r="W408" s="73"/>
      <c r="X408" s="1864">
        <f t="shared" si="14"/>
        <v>300000</v>
      </c>
      <c r="Y408" s="23">
        <f t="shared" si="13"/>
        <v>0</v>
      </c>
    </row>
    <row r="409" spans="1:25" x14ac:dyDescent="0.25">
      <c r="A409" s="1"/>
      <c r="B409" s="1"/>
      <c r="C409" s="1"/>
      <c r="D409" s="1">
        <v>5</v>
      </c>
      <c r="E409" s="1">
        <v>2</v>
      </c>
      <c r="F409" s="1">
        <v>4</v>
      </c>
      <c r="G409" s="1"/>
      <c r="H409" s="4" t="str">
        <f>'Bid 2b'!B591</f>
        <v>Belanja Jasa Sewa</v>
      </c>
      <c r="I409" s="73"/>
      <c r="J409" s="1"/>
      <c r="K409" s="4" t="s">
        <v>3600</v>
      </c>
      <c r="L409" s="73"/>
      <c r="M409" s="73"/>
      <c r="N409" s="73"/>
      <c r="O409" s="73"/>
      <c r="P409" s="73"/>
      <c r="Q409" s="73"/>
      <c r="R409" s="73"/>
      <c r="S409" s="73"/>
      <c r="T409" s="73"/>
      <c r="U409" s="73"/>
      <c r="V409" s="73"/>
      <c r="W409" s="73"/>
      <c r="X409" s="1864">
        <f t="shared" si="14"/>
        <v>0</v>
      </c>
      <c r="Y409" s="23">
        <f t="shared" si="13"/>
        <v>0</v>
      </c>
    </row>
    <row r="410" spans="1:25" x14ac:dyDescent="0.25">
      <c r="A410" s="1"/>
      <c r="B410" s="1"/>
      <c r="C410" s="1"/>
      <c r="D410" s="1"/>
      <c r="E410" s="1"/>
      <c r="F410" s="1"/>
      <c r="G410" s="1489" t="s">
        <v>3366</v>
      </c>
      <c r="H410" s="4" t="str">
        <f>'Bid 2b'!B592</f>
        <v>Belanja Jasa Sewa Gedung</v>
      </c>
      <c r="I410" s="73">
        <f>SUM('Bid 2b'!F593)</f>
        <v>1000000</v>
      </c>
      <c r="J410" s="4" t="s">
        <v>2179</v>
      </c>
      <c r="K410" s="4" t="s">
        <v>3600</v>
      </c>
      <c r="L410" s="73"/>
      <c r="M410" s="73"/>
      <c r="N410" s="73">
        <v>1000000</v>
      </c>
      <c r="O410" s="73"/>
      <c r="P410" s="73"/>
      <c r="Q410" s="73"/>
      <c r="R410" s="73"/>
      <c r="S410" s="73"/>
      <c r="T410" s="73"/>
      <c r="U410" s="73"/>
      <c r="V410" s="73"/>
      <c r="W410" s="73"/>
      <c r="X410" s="1864">
        <f t="shared" si="14"/>
        <v>1000000</v>
      </c>
      <c r="Y410" s="23">
        <f t="shared" si="13"/>
        <v>0</v>
      </c>
    </row>
    <row r="411" spans="1:25" ht="30" x14ac:dyDescent="0.25">
      <c r="A411" s="1"/>
      <c r="B411" s="1"/>
      <c r="C411" s="1"/>
      <c r="D411" s="1"/>
      <c r="E411" s="1"/>
      <c r="F411" s="1"/>
      <c r="G411" s="1489" t="s">
        <v>3386</v>
      </c>
      <c r="H411" s="4" t="str">
        <f>'Bid 2b'!B594</f>
        <v>Belanja Jasa Sewa Sarana/Perlengkapan</v>
      </c>
      <c r="I411" s="73">
        <f>SUM('Bid 2b'!F595:F597)</f>
        <v>20250000</v>
      </c>
      <c r="J411" s="4" t="s">
        <v>2179</v>
      </c>
      <c r="K411" s="4" t="s">
        <v>3600</v>
      </c>
      <c r="L411" s="73"/>
      <c r="M411" s="73"/>
      <c r="N411" s="73">
        <v>20250000</v>
      </c>
      <c r="O411" s="73"/>
      <c r="P411" s="73"/>
      <c r="Q411" s="73"/>
      <c r="R411" s="73"/>
      <c r="S411" s="73"/>
      <c r="T411" s="73"/>
      <c r="U411" s="73"/>
      <c r="V411" s="73"/>
      <c r="W411" s="73"/>
      <c r="X411" s="1864">
        <f t="shared" si="14"/>
        <v>20250000</v>
      </c>
      <c r="Y411" s="23">
        <f t="shared" si="13"/>
        <v>0</v>
      </c>
    </row>
    <row r="412" spans="1:25" ht="60.6" customHeight="1" x14ac:dyDescent="0.25">
      <c r="A412" s="865">
        <v>2</v>
      </c>
      <c r="B412" s="865">
        <v>2</v>
      </c>
      <c r="C412" s="1490" t="s">
        <v>3388</v>
      </c>
      <c r="D412" s="865"/>
      <c r="E412" s="865"/>
      <c r="F412" s="865"/>
      <c r="G412" s="865"/>
      <c r="H412" s="1061" t="str">
        <f>'Bid 2b'!B613</f>
        <v>:Penyuluhan dan Pelatihan Bidang Kesehatan Untuk Masyarakat (Penyelenggaraan Pembinaan dan Lomba PMT)</v>
      </c>
      <c r="I412" s="1063">
        <f>SUM(I413:I427)</f>
        <v>10261000</v>
      </c>
      <c r="J412" s="1061" t="s">
        <v>1775</v>
      </c>
      <c r="K412" s="1061" t="s">
        <v>3600</v>
      </c>
      <c r="L412" s="1063"/>
      <c r="M412" s="1063"/>
      <c r="N412" s="1063"/>
      <c r="O412" s="1063"/>
      <c r="P412" s="1063"/>
      <c r="Q412" s="1063"/>
      <c r="R412" s="1063"/>
      <c r="S412" s="1063"/>
      <c r="T412" s="1063"/>
      <c r="U412" s="1063"/>
      <c r="V412" s="1063"/>
      <c r="W412" s="1063"/>
      <c r="X412" s="1866">
        <f t="shared" si="14"/>
        <v>0</v>
      </c>
      <c r="Y412" s="23">
        <f t="shared" si="13"/>
        <v>-10261000</v>
      </c>
    </row>
    <row r="413" spans="1:25" x14ac:dyDescent="0.25">
      <c r="A413" s="1"/>
      <c r="B413" s="1"/>
      <c r="C413" s="1"/>
      <c r="D413" s="1">
        <v>5</v>
      </c>
      <c r="E413" s="1">
        <v>2</v>
      </c>
      <c r="F413" s="1"/>
      <c r="G413" s="1"/>
      <c r="H413" s="4" t="str">
        <f>'Bid 2b'!B619</f>
        <v>Belanja Barang Jasa :</v>
      </c>
      <c r="I413" s="73"/>
      <c r="J413" s="1"/>
      <c r="K413" s="4" t="s">
        <v>3600</v>
      </c>
      <c r="L413" s="73"/>
      <c r="M413" s="73"/>
      <c r="N413" s="73"/>
      <c r="O413" s="73"/>
      <c r="P413" s="73"/>
      <c r="Q413" s="73"/>
      <c r="R413" s="73"/>
      <c r="S413" s="73"/>
      <c r="T413" s="73"/>
      <c r="U413" s="73"/>
      <c r="V413" s="73"/>
      <c r="W413" s="73"/>
      <c r="X413" s="1864">
        <f t="shared" si="14"/>
        <v>0</v>
      </c>
      <c r="Y413" s="23">
        <f t="shared" si="13"/>
        <v>0</v>
      </c>
    </row>
    <row r="414" spans="1:25" ht="30" x14ac:dyDescent="0.25">
      <c r="A414" s="1"/>
      <c r="B414" s="1"/>
      <c r="C414" s="1"/>
      <c r="D414" s="1"/>
      <c r="E414" s="1"/>
      <c r="F414" s="1">
        <v>1</v>
      </c>
      <c r="G414" s="1"/>
      <c r="H414" s="4" t="str">
        <f>'Bid 2b'!B620</f>
        <v>Belanja Barang Perlengkapan</v>
      </c>
      <c r="I414" s="73"/>
      <c r="J414" s="1"/>
      <c r="K414" s="4" t="s">
        <v>3600</v>
      </c>
      <c r="L414" s="73"/>
      <c r="M414" s="73"/>
      <c r="N414" s="73"/>
      <c r="O414" s="73"/>
      <c r="P414" s="73"/>
      <c r="Q414" s="73"/>
      <c r="R414" s="73"/>
      <c r="S414" s="73"/>
      <c r="T414" s="73"/>
      <c r="U414" s="73"/>
      <c r="V414" s="73"/>
      <c r="W414" s="73"/>
      <c r="X414" s="1864">
        <f t="shared" si="14"/>
        <v>0</v>
      </c>
      <c r="Y414" s="23">
        <f t="shared" si="13"/>
        <v>0</v>
      </c>
    </row>
    <row r="415" spans="1:25" ht="30" x14ac:dyDescent="0.25">
      <c r="A415" s="1"/>
      <c r="B415" s="1"/>
      <c r="C415" s="1"/>
      <c r="D415" s="1"/>
      <c r="E415" s="1"/>
      <c r="F415" s="1"/>
      <c r="G415" s="1489" t="s">
        <v>3366</v>
      </c>
      <c r="H415" s="4" t="str">
        <f>'Bid 2b'!B621</f>
        <v>Belanja Perlengkapan Alat Tulis Kantor dan Benda Pos</v>
      </c>
      <c r="I415" s="73">
        <f>SUM('Bid 2b'!F622:F623)</f>
        <v>312000</v>
      </c>
      <c r="J415" s="4" t="s">
        <v>1775</v>
      </c>
      <c r="K415" s="4" t="s">
        <v>3600</v>
      </c>
      <c r="L415" s="73"/>
      <c r="M415" s="73"/>
      <c r="N415" s="73"/>
      <c r="O415" s="73">
        <v>312000</v>
      </c>
      <c r="P415" s="73"/>
      <c r="Q415" s="73"/>
      <c r="R415" s="73"/>
      <c r="S415" s="73"/>
      <c r="T415" s="73"/>
      <c r="U415" s="73"/>
      <c r="V415" s="73"/>
      <c r="W415" s="73"/>
      <c r="X415" s="1864">
        <f t="shared" si="14"/>
        <v>312000</v>
      </c>
      <c r="Y415" s="23">
        <f t="shared" si="13"/>
        <v>0</v>
      </c>
    </row>
    <row r="416" spans="1:25" ht="30" x14ac:dyDescent="0.25">
      <c r="A416" s="1"/>
      <c r="B416" s="1"/>
      <c r="C416" s="1"/>
      <c r="D416" s="1"/>
      <c r="E416" s="1"/>
      <c r="F416" s="1"/>
      <c r="G416" s="1489" t="s">
        <v>3391</v>
      </c>
      <c r="H416" s="4" t="str">
        <f>'Bid 2b'!B625</f>
        <v>Belanja Perlengkapan Barang Konsumsi</v>
      </c>
      <c r="I416" s="73">
        <f>'Bid 2b'!F626</f>
        <v>600000</v>
      </c>
      <c r="J416" s="4" t="s">
        <v>1775</v>
      </c>
      <c r="K416" s="4" t="s">
        <v>3600</v>
      </c>
      <c r="L416" s="73"/>
      <c r="M416" s="73"/>
      <c r="N416" s="73"/>
      <c r="O416" s="73">
        <v>600000</v>
      </c>
      <c r="P416" s="73"/>
      <c r="Q416" s="73"/>
      <c r="R416" s="73"/>
      <c r="S416" s="73"/>
      <c r="T416" s="73"/>
      <c r="U416" s="73"/>
      <c r="V416" s="73"/>
      <c r="W416" s="73"/>
      <c r="X416" s="1864">
        <f t="shared" si="14"/>
        <v>600000</v>
      </c>
      <c r="Y416" s="23">
        <f t="shared" si="13"/>
        <v>0</v>
      </c>
    </row>
    <row r="417" spans="1:25" x14ac:dyDescent="0.25">
      <c r="A417" s="1"/>
      <c r="B417" s="1"/>
      <c r="C417" s="1"/>
      <c r="D417" s="1">
        <v>5</v>
      </c>
      <c r="E417" s="1">
        <v>2</v>
      </c>
      <c r="F417" s="1">
        <v>2</v>
      </c>
      <c r="G417" s="1"/>
      <c r="H417" s="4" t="str">
        <f>'Bid 2b'!B628</f>
        <v>Belanja Jasa Honorarium</v>
      </c>
      <c r="I417" s="73"/>
      <c r="J417" s="1"/>
      <c r="K417" s="4" t="s">
        <v>3600</v>
      </c>
      <c r="L417" s="73"/>
      <c r="M417" s="73"/>
      <c r="N417" s="73"/>
      <c r="O417" s="73"/>
      <c r="P417" s="73"/>
      <c r="Q417" s="73"/>
      <c r="R417" s="73"/>
      <c r="S417" s="73"/>
      <c r="T417" s="73"/>
      <c r="U417" s="73"/>
      <c r="V417" s="73"/>
      <c r="W417" s="73"/>
      <c r="X417" s="1864">
        <f t="shared" si="14"/>
        <v>0</v>
      </c>
      <c r="Y417" s="23">
        <f t="shared" si="13"/>
        <v>0</v>
      </c>
    </row>
    <row r="418" spans="1:25" ht="30" x14ac:dyDescent="0.25">
      <c r="A418" s="1"/>
      <c r="B418" s="1"/>
      <c r="C418" s="1"/>
      <c r="D418" s="1"/>
      <c r="E418" s="1"/>
      <c r="F418" s="1"/>
      <c r="G418" s="1489" t="s">
        <v>3389</v>
      </c>
      <c r="H418" s="4" t="str">
        <f>'Bid 2b'!B629</f>
        <v>Belanja Honorarium Pelatih/Narasumber</v>
      </c>
      <c r="I418" s="73">
        <f>'Bid 2b'!F630</f>
        <v>600000</v>
      </c>
      <c r="J418" s="4" t="s">
        <v>1775</v>
      </c>
      <c r="K418" s="4" t="s">
        <v>3600</v>
      </c>
      <c r="L418" s="73"/>
      <c r="M418" s="73"/>
      <c r="N418" s="73"/>
      <c r="O418" s="73">
        <v>600000</v>
      </c>
      <c r="P418" s="73"/>
      <c r="Q418" s="73"/>
      <c r="R418" s="73"/>
      <c r="S418" s="73"/>
      <c r="T418" s="73"/>
      <c r="U418" s="73"/>
      <c r="V418" s="73"/>
      <c r="W418" s="73"/>
      <c r="X418" s="1864">
        <f t="shared" si="14"/>
        <v>600000</v>
      </c>
      <c r="Y418" s="23">
        <f t="shared" si="13"/>
        <v>0</v>
      </c>
    </row>
    <row r="419" spans="1:25" x14ac:dyDescent="0.25">
      <c r="A419" s="1"/>
      <c r="B419" s="1"/>
      <c r="C419" s="1"/>
      <c r="D419" s="1">
        <v>5</v>
      </c>
      <c r="E419" s="1">
        <v>2</v>
      </c>
      <c r="F419" s="1">
        <v>1</v>
      </c>
      <c r="G419" s="1"/>
      <c r="H419" s="4" t="str">
        <f>'Bid 2b'!B632</f>
        <v>Kegiatan Lomba</v>
      </c>
      <c r="I419" s="73"/>
      <c r="J419" s="1"/>
      <c r="K419" s="4" t="s">
        <v>3600</v>
      </c>
      <c r="L419" s="73"/>
      <c r="M419" s="73"/>
      <c r="N419" s="73"/>
      <c r="O419" s="73"/>
      <c r="P419" s="73"/>
      <c r="Q419" s="73"/>
      <c r="R419" s="73"/>
      <c r="S419" s="73"/>
      <c r="T419" s="73"/>
      <c r="U419" s="73"/>
      <c r="V419" s="73"/>
      <c r="W419" s="73"/>
      <c r="X419" s="1864">
        <f t="shared" si="14"/>
        <v>0</v>
      </c>
      <c r="Y419" s="23">
        <f t="shared" si="13"/>
        <v>0</v>
      </c>
    </row>
    <row r="420" spans="1:25" ht="30" x14ac:dyDescent="0.25">
      <c r="A420" s="1"/>
      <c r="B420" s="1"/>
      <c r="C420" s="1"/>
      <c r="D420" s="1"/>
      <c r="E420" s="1"/>
      <c r="F420" s="1"/>
      <c r="G420" s="1489" t="s">
        <v>3391</v>
      </c>
      <c r="H420" s="4" t="str">
        <f>'Bid 2b'!B634</f>
        <v>Belanja Perlengkapan Barang Konsumsi</v>
      </c>
      <c r="I420" s="73">
        <f>'Bid 2b'!F635</f>
        <v>700000</v>
      </c>
      <c r="J420" s="4" t="s">
        <v>1775</v>
      </c>
      <c r="K420" s="4" t="s">
        <v>3600</v>
      </c>
      <c r="L420" s="73"/>
      <c r="M420" s="73"/>
      <c r="N420" s="73"/>
      <c r="O420" s="73">
        <v>700000</v>
      </c>
      <c r="P420" s="73"/>
      <c r="Q420" s="73"/>
      <c r="R420" s="73"/>
      <c r="S420" s="73"/>
      <c r="T420" s="73"/>
      <c r="U420" s="73"/>
      <c r="V420" s="73"/>
      <c r="W420" s="73"/>
      <c r="X420" s="1864">
        <f t="shared" si="14"/>
        <v>700000</v>
      </c>
      <c r="Y420" s="23">
        <f t="shared" si="13"/>
        <v>0</v>
      </c>
    </row>
    <row r="421" spans="1:25" ht="30" x14ac:dyDescent="0.25">
      <c r="A421" s="1"/>
      <c r="B421" s="1"/>
      <c r="C421" s="1"/>
      <c r="D421" s="1"/>
      <c r="E421" s="1"/>
      <c r="F421" s="1"/>
      <c r="G421" s="1489" t="s">
        <v>3393</v>
      </c>
      <c r="H421" s="4" t="str">
        <f>'Bid 2b'!B637</f>
        <v>Belanja Sepanduk</v>
      </c>
      <c r="I421" s="73">
        <f>'Bid 2b'!F638</f>
        <v>90000</v>
      </c>
      <c r="J421" s="4" t="s">
        <v>1775</v>
      </c>
      <c r="K421" s="4" t="s">
        <v>3600</v>
      </c>
      <c r="L421" s="73"/>
      <c r="M421" s="73"/>
      <c r="N421" s="73"/>
      <c r="O421" s="73">
        <v>90000</v>
      </c>
      <c r="P421" s="73"/>
      <c r="Q421" s="73"/>
      <c r="R421" s="73"/>
      <c r="S421" s="73"/>
      <c r="T421" s="73"/>
      <c r="U421" s="73"/>
      <c r="V421" s="73"/>
      <c r="W421" s="73"/>
      <c r="X421" s="1864">
        <f t="shared" si="14"/>
        <v>90000</v>
      </c>
      <c r="Y421" s="23">
        <f t="shared" si="13"/>
        <v>0</v>
      </c>
    </row>
    <row r="422" spans="1:25" ht="30" x14ac:dyDescent="0.25">
      <c r="A422" s="1"/>
      <c r="B422" s="1"/>
      <c r="C422" s="1"/>
      <c r="D422" s="1"/>
      <c r="E422" s="1"/>
      <c r="F422" s="1"/>
      <c r="G422" s="1489" t="s">
        <v>3417</v>
      </c>
      <c r="H422" s="4" t="str">
        <f>'Bid 2b'!B640</f>
        <v>Belanja Upakara, Upacara dan Aci</v>
      </c>
      <c r="I422" s="73">
        <f>SUM('Bid 2b'!F641:F643)</f>
        <v>75000</v>
      </c>
      <c r="J422" s="4" t="s">
        <v>1775</v>
      </c>
      <c r="K422" s="4" t="s">
        <v>3600</v>
      </c>
      <c r="L422" s="73"/>
      <c r="M422" s="73"/>
      <c r="N422" s="73"/>
      <c r="O422" s="73">
        <v>75000</v>
      </c>
      <c r="P422" s="73"/>
      <c r="Q422" s="73"/>
      <c r="R422" s="73"/>
      <c r="S422" s="73"/>
      <c r="T422" s="73"/>
      <c r="U422" s="73"/>
      <c r="V422" s="73"/>
      <c r="W422" s="73"/>
      <c r="X422" s="1864">
        <f t="shared" si="14"/>
        <v>75000</v>
      </c>
      <c r="Y422" s="23">
        <f t="shared" si="13"/>
        <v>0</v>
      </c>
    </row>
    <row r="423" spans="1:25" x14ac:dyDescent="0.25">
      <c r="A423" s="1"/>
      <c r="B423" s="1"/>
      <c r="C423" s="1"/>
      <c r="D423" s="1">
        <v>5</v>
      </c>
      <c r="E423" s="1">
        <v>2</v>
      </c>
      <c r="F423" s="1">
        <v>2</v>
      </c>
      <c r="G423" s="1"/>
      <c r="H423" s="4" t="str">
        <f>'Bid 2b'!B645</f>
        <v>Belanja Jasa Honorarium</v>
      </c>
      <c r="I423" s="73"/>
      <c r="J423" s="1"/>
      <c r="K423" s="4" t="s">
        <v>3600</v>
      </c>
      <c r="L423" s="73"/>
      <c r="M423" s="73"/>
      <c r="N423" s="73"/>
      <c r="O423" s="73"/>
      <c r="P423" s="73"/>
      <c r="Q423" s="73"/>
      <c r="R423" s="73"/>
      <c r="S423" s="73"/>
      <c r="T423" s="73"/>
      <c r="U423" s="73"/>
      <c r="V423" s="73"/>
      <c r="W423" s="73"/>
      <c r="X423" s="1864">
        <f t="shared" si="14"/>
        <v>0</v>
      </c>
      <c r="Y423" s="23">
        <f t="shared" si="13"/>
        <v>0</v>
      </c>
    </row>
    <row r="424" spans="1:25" ht="30" x14ac:dyDescent="0.25">
      <c r="A424" s="1"/>
      <c r="B424" s="1"/>
      <c r="C424" s="1"/>
      <c r="D424" s="1"/>
      <c r="E424" s="1"/>
      <c r="F424" s="1"/>
      <c r="G424" s="1489" t="s">
        <v>3366</v>
      </c>
      <c r="H424" s="4" t="str">
        <f>'Bid 2b'!B646</f>
        <v>Belanja Jasa Honorarium Tim Yang Melaksanakan Kegiatan</v>
      </c>
      <c r="I424" s="73">
        <f>SUM('Bid 2b'!F647:F649)</f>
        <v>750000</v>
      </c>
      <c r="J424" s="4" t="s">
        <v>1775</v>
      </c>
      <c r="K424" s="4" t="s">
        <v>3600</v>
      </c>
      <c r="L424" s="73"/>
      <c r="M424" s="73"/>
      <c r="N424" s="73"/>
      <c r="O424" s="73">
        <v>750000</v>
      </c>
      <c r="P424" s="73"/>
      <c r="Q424" s="73"/>
      <c r="R424" s="73"/>
      <c r="S424" s="73"/>
      <c r="T424" s="73"/>
      <c r="U424" s="73"/>
      <c r="V424" s="73"/>
      <c r="W424" s="73"/>
      <c r="X424" s="1864">
        <f t="shared" si="14"/>
        <v>750000</v>
      </c>
      <c r="Y424" s="23">
        <f t="shared" si="13"/>
        <v>0</v>
      </c>
    </row>
    <row r="425" spans="1:25" ht="45" x14ac:dyDescent="0.25">
      <c r="A425" s="1"/>
      <c r="B425" s="1"/>
      <c r="C425" s="1"/>
      <c r="D425" s="1"/>
      <c r="E425" s="1"/>
      <c r="F425" s="1"/>
      <c r="G425" s="1489" t="s">
        <v>3389</v>
      </c>
      <c r="H425" s="4" t="str">
        <f>'Bid 2b'!B651</f>
        <v>Belanja Jasa Honorarium Ahli/Profesi/Konsultan/ Narasumber</v>
      </c>
      <c r="I425" s="73">
        <f>'Bid 2b'!F652</f>
        <v>1134000</v>
      </c>
      <c r="J425" s="4" t="s">
        <v>1775</v>
      </c>
      <c r="K425" s="4" t="s">
        <v>3600</v>
      </c>
      <c r="L425" s="73"/>
      <c r="M425" s="73"/>
      <c r="N425" s="73"/>
      <c r="O425" s="73">
        <v>1134000</v>
      </c>
      <c r="P425" s="73"/>
      <c r="Q425" s="73"/>
      <c r="R425" s="73"/>
      <c r="S425" s="73"/>
      <c r="T425" s="73"/>
      <c r="U425" s="73"/>
      <c r="V425" s="73"/>
      <c r="W425" s="73"/>
      <c r="X425" s="1864">
        <f t="shared" si="14"/>
        <v>1134000</v>
      </c>
      <c r="Y425" s="23">
        <f t="shared" si="13"/>
        <v>0</v>
      </c>
    </row>
    <row r="426" spans="1:25" ht="45" x14ac:dyDescent="0.25">
      <c r="A426" s="1"/>
      <c r="B426" s="1"/>
      <c r="C426" s="1"/>
      <c r="D426" s="1">
        <v>5</v>
      </c>
      <c r="E426" s="1">
        <v>2</v>
      </c>
      <c r="F426" s="1">
        <v>7</v>
      </c>
      <c r="G426" s="1"/>
      <c r="H426" s="4" t="str">
        <f>'Bid 2b'!B654</f>
        <v>Belanja Barang Dan Jasa yang Diserahkan Kepada Masyarakat</v>
      </c>
      <c r="I426" s="73"/>
      <c r="J426" s="1"/>
      <c r="K426" s="4" t="s">
        <v>3600</v>
      </c>
      <c r="L426" s="73"/>
      <c r="M426" s="73"/>
      <c r="N426" s="73"/>
      <c r="O426" s="73"/>
      <c r="P426" s="73"/>
      <c r="Q426" s="73"/>
      <c r="R426" s="73"/>
      <c r="S426" s="73"/>
      <c r="T426" s="73"/>
      <c r="U426" s="73"/>
      <c r="V426" s="73"/>
      <c r="W426" s="73"/>
      <c r="X426" s="1864">
        <f t="shared" si="14"/>
        <v>0</v>
      </c>
      <c r="Y426" s="23">
        <f t="shared" si="13"/>
        <v>0</v>
      </c>
    </row>
    <row r="427" spans="1:25" ht="30" x14ac:dyDescent="0.25">
      <c r="A427" s="1"/>
      <c r="B427" s="1"/>
      <c r="C427" s="1"/>
      <c r="D427" s="1"/>
      <c r="E427" s="1"/>
      <c r="F427" s="1"/>
      <c r="G427" s="1489">
        <v>90</v>
      </c>
      <c r="H427" s="4" t="str">
        <f>'Bid 2b'!B655</f>
        <v>Belanja Jasa Seniman dan Atlit Berprestasi</v>
      </c>
      <c r="I427" s="73">
        <f>SUM('Bid 2b'!F656:F658)</f>
        <v>6000000</v>
      </c>
      <c r="J427" s="4" t="s">
        <v>1775</v>
      </c>
      <c r="K427" s="4" t="s">
        <v>3600</v>
      </c>
      <c r="L427" s="73"/>
      <c r="M427" s="73"/>
      <c r="N427" s="73"/>
      <c r="O427" s="73">
        <v>6000000</v>
      </c>
      <c r="P427" s="73"/>
      <c r="Q427" s="73"/>
      <c r="R427" s="73"/>
      <c r="S427" s="73"/>
      <c r="T427" s="73"/>
      <c r="U427" s="73"/>
      <c r="V427" s="73"/>
      <c r="W427" s="73"/>
      <c r="X427" s="1864">
        <f t="shared" si="14"/>
        <v>6000000</v>
      </c>
      <c r="Y427" s="23">
        <f t="shared" si="13"/>
        <v>0</v>
      </c>
    </row>
    <row r="428" spans="1:25" ht="84" customHeight="1" x14ac:dyDescent="0.25">
      <c r="A428" s="865">
        <v>2</v>
      </c>
      <c r="B428" s="865">
        <v>2</v>
      </c>
      <c r="C428" s="1490" t="s">
        <v>3388</v>
      </c>
      <c r="D428" s="865"/>
      <c r="E428" s="865"/>
      <c r="F428" s="865"/>
      <c r="G428" s="865"/>
      <c r="H428" s="1061" t="str">
        <f>'Bid 2b'!B676</f>
        <v>: Penyuluhan dan Pelatihan Bidang Kesehatan untuk Masyarakat (Penyuluhan kesehatan Organ Reproduksi dan Penyelenggaraan Papsmear)</v>
      </c>
      <c r="I428" s="1063">
        <f>SUM(I429:I441)</f>
        <v>8585000</v>
      </c>
      <c r="J428" s="865" t="s">
        <v>2177</v>
      </c>
      <c r="K428" s="1061" t="s">
        <v>3600</v>
      </c>
      <c r="L428" s="1063"/>
      <c r="M428" s="1063"/>
      <c r="N428" s="1063"/>
      <c r="O428" s="1063"/>
      <c r="P428" s="1063"/>
      <c r="Q428" s="1063"/>
      <c r="R428" s="1063"/>
      <c r="S428" s="1063"/>
      <c r="T428" s="1063"/>
      <c r="U428" s="1063"/>
      <c r="V428" s="1063"/>
      <c r="W428" s="1063"/>
      <c r="X428" s="1866">
        <f t="shared" si="14"/>
        <v>0</v>
      </c>
      <c r="Y428" s="23">
        <f t="shared" ref="Y428:Y491" si="15">X428-I428</f>
        <v>-8585000</v>
      </c>
    </row>
    <row r="429" spans="1:25" x14ac:dyDescent="0.25">
      <c r="A429" s="1"/>
      <c r="B429" s="1"/>
      <c r="C429" s="1"/>
      <c r="D429" s="1">
        <v>5</v>
      </c>
      <c r="E429" s="1">
        <v>2</v>
      </c>
      <c r="F429" s="1"/>
      <c r="G429" s="1"/>
      <c r="H429" s="4" t="str">
        <f>'Bid 2b'!B683</f>
        <v>Belanja Barang Jasa</v>
      </c>
      <c r="I429" s="73"/>
      <c r="J429" s="1"/>
      <c r="K429" s="4" t="s">
        <v>3600</v>
      </c>
      <c r="L429" s="73"/>
      <c r="M429" s="73"/>
      <c r="N429" s="73"/>
      <c r="O429" s="73"/>
      <c r="P429" s="73"/>
      <c r="Q429" s="73"/>
      <c r="R429" s="73"/>
      <c r="S429" s="73"/>
      <c r="T429" s="73"/>
      <c r="U429" s="73"/>
      <c r="V429" s="73"/>
      <c r="W429" s="73"/>
      <c r="X429" s="1864">
        <f t="shared" si="14"/>
        <v>0</v>
      </c>
      <c r="Y429" s="23">
        <f t="shared" si="15"/>
        <v>0</v>
      </c>
    </row>
    <row r="430" spans="1:25" ht="30" x14ac:dyDescent="0.25">
      <c r="A430" s="1"/>
      <c r="B430" s="1"/>
      <c r="C430" s="1"/>
      <c r="D430" s="1"/>
      <c r="E430" s="1"/>
      <c r="F430" s="1">
        <v>1</v>
      </c>
      <c r="G430" s="1"/>
      <c r="H430" s="4" t="str">
        <f>'Bid 2b'!B684</f>
        <v>Belanja Barang Perlengkapan</v>
      </c>
      <c r="I430" s="73"/>
      <c r="J430" s="1"/>
      <c r="K430" s="4" t="s">
        <v>3600</v>
      </c>
      <c r="L430" s="73"/>
      <c r="M430" s="73"/>
      <c r="N430" s="73"/>
      <c r="O430" s="73"/>
      <c r="P430" s="73"/>
      <c r="Q430" s="73"/>
      <c r="R430" s="73"/>
      <c r="S430" s="73"/>
      <c r="T430" s="73"/>
      <c r="U430" s="73"/>
      <c r="V430" s="73"/>
      <c r="W430" s="73"/>
      <c r="X430" s="1864">
        <f t="shared" si="14"/>
        <v>0</v>
      </c>
      <c r="Y430" s="23">
        <f t="shared" si="15"/>
        <v>0</v>
      </c>
    </row>
    <row r="431" spans="1:25" ht="30" x14ac:dyDescent="0.25">
      <c r="A431" s="1"/>
      <c r="B431" s="1"/>
      <c r="C431" s="1"/>
      <c r="D431" s="1"/>
      <c r="E431" s="1"/>
      <c r="F431" s="1"/>
      <c r="G431" s="1489" t="s">
        <v>3366</v>
      </c>
      <c r="H431" s="4" t="str">
        <f>'Bid 2b'!B685</f>
        <v>Belanja Alat Tulis Kantor dan Benda Pos</v>
      </c>
      <c r="I431" s="73">
        <f>SUM('Bid 2b'!F686:F686)</f>
        <v>105000</v>
      </c>
      <c r="J431" s="1" t="s">
        <v>2177</v>
      </c>
      <c r="K431" s="4" t="s">
        <v>3600</v>
      </c>
      <c r="L431" s="73"/>
      <c r="M431" s="73"/>
      <c r="N431" s="73"/>
      <c r="O431" s="73"/>
      <c r="P431" s="73"/>
      <c r="Q431" s="73"/>
      <c r="R431" s="73">
        <v>105000</v>
      </c>
      <c r="S431" s="73"/>
      <c r="T431" s="73"/>
      <c r="U431" s="73"/>
      <c r="V431" s="73"/>
      <c r="W431" s="73"/>
      <c r="X431" s="1864">
        <f t="shared" si="14"/>
        <v>105000</v>
      </c>
      <c r="Y431" s="23">
        <f t="shared" si="15"/>
        <v>0</v>
      </c>
    </row>
    <row r="432" spans="1:25" ht="30" x14ac:dyDescent="0.25">
      <c r="A432" s="1"/>
      <c r="B432" s="1"/>
      <c r="C432" s="1"/>
      <c r="D432" s="1"/>
      <c r="E432" s="1"/>
      <c r="F432" s="1"/>
      <c r="G432" s="1489" t="s">
        <v>3391</v>
      </c>
      <c r="H432" s="4" t="str">
        <f>'Bid 2b'!B688</f>
        <v>Belanja Perlengkapan Barang Konsumsi</v>
      </c>
      <c r="I432" s="73">
        <f>'Bid 2b'!F689</f>
        <v>800000</v>
      </c>
      <c r="J432" s="1" t="s">
        <v>2177</v>
      </c>
      <c r="K432" s="4" t="s">
        <v>3600</v>
      </c>
      <c r="L432" s="73"/>
      <c r="M432" s="73"/>
      <c r="N432" s="73"/>
      <c r="O432" s="73"/>
      <c r="P432" s="73"/>
      <c r="Q432" s="73"/>
      <c r="R432" s="73">
        <v>600000</v>
      </c>
      <c r="S432" s="73"/>
      <c r="T432" s="73"/>
      <c r="U432" s="73">
        <v>200000</v>
      </c>
      <c r="V432" s="73"/>
      <c r="W432" s="73"/>
      <c r="X432" s="1864">
        <f t="shared" si="14"/>
        <v>800000</v>
      </c>
      <c r="Y432" s="23">
        <f t="shared" si="15"/>
        <v>0</v>
      </c>
    </row>
    <row r="433" spans="1:25" x14ac:dyDescent="0.25">
      <c r="A433" s="1"/>
      <c r="B433" s="1"/>
      <c r="C433" s="1"/>
      <c r="D433" s="1"/>
      <c r="E433" s="1"/>
      <c r="F433" s="1"/>
      <c r="G433" s="1489" t="s">
        <v>3392</v>
      </c>
      <c r="H433" s="4" t="str">
        <f>'Bid 2b'!B690</f>
        <v>Belanja Bahan Alat Meterial</v>
      </c>
      <c r="I433" s="73">
        <f>'Bid 2b'!F691</f>
        <v>6000000</v>
      </c>
      <c r="J433" s="1" t="s">
        <v>2177</v>
      </c>
      <c r="K433" s="4" t="s">
        <v>3600</v>
      </c>
      <c r="L433" s="73"/>
      <c r="M433" s="73"/>
      <c r="N433" s="73"/>
      <c r="O433" s="73"/>
      <c r="P433" s="73"/>
      <c r="Q433" s="73"/>
      <c r="R433" s="73">
        <v>403687</v>
      </c>
      <c r="S433" s="73">
        <v>2788687</v>
      </c>
      <c r="T433" s="73">
        <v>617437</v>
      </c>
      <c r="U433" s="73">
        <v>2190189</v>
      </c>
      <c r="V433" s="73"/>
      <c r="W433" s="73"/>
      <c r="X433" s="1864">
        <f t="shared" si="14"/>
        <v>6000000</v>
      </c>
      <c r="Y433" s="23">
        <f t="shared" si="15"/>
        <v>0</v>
      </c>
    </row>
    <row r="434" spans="1:25" ht="30" x14ac:dyDescent="0.25">
      <c r="A434" s="1"/>
      <c r="B434" s="1"/>
      <c r="C434" s="1"/>
      <c r="D434" s="1"/>
      <c r="E434" s="1"/>
      <c r="F434" s="1"/>
      <c r="G434" s="1489" t="s">
        <v>3393</v>
      </c>
      <c r="H434" s="4" t="str">
        <f>'Bid 2b'!B693</f>
        <v>Belanja Bendera/ Umbul-umbul/ Spanduk</v>
      </c>
      <c r="I434" s="73">
        <f>'Bid 2b'!F694</f>
        <v>90000</v>
      </c>
      <c r="J434" s="1" t="s">
        <v>2177</v>
      </c>
      <c r="K434" s="4" t="s">
        <v>3600</v>
      </c>
      <c r="L434" s="73"/>
      <c r="M434" s="73"/>
      <c r="N434" s="73"/>
      <c r="O434" s="73"/>
      <c r="P434" s="73"/>
      <c r="Q434" s="73"/>
      <c r="R434" s="73">
        <v>90000</v>
      </c>
      <c r="S434" s="73"/>
      <c r="T434" s="73"/>
      <c r="U434" s="73"/>
      <c r="V434" s="73"/>
      <c r="W434" s="73"/>
      <c r="X434" s="1864">
        <f t="shared" si="14"/>
        <v>90000</v>
      </c>
      <c r="Y434" s="23">
        <f t="shared" si="15"/>
        <v>0</v>
      </c>
    </row>
    <row r="435" spans="1:25" x14ac:dyDescent="0.25">
      <c r="A435" s="1"/>
      <c r="B435" s="1"/>
      <c r="C435" s="1"/>
      <c r="D435" s="1">
        <v>5</v>
      </c>
      <c r="E435" s="1">
        <v>2</v>
      </c>
      <c r="F435" s="1">
        <v>2</v>
      </c>
      <c r="G435" s="1"/>
      <c r="H435" s="4" t="str">
        <f>'Bid 2b'!B695</f>
        <v>Belanja Jasa Honorarium</v>
      </c>
      <c r="I435" s="73"/>
      <c r="J435" s="1"/>
      <c r="K435" s="4" t="s">
        <v>3600</v>
      </c>
      <c r="L435" s="73"/>
      <c r="M435" s="73"/>
      <c r="N435" s="73"/>
      <c r="O435" s="73"/>
      <c r="P435" s="73"/>
      <c r="Q435" s="73"/>
      <c r="R435" s="73"/>
      <c r="S435" s="73"/>
      <c r="T435" s="73"/>
      <c r="U435" s="73"/>
      <c r="V435" s="73"/>
      <c r="W435" s="73"/>
      <c r="X435" s="1864">
        <f t="shared" si="14"/>
        <v>0</v>
      </c>
      <c r="Y435" s="23">
        <f t="shared" si="15"/>
        <v>0</v>
      </c>
    </row>
    <row r="436" spans="1:25" ht="30" x14ac:dyDescent="0.25">
      <c r="A436" s="1"/>
      <c r="B436" s="1"/>
      <c r="C436" s="1"/>
      <c r="D436" s="1"/>
      <c r="E436" s="1"/>
      <c r="F436" s="1"/>
      <c r="G436" s="1489" t="s">
        <v>3389</v>
      </c>
      <c r="H436" s="4" t="str">
        <f>'Bid 2b'!B696</f>
        <v>Belanja Jasa Honorarium Ahli/ Profesi</v>
      </c>
      <c r="I436" s="73">
        <f>SUM('Bid 2b'!F697)</f>
        <v>250000</v>
      </c>
      <c r="J436" s="1" t="s">
        <v>2177</v>
      </c>
      <c r="K436" s="4" t="s">
        <v>3600</v>
      </c>
      <c r="L436" s="73"/>
      <c r="M436" s="73"/>
      <c r="N436" s="73"/>
      <c r="O436" s="73"/>
      <c r="P436" s="73"/>
      <c r="Q436" s="73"/>
      <c r="R436" s="73">
        <v>250000</v>
      </c>
      <c r="S436" s="73"/>
      <c r="T436" s="73"/>
      <c r="U436" s="73"/>
      <c r="V436" s="73"/>
      <c r="W436" s="73"/>
      <c r="X436" s="1864">
        <f t="shared" ref="X436:X499" si="16">SUM(L436:W436)</f>
        <v>250000</v>
      </c>
      <c r="Y436" s="23">
        <f t="shared" si="15"/>
        <v>0</v>
      </c>
    </row>
    <row r="437" spans="1:25" x14ac:dyDescent="0.25">
      <c r="A437" s="1"/>
      <c r="B437" s="1"/>
      <c r="C437" s="1"/>
      <c r="D437" s="1">
        <v>5</v>
      </c>
      <c r="E437" s="1">
        <v>2</v>
      </c>
      <c r="F437" s="1">
        <v>1</v>
      </c>
      <c r="G437" s="1"/>
      <c r="H437" s="4" t="str">
        <f>'Bid 2b'!B698</f>
        <v>Sosialisasi</v>
      </c>
      <c r="I437" s="73"/>
      <c r="J437" s="1"/>
      <c r="K437" s="4" t="s">
        <v>3600</v>
      </c>
      <c r="L437" s="73"/>
      <c r="M437" s="73"/>
      <c r="N437" s="73"/>
      <c r="O437" s="73"/>
      <c r="P437" s="73"/>
      <c r="Q437" s="73"/>
      <c r="R437" s="73"/>
      <c r="S437" s="73"/>
      <c r="T437" s="73"/>
      <c r="U437" s="73"/>
      <c r="V437" s="73"/>
      <c r="W437" s="73"/>
      <c r="X437" s="1864">
        <f t="shared" si="16"/>
        <v>0</v>
      </c>
      <c r="Y437" s="23">
        <f t="shared" si="15"/>
        <v>0</v>
      </c>
    </row>
    <row r="438" spans="1:25" ht="30" x14ac:dyDescent="0.25">
      <c r="A438" s="1"/>
      <c r="B438" s="1"/>
      <c r="C438" s="1"/>
      <c r="D438" s="1"/>
      <c r="E438" s="1"/>
      <c r="F438" s="1"/>
      <c r="G438" s="1489" t="s">
        <v>3366</v>
      </c>
      <c r="H438" s="4" t="str">
        <f>'Bid 2b'!B699</f>
        <v>Belanja Alat Tulis Kantor dan Benda Pos</v>
      </c>
      <c r="I438" s="73">
        <f>SUM('Bid 2b'!F700:F701)</f>
        <v>360000</v>
      </c>
      <c r="J438" s="1" t="s">
        <v>2177</v>
      </c>
      <c r="K438" s="4" t="s">
        <v>3600</v>
      </c>
      <c r="L438" s="73"/>
      <c r="M438" s="73"/>
      <c r="N438" s="73"/>
      <c r="O438" s="73"/>
      <c r="P438" s="73"/>
      <c r="Q438" s="73"/>
      <c r="R438" s="73">
        <v>360000</v>
      </c>
      <c r="S438" s="73"/>
      <c r="T438" s="73"/>
      <c r="U438" s="73"/>
      <c r="V438" s="73"/>
      <c r="W438" s="73"/>
      <c r="X438" s="1864">
        <f t="shared" si="16"/>
        <v>360000</v>
      </c>
      <c r="Y438" s="23">
        <f t="shared" si="15"/>
        <v>0</v>
      </c>
    </row>
    <row r="439" spans="1:25" ht="30" x14ac:dyDescent="0.25">
      <c r="A439" s="1"/>
      <c r="B439" s="1"/>
      <c r="C439" s="1"/>
      <c r="D439" s="1"/>
      <c r="E439" s="1"/>
      <c r="F439" s="1"/>
      <c r="G439" s="1489" t="s">
        <v>3391</v>
      </c>
      <c r="H439" s="4" t="str">
        <f>'Bid 2b'!B702</f>
        <v>Belanja Perlengkapan Barang Konsumsi</v>
      </c>
      <c r="I439" s="73">
        <f>'Bid 2b'!F703</f>
        <v>680000</v>
      </c>
      <c r="J439" s="1" t="s">
        <v>2177</v>
      </c>
      <c r="K439" s="4" t="s">
        <v>3600</v>
      </c>
      <c r="L439" s="73"/>
      <c r="M439" s="73"/>
      <c r="N439" s="73"/>
      <c r="O439" s="73"/>
      <c r="P439" s="73"/>
      <c r="Q439" s="73"/>
      <c r="R439" s="73">
        <v>680000</v>
      </c>
      <c r="S439" s="73"/>
      <c r="T439" s="73"/>
      <c r="U439" s="73"/>
      <c r="V439" s="73"/>
      <c r="W439" s="73"/>
      <c r="X439" s="1864">
        <f t="shared" si="16"/>
        <v>680000</v>
      </c>
      <c r="Y439" s="23">
        <f t="shared" si="15"/>
        <v>0</v>
      </c>
    </row>
    <row r="440" spans="1:25" x14ac:dyDescent="0.25">
      <c r="A440" s="1"/>
      <c r="B440" s="1"/>
      <c r="C440" s="1"/>
      <c r="D440" s="1">
        <v>5</v>
      </c>
      <c r="E440" s="1">
        <v>2</v>
      </c>
      <c r="F440" s="1">
        <v>2</v>
      </c>
      <c r="G440" s="1489"/>
      <c r="H440" s="4" t="str">
        <f>'Bid 2b'!B705</f>
        <v>Belanja Jasa Honorarium</v>
      </c>
      <c r="I440" s="73"/>
      <c r="J440" s="1"/>
      <c r="K440" s="4" t="s">
        <v>3600</v>
      </c>
      <c r="L440" s="73"/>
      <c r="M440" s="73"/>
      <c r="N440" s="73"/>
      <c r="O440" s="73"/>
      <c r="P440" s="73"/>
      <c r="Q440" s="73"/>
      <c r="R440" s="73"/>
      <c r="S440" s="73"/>
      <c r="T440" s="73"/>
      <c r="U440" s="73"/>
      <c r="V440" s="73"/>
      <c r="W440" s="73"/>
      <c r="X440" s="1864">
        <f t="shared" si="16"/>
        <v>0</v>
      </c>
      <c r="Y440" s="23">
        <f t="shared" si="15"/>
        <v>0</v>
      </c>
    </row>
    <row r="441" spans="1:25" ht="60" x14ac:dyDescent="0.25">
      <c r="A441" s="1"/>
      <c r="B441" s="1"/>
      <c r="C441" s="1"/>
      <c r="D441" s="1"/>
      <c r="E441" s="1"/>
      <c r="F441" s="1"/>
      <c r="G441" s="1489" t="s">
        <v>3389</v>
      </c>
      <c r="H441" s="4" t="str">
        <f>'Bid 2b'!B706</f>
        <v>Belanja Jasa Honorarium Ahli/ Profesi/Konsultan/Narasumber</v>
      </c>
      <c r="I441" s="73">
        <f>'Bid 2b'!F707</f>
        <v>300000</v>
      </c>
      <c r="J441" s="1" t="s">
        <v>2177</v>
      </c>
      <c r="K441" s="4" t="s">
        <v>3600</v>
      </c>
      <c r="L441" s="73"/>
      <c r="M441" s="73"/>
      <c r="N441" s="73"/>
      <c r="O441" s="73"/>
      <c r="P441" s="73"/>
      <c r="Q441" s="73"/>
      <c r="R441" s="73">
        <v>300000</v>
      </c>
      <c r="S441" s="73"/>
      <c r="T441" s="73"/>
      <c r="U441" s="73"/>
      <c r="V441" s="73"/>
      <c r="W441" s="73"/>
      <c r="X441" s="1864">
        <f t="shared" si="16"/>
        <v>300000</v>
      </c>
      <c r="Y441" s="23">
        <f t="shared" si="15"/>
        <v>0</v>
      </c>
    </row>
    <row r="442" spans="1:25" ht="62.45" customHeight="1" x14ac:dyDescent="0.25">
      <c r="A442" s="865">
        <v>2</v>
      </c>
      <c r="B442" s="865">
        <v>2</v>
      </c>
      <c r="C442" s="1490" t="s">
        <v>3388</v>
      </c>
      <c r="D442" s="865"/>
      <c r="E442" s="865"/>
      <c r="F442" s="865"/>
      <c r="G442" s="865"/>
      <c r="H442" s="1061" t="str">
        <f>'Bid 2b'!B724</f>
        <v>: Penyuluhan dan Pelatihan Bidang Kesehatan untuk Masyarakat  (Pembinaan Rumah Dataku)</v>
      </c>
      <c r="I442" s="1063">
        <f>SUM(I443:I449)</f>
        <v>1550000</v>
      </c>
      <c r="J442" s="865" t="s">
        <v>2177</v>
      </c>
      <c r="K442" s="1061" t="s">
        <v>3600</v>
      </c>
      <c r="L442" s="1063"/>
      <c r="M442" s="1063"/>
      <c r="N442" s="1063"/>
      <c r="O442" s="1063"/>
      <c r="P442" s="1063"/>
      <c r="Q442" s="1063"/>
      <c r="R442" s="1063"/>
      <c r="S442" s="1063"/>
      <c r="T442" s="1063"/>
      <c r="U442" s="1063"/>
      <c r="V442" s="1063"/>
      <c r="W442" s="1063"/>
      <c r="X442" s="1866">
        <f t="shared" si="16"/>
        <v>0</v>
      </c>
      <c r="Y442" s="23">
        <f t="shared" si="15"/>
        <v>-1550000</v>
      </c>
    </row>
    <row r="443" spans="1:25" x14ac:dyDescent="0.25">
      <c r="A443" s="1"/>
      <c r="B443" s="1"/>
      <c r="C443" s="1"/>
      <c r="D443" s="1">
        <v>5</v>
      </c>
      <c r="E443" s="1">
        <v>2</v>
      </c>
      <c r="F443" s="1"/>
      <c r="G443" s="1"/>
      <c r="H443" s="4" t="str">
        <f>'Bid 2b'!B730</f>
        <v>Belanja Barang Jasa</v>
      </c>
      <c r="I443" s="73"/>
      <c r="J443" s="1"/>
      <c r="K443" s="4" t="s">
        <v>3600</v>
      </c>
      <c r="L443" s="73"/>
      <c r="M443" s="73"/>
      <c r="N443" s="73"/>
      <c r="O443" s="73"/>
      <c r="P443" s="73"/>
      <c r="Q443" s="73"/>
      <c r="R443" s="73"/>
      <c r="S443" s="73"/>
      <c r="T443" s="73"/>
      <c r="U443" s="73"/>
      <c r="V443" s="73"/>
      <c r="W443" s="73"/>
      <c r="X443" s="1864">
        <f t="shared" si="16"/>
        <v>0</v>
      </c>
      <c r="Y443" s="23">
        <f t="shared" si="15"/>
        <v>0</v>
      </c>
    </row>
    <row r="444" spans="1:25" ht="30" x14ac:dyDescent="0.25">
      <c r="A444" s="1"/>
      <c r="B444" s="1"/>
      <c r="C444" s="1"/>
      <c r="D444" s="1"/>
      <c r="E444" s="1"/>
      <c r="F444" s="1">
        <v>1</v>
      </c>
      <c r="G444" s="1"/>
      <c r="H444" s="4" t="str">
        <f>'Bid 2b'!B731</f>
        <v>Belanja Barang Perlengkapan</v>
      </c>
      <c r="I444" s="73"/>
      <c r="J444" s="1"/>
      <c r="K444" s="4" t="s">
        <v>3600</v>
      </c>
      <c r="L444" s="73"/>
      <c r="M444" s="73"/>
      <c r="N444" s="73"/>
      <c r="O444" s="73"/>
      <c r="P444" s="73"/>
      <c r="Q444" s="73"/>
      <c r="R444" s="73"/>
      <c r="S444" s="73"/>
      <c r="T444" s="73"/>
      <c r="U444" s="73"/>
      <c r="V444" s="73"/>
      <c r="W444" s="73"/>
      <c r="X444" s="1864">
        <f t="shared" si="16"/>
        <v>0</v>
      </c>
      <c r="Y444" s="23">
        <f t="shared" si="15"/>
        <v>0</v>
      </c>
    </row>
    <row r="445" spans="1:25" ht="30" x14ac:dyDescent="0.25">
      <c r="A445" s="1"/>
      <c r="B445" s="1"/>
      <c r="C445" s="1"/>
      <c r="D445" s="1"/>
      <c r="E445" s="1"/>
      <c r="F445" s="1"/>
      <c r="G445" s="1489" t="s">
        <v>3366</v>
      </c>
      <c r="H445" s="4" t="str">
        <f>'Bid 2b'!B732</f>
        <v>Belanja Alat Tulis Kantor dan Benda Pos</v>
      </c>
      <c r="I445" s="73">
        <f>SUM('Bid 2b'!F733:F737)</f>
        <v>660000</v>
      </c>
      <c r="J445" s="1" t="s">
        <v>2177</v>
      </c>
      <c r="K445" s="4" t="s">
        <v>3600</v>
      </c>
      <c r="L445" s="73"/>
      <c r="M445" s="73"/>
      <c r="N445" s="73"/>
      <c r="O445" s="73"/>
      <c r="P445" s="73">
        <v>660000</v>
      </c>
      <c r="Q445" s="73"/>
      <c r="R445" s="73"/>
      <c r="S445" s="73"/>
      <c r="T445" s="73"/>
      <c r="U445" s="73"/>
      <c r="V445" s="73"/>
      <c r="W445" s="73"/>
      <c r="X445" s="1864">
        <f t="shared" si="16"/>
        <v>660000</v>
      </c>
      <c r="Y445" s="23">
        <f t="shared" si="15"/>
        <v>0</v>
      </c>
    </row>
    <row r="446" spans="1:25" ht="30" x14ac:dyDescent="0.25">
      <c r="A446" s="1"/>
      <c r="B446" s="1"/>
      <c r="C446" s="1"/>
      <c r="D446" s="1"/>
      <c r="E446" s="1"/>
      <c r="F446" s="1"/>
      <c r="G446" s="1489" t="s">
        <v>3391</v>
      </c>
      <c r="H446" s="4" t="str">
        <f>'Bid 2b'!B739:B739</f>
        <v>Belanja Perlengkapan Barang Konsumsi</v>
      </c>
      <c r="I446" s="73">
        <f>'Bid 2b'!F740</f>
        <v>200000</v>
      </c>
      <c r="J446" s="1" t="s">
        <v>2177</v>
      </c>
      <c r="K446" s="4" t="s">
        <v>3600</v>
      </c>
      <c r="L446" s="73"/>
      <c r="M446" s="73"/>
      <c r="N446" s="73"/>
      <c r="O446" s="73"/>
      <c r="P446" s="73">
        <v>200000</v>
      </c>
      <c r="Q446" s="73"/>
      <c r="R446" s="73"/>
      <c r="S446" s="73"/>
      <c r="T446" s="73"/>
      <c r="U446" s="73"/>
      <c r="V446" s="73"/>
      <c r="W446" s="73"/>
      <c r="X446" s="1864">
        <f t="shared" si="16"/>
        <v>200000</v>
      </c>
      <c r="Y446" s="23">
        <f t="shared" si="15"/>
        <v>0</v>
      </c>
    </row>
    <row r="447" spans="1:25" ht="30" x14ac:dyDescent="0.25">
      <c r="A447" s="1"/>
      <c r="B447" s="1"/>
      <c r="C447" s="1"/>
      <c r="D447" s="1"/>
      <c r="E447" s="1"/>
      <c r="F447" s="1"/>
      <c r="G447" s="1489" t="s">
        <v>3393</v>
      </c>
      <c r="H447" s="4" t="str">
        <f>'Bid 2b'!B742</f>
        <v>Belanja Bendera/ Umbul-umbul/ Spanduk</v>
      </c>
      <c r="I447" s="73">
        <f>'Bid 2b'!F743</f>
        <v>90000</v>
      </c>
      <c r="J447" s="1" t="s">
        <v>2177</v>
      </c>
      <c r="K447" s="4" t="s">
        <v>3600</v>
      </c>
      <c r="L447" s="73"/>
      <c r="M447" s="73"/>
      <c r="N447" s="73"/>
      <c r="O447" s="73"/>
      <c r="P447" s="73">
        <v>90000</v>
      </c>
      <c r="Q447" s="73"/>
      <c r="R447" s="73"/>
      <c r="S447" s="73"/>
      <c r="T447" s="73"/>
      <c r="U447" s="73"/>
      <c r="V447" s="73"/>
      <c r="W447" s="73"/>
      <c r="X447" s="1864">
        <f t="shared" si="16"/>
        <v>90000</v>
      </c>
      <c r="Y447" s="23">
        <f t="shared" si="15"/>
        <v>0</v>
      </c>
    </row>
    <row r="448" spans="1:25" x14ac:dyDescent="0.25">
      <c r="A448" s="1"/>
      <c r="B448" s="1"/>
      <c r="C448" s="1"/>
      <c r="D448" s="1">
        <v>5</v>
      </c>
      <c r="E448" s="1">
        <v>2</v>
      </c>
      <c r="F448" s="1">
        <v>2</v>
      </c>
      <c r="G448" s="1"/>
      <c r="H448" s="4" t="str">
        <f>'Bid 2b'!B746</f>
        <v>Belanja  Jasa Honorarium</v>
      </c>
      <c r="I448" s="73"/>
      <c r="J448" s="1"/>
      <c r="K448" s="4" t="s">
        <v>3600</v>
      </c>
      <c r="L448" s="73"/>
      <c r="M448" s="73"/>
      <c r="N448" s="73"/>
      <c r="O448" s="73"/>
      <c r="P448" s="73"/>
      <c r="Q448" s="73"/>
      <c r="R448" s="73"/>
      <c r="S448" s="73"/>
      <c r="T448" s="73"/>
      <c r="U448" s="73"/>
      <c r="V448" s="73"/>
      <c r="W448" s="73"/>
      <c r="X448" s="1864">
        <f t="shared" si="16"/>
        <v>0</v>
      </c>
      <c r="Y448" s="23">
        <f t="shared" si="15"/>
        <v>0</v>
      </c>
    </row>
    <row r="449" spans="1:25" ht="45" x14ac:dyDescent="0.25">
      <c r="A449" s="1"/>
      <c r="B449" s="1"/>
      <c r="C449" s="1"/>
      <c r="D449" s="1"/>
      <c r="E449" s="1"/>
      <c r="F449" s="1"/>
      <c r="G449" s="1489" t="s">
        <v>3390</v>
      </c>
      <c r="H449" s="4" t="str">
        <f>'Bid 2b'!B747</f>
        <v>Belanja Jasa Honorarium Ahli/Profesi/Konsultan/Narasumber</v>
      </c>
      <c r="I449" s="73">
        <f>'Bid 2b'!F748</f>
        <v>600000</v>
      </c>
      <c r="J449" s="1" t="s">
        <v>2177</v>
      </c>
      <c r="K449" s="4" t="s">
        <v>3600</v>
      </c>
      <c r="L449" s="73"/>
      <c r="M449" s="73"/>
      <c r="N449" s="73"/>
      <c r="O449" s="73"/>
      <c r="P449" s="73">
        <v>600000</v>
      </c>
      <c r="Q449" s="73"/>
      <c r="R449" s="73"/>
      <c r="S449" s="73"/>
      <c r="T449" s="73"/>
      <c r="U449" s="73"/>
      <c r="V449" s="73"/>
      <c r="W449" s="73"/>
      <c r="X449" s="1864">
        <f t="shared" si="16"/>
        <v>600000</v>
      </c>
      <c r="Y449" s="23">
        <f t="shared" si="15"/>
        <v>0</v>
      </c>
    </row>
    <row r="450" spans="1:25" ht="63.6" customHeight="1" x14ac:dyDescent="0.25">
      <c r="A450" s="865">
        <v>2</v>
      </c>
      <c r="B450" s="865">
        <v>2</v>
      </c>
      <c r="C450" s="1490" t="s">
        <v>3388</v>
      </c>
      <c r="D450" s="865"/>
      <c r="E450" s="865"/>
      <c r="F450" s="865"/>
      <c r="G450" s="865"/>
      <c r="H450" s="1061" t="str">
        <f>'Bid 2b'!B766</f>
        <v>: Penyuluhan dan Pelatihan Bidang Kesehatan Untuk Masyarakat  (Sosialisasi Sanitasi pedagang )</v>
      </c>
      <c r="I450" s="1063">
        <f>SUM(I451:I457)</f>
        <v>4593200</v>
      </c>
      <c r="J450" s="1061" t="s">
        <v>2179</v>
      </c>
      <c r="K450" s="1061" t="s">
        <v>3600</v>
      </c>
      <c r="L450" s="1063"/>
      <c r="M450" s="1063"/>
      <c r="N450" s="1063"/>
      <c r="O450" s="1063"/>
      <c r="P450" s="1063"/>
      <c r="Q450" s="1063"/>
      <c r="R450" s="1063"/>
      <c r="S450" s="1063"/>
      <c r="T450" s="1063"/>
      <c r="U450" s="1063"/>
      <c r="V450" s="1063"/>
      <c r="W450" s="1063"/>
      <c r="X450" s="1866">
        <f t="shared" si="16"/>
        <v>0</v>
      </c>
      <c r="Y450" s="23">
        <f t="shared" si="15"/>
        <v>-4593200</v>
      </c>
    </row>
    <row r="451" spans="1:25" x14ac:dyDescent="0.25">
      <c r="A451" s="1"/>
      <c r="B451" s="1"/>
      <c r="C451" s="1"/>
      <c r="D451" s="1">
        <v>5</v>
      </c>
      <c r="E451" s="1">
        <v>2</v>
      </c>
      <c r="F451" s="1"/>
      <c r="G451" s="1"/>
      <c r="H451" s="4" t="str">
        <f>'Bid 2b'!B773</f>
        <v xml:space="preserve">Belanja Barang dan Jasa </v>
      </c>
      <c r="I451" s="73"/>
      <c r="J451" s="4"/>
      <c r="K451" s="4" t="s">
        <v>3600</v>
      </c>
      <c r="L451" s="73"/>
      <c r="M451" s="73"/>
      <c r="N451" s="73"/>
      <c r="O451" s="73"/>
      <c r="P451" s="73"/>
      <c r="Q451" s="73"/>
      <c r="R451" s="73"/>
      <c r="S451" s="73"/>
      <c r="T451" s="73"/>
      <c r="U451" s="73"/>
      <c r="V451" s="73"/>
      <c r="W451" s="73"/>
      <c r="X451" s="1864">
        <f t="shared" si="16"/>
        <v>0</v>
      </c>
      <c r="Y451" s="23">
        <f t="shared" si="15"/>
        <v>0</v>
      </c>
    </row>
    <row r="452" spans="1:25" ht="30" x14ac:dyDescent="0.25">
      <c r="A452" s="1"/>
      <c r="B452" s="1"/>
      <c r="C452" s="1"/>
      <c r="D452" s="1"/>
      <c r="E452" s="1"/>
      <c r="F452" s="1">
        <v>1</v>
      </c>
      <c r="G452" s="1"/>
      <c r="H452" s="4" t="str">
        <f>'Bid 2b'!B774</f>
        <v>Belanja Barang perlengkapan</v>
      </c>
      <c r="I452" s="73"/>
      <c r="J452" s="4"/>
      <c r="K452" s="4" t="s">
        <v>3600</v>
      </c>
      <c r="L452" s="73"/>
      <c r="M452" s="73"/>
      <c r="N452" s="73"/>
      <c r="O452" s="73"/>
      <c r="P452" s="73"/>
      <c r="Q452" s="73"/>
      <c r="R452" s="73"/>
      <c r="S452" s="73"/>
      <c r="T452" s="73"/>
      <c r="U452" s="73"/>
      <c r="V452" s="73"/>
      <c r="W452" s="73"/>
      <c r="X452" s="1864">
        <f t="shared" si="16"/>
        <v>0</v>
      </c>
      <c r="Y452" s="23">
        <f t="shared" si="15"/>
        <v>0</v>
      </c>
    </row>
    <row r="453" spans="1:25" ht="30" x14ac:dyDescent="0.25">
      <c r="A453" s="1"/>
      <c r="B453" s="1"/>
      <c r="C453" s="1"/>
      <c r="D453" s="1"/>
      <c r="E453" s="1"/>
      <c r="F453" s="1"/>
      <c r="G453" s="1489" t="s">
        <v>3366</v>
      </c>
      <c r="H453" s="4" t="str">
        <f>'Bid 2b'!B775</f>
        <v>Belanja Perlengkapan Alat Tulis Kantor Dan Benda Pos</v>
      </c>
      <c r="I453" s="73">
        <f>SUM('Bid 2b'!F776:F776)</f>
        <v>43200</v>
      </c>
      <c r="J453" s="4" t="s">
        <v>2179</v>
      </c>
      <c r="K453" s="4" t="s">
        <v>3600</v>
      </c>
      <c r="L453" s="73"/>
      <c r="M453" s="73"/>
      <c r="N453" s="73"/>
      <c r="O453" s="73"/>
      <c r="P453" s="73">
        <v>43200</v>
      </c>
      <c r="Q453" s="73"/>
      <c r="R453" s="73"/>
      <c r="S453" s="73"/>
      <c r="T453" s="73"/>
      <c r="U453" s="73"/>
      <c r="V453" s="73"/>
      <c r="W453" s="73"/>
      <c r="X453" s="1864">
        <f t="shared" si="16"/>
        <v>43200</v>
      </c>
      <c r="Y453" s="23">
        <f t="shared" si="15"/>
        <v>0</v>
      </c>
    </row>
    <row r="454" spans="1:25" ht="30" x14ac:dyDescent="0.25">
      <c r="A454" s="1"/>
      <c r="B454" s="1"/>
      <c r="C454" s="1"/>
      <c r="D454" s="1"/>
      <c r="E454" s="1"/>
      <c r="F454" s="1"/>
      <c r="G454" s="1489" t="s">
        <v>3391</v>
      </c>
      <c r="H454" s="4" t="str">
        <f>'Bid 2b'!B778</f>
        <v>Belanja Perlengkapan Barang konsumsi</v>
      </c>
      <c r="I454" s="73">
        <f>'Bid 2b'!F779</f>
        <v>400000</v>
      </c>
      <c r="J454" s="4" t="s">
        <v>2179</v>
      </c>
      <c r="K454" s="4" t="s">
        <v>3600</v>
      </c>
      <c r="L454" s="73"/>
      <c r="M454" s="73"/>
      <c r="N454" s="73"/>
      <c r="O454" s="73"/>
      <c r="P454" s="73">
        <v>400000</v>
      </c>
      <c r="Q454" s="73"/>
      <c r="R454" s="73"/>
      <c r="S454" s="73"/>
      <c r="T454" s="73"/>
      <c r="U454" s="73"/>
      <c r="V454" s="73"/>
      <c r="W454" s="73"/>
      <c r="X454" s="1864">
        <f t="shared" si="16"/>
        <v>400000</v>
      </c>
      <c r="Y454" s="23">
        <f t="shared" si="15"/>
        <v>0</v>
      </c>
    </row>
    <row r="455" spans="1:25" x14ac:dyDescent="0.25">
      <c r="A455" s="1"/>
      <c r="B455" s="1"/>
      <c r="C455" s="1"/>
      <c r="D455" s="1">
        <v>5</v>
      </c>
      <c r="E455" s="1">
        <v>2</v>
      </c>
      <c r="F455" s="1">
        <v>2</v>
      </c>
      <c r="G455" s="1"/>
      <c r="H455" s="4" t="str">
        <f>'Bid 2b'!B781</f>
        <v>Belanja Jasa Honorarium</v>
      </c>
      <c r="I455" s="73"/>
      <c r="J455" s="4"/>
      <c r="K455" s="4" t="s">
        <v>3600</v>
      </c>
      <c r="L455" s="73"/>
      <c r="M455" s="73"/>
      <c r="N455" s="73"/>
      <c r="O455" s="73"/>
      <c r="P455" s="73"/>
      <c r="Q455" s="73"/>
      <c r="R455" s="73"/>
      <c r="S455" s="73"/>
      <c r="T455" s="73"/>
      <c r="U455" s="73"/>
      <c r="V455" s="73"/>
      <c r="W455" s="73"/>
      <c r="X455" s="1864">
        <f t="shared" si="16"/>
        <v>0</v>
      </c>
      <c r="Y455" s="23">
        <f t="shared" si="15"/>
        <v>0</v>
      </c>
    </row>
    <row r="456" spans="1:25" ht="30" x14ac:dyDescent="0.25">
      <c r="A456" s="1"/>
      <c r="B456" s="1"/>
      <c r="C456" s="1"/>
      <c r="D456" s="1"/>
      <c r="E456" s="1"/>
      <c r="F456" s="1"/>
      <c r="G456" s="1489" t="s">
        <v>3366</v>
      </c>
      <c r="H456" s="4" t="str">
        <f>'Bid 2b'!B782</f>
        <v>Belanja Jasa Honorarium Tim Yang Melaksanakan kegiatan</v>
      </c>
      <c r="I456" s="73">
        <f>'Bid 2b'!F783+'Bid 2b'!F784+'Bid 2b'!F785</f>
        <v>1150000</v>
      </c>
      <c r="J456" s="4" t="s">
        <v>2179</v>
      </c>
      <c r="K456" s="4" t="s">
        <v>3600</v>
      </c>
      <c r="L456" s="73"/>
      <c r="M456" s="73"/>
      <c r="N456" s="73"/>
      <c r="O456" s="73"/>
      <c r="P456" s="73">
        <v>1150000</v>
      </c>
      <c r="Q456" s="73"/>
      <c r="R456" s="73"/>
      <c r="S456" s="73"/>
      <c r="T456" s="73"/>
      <c r="U456" s="73"/>
      <c r="V456" s="73"/>
      <c r="W456" s="73"/>
      <c r="X456" s="1864">
        <f t="shared" si="16"/>
        <v>1150000</v>
      </c>
      <c r="Y456" s="23">
        <f t="shared" si="15"/>
        <v>0</v>
      </c>
    </row>
    <row r="457" spans="1:25" ht="30" x14ac:dyDescent="0.25">
      <c r="A457" s="1"/>
      <c r="B457" s="1"/>
      <c r="C457" s="1"/>
      <c r="D457" s="1"/>
      <c r="E457" s="1"/>
      <c r="F457" s="1"/>
      <c r="G457" s="1489" t="s">
        <v>3386</v>
      </c>
      <c r="H457" s="4" t="str">
        <f>'Bid 2b'!B786</f>
        <v>Belanja Jasa Honorarium Petugas</v>
      </c>
      <c r="I457" s="73">
        <f>'Bid 2b'!F787</f>
        <v>3000000</v>
      </c>
      <c r="J457" s="4" t="s">
        <v>2179</v>
      </c>
      <c r="K457" s="4" t="s">
        <v>3600</v>
      </c>
      <c r="L457" s="73"/>
      <c r="M457" s="73"/>
      <c r="N457" s="73"/>
      <c r="O457" s="73"/>
      <c r="P457" s="73">
        <v>3000000</v>
      </c>
      <c r="Q457" s="73"/>
      <c r="R457" s="73"/>
      <c r="S457" s="73"/>
      <c r="T457" s="73"/>
      <c r="U457" s="73"/>
      <c r="V457" s="73"/>
      <c r="W457" s="73"/>
      <c r="X457" s="1864">
        <f t="shared" si="16"/>
        <v>3000000</v>
      </c>
      <c r="Y457" s="23">
        <f t="shared" si="15"/>
        <v>0</v>
      </c>
    </row>
    <row r="458" spans="1:25" ht="60" customHeight="1" x14ac:dyDescent="0.25">
      <c r="A458" s="865">
        <v>2</v>
      </c>
      <c r="B458" s="865">
        <v>2</v>
      </c>
      <c r="C458" s="1490" t="s">
        <v>3388</v>
      </c>
      <c r="D458" s="865"/>
      <c r="E458" s="865"/>
      <c r="F458" s="865"/>
      <c r="G458" s="865"/>
      <c r="H458" s="1061" t="str">
        <f>'Bid 2b'!B805</f>
        <v>: Penyuluhan dan Pelatihan Bidang Kesehatan Untuk Masyarakat  (Senam Untuk Kesehatan Perempuan)</v>
      </c>
      <c r="I458" s="1063">
        <f>SUM(I459:I461)</f>
        <v>4800000</v>
      </c>
      <c r="J458" s="865" t="s">
        <v>1506</v>
      </c>
      <c r="K458" s="1061" t="s">
        <v>3600</v>
      </c>
      <c r="L458" s="1063"/>
      <c r="M458" s="1063"/>
      <c r="N458" s="1063"/>
      <c r="O458" s="1063"/>
      <c r="P458" s="1063"/>
      <c r="Q458" s="1063"/>
      <c r="R458" s="1063"/>
      <c r="S458" s="1063"/>
      <c r="T458" s="1063"/>
      <c r="U458" s="1063"/>
      <c r="V458" s="1063"/>
      <c r="W458" s="1063"/>
      <c r="X458" s="1866">
        <f t="shared" si="16"/>
        <v>0</v>
      </c>
      <c r="Y458" s="23">
        <f t="shared" si="15"/>
        <v>-4800000</v>
      </c>
    </row>
    <row r="459" spans="1:25" x14ac:dyDescent="0.25">
      <c r="A459" s="1"/>
      <c r="B459" s="1"/>
      <c r="C459" s="1"/>
      <c r="D459" s="1">
        <v>5</v>
      </c>
      <c r="E459" s="1">
        <v>2</v>
      </c>
      <c r="F459" s="1"/>
      <c r="G459" s="1"/>
      <c r="H459" s="4" t="str">
        <f>'Bid 2b'!B812</f>
        <v xml:space="preserve">Belanja Barang dan Jasa </v>
      </c>
      <c r="I459" s="73"/>
      <c r="J459" s="1"/>
      <c r="K459" s="4" t="s">
        <v>3600</v>
      </c>
      <c r="L459" s="73"/>
      <c r="M459" s="73"/>
      <c r="N459" s="73"/>
      <c r="O459" s="73"/>
      <c r="P459" s="73"/>
      <c r="Q459" s="73"/>
      <c r="R459" s="73"/>
      <c r="S459" s="73"/>
      <c r="T459" s="73"/>
      <c r="U459" s="73"/>
      <c r="V459" s="73"/>
      <c r="W459" s="73"/>
      <c r="X459" s="1864">
        <f t="shared" si="16"/>
        <v>0</v>
      </c>
      <c r="Y459" s="23">
        <f t="shared" si="15"/>
        <v>0</v>
      </c>
    </row>
    <row r="460" spans="1:25" x14ac:dyDescent="0.25">
      <c r="A460" s="1"/>
      <c r="B460" s="1"/>
      <c r="C460" s="1"/>
      <c r="D460" s="1"/>
      <c r="E460" s="1"/>
      <c r="F460" s="1">
        <v>2</v>
      </c>
      <c r="G460" s="1"/>
      <c r="H460" s="4" t="str">
        <f>'Bid 2b'!B813</f>
        <v>Belanja Jasa Honorarium</v>
      </c>
      <c r="I460" s="73"/>
      <c r="J460" s="1"/>
      <c r="K460" s="4" t="s">
        <v>3600</v>
      </c>
      <c r="L460" s="73"/>
      <c r="M460" s="73"/>
      <c r="N460" s="73"/>
      <c r="O460" s="73"/>
      <c r="P460" s="73"/>
      <c r="Q460" s="73"/>
      <c r="R460" s="73"/>
      <c r="S460" s="73"/>
      <c r="T460" s="73"/>
      <c r="U460" s="73"/>
      <c r="V460" s="73"/>
      <c r="W460" s="73"/>
      <c r="X460" s="1864">
        <f t="shared" si="16"/>
        <v>0</v>
      </c>
      <c r="Y460" s="23">
        <f t="shared" si="15"/>
        <v>0</v>
      </c>
    </row>
    <row r="461" spans="1:25" ht="30" x14ac:dyDescent="0.25">
      <c r="A461" s="1"/>
      <c r="B461" s="1"/>
      <c r="C461" s="1"/>
      <c r="D461" s="1"/>
      <c r="E461" s="1"/>
      <c r="F461" s="1"/>
      <c r="G461" s="1489" t="s">
        <v>3389</v>
      </c>
      <c r="H461" s="4" t="str">
        <f>'Bid 2b'!B814</f>
        <v>Belanja Jasa Honorarium Narasumber</v>
      </c>
      <c r="I461" s="73">
        <f>'Bid 2b'!F815</f>
        <v>4800000</v>
      </c>
      <c r="J461" s="1" t="s">
        <v>1506</v>
      </c>
      <c r="K461" s="4" t="s">
        <v>3600</v>
      </c>
      <c r="L461" s="73"/>
      <c r="M461" s="73">
        <v>4800000</v>
      </c>
      <c r="N461" s="73"/>
      <c r="O461" s="73"/>
      <c r="P461" s="73"/>
      <c r="Q461" s="73"/>
      <c r="R461" s="73"/>
      <c r="S461" s="73"/>
      <c r="T461" s="73"/>
      <c r="U461" s="73"/>
      <c r="V461" s="73"/>
      <c r="W461" s="73"/>
      <c r="X461" s="1864">
        <f t="shared" si="16"/>
        <v>4800000</v>
      </c>
      <c r="Y461" s="23">
        <f t="shared" si="15"/>
        <v>0</v>
      </c>
    </row>
    <row r="462" spans="1:25" ht="30" x14ac:dyDescent="0.25">
      <c r="A462" s="865">
        <v>2</v>
      </c>
      <c r="B462" s="865">
        <v>2</v>
      </c>
      <c r="C462" s="1490" t="s">
        <v>3389</v>
      </c>
      <c r="D462" s="865"/>
      <c r="E462" s="865"/>
      <c r="F462" s="865"/>
      <c r="G462" s="865"/>
      <c r="H462" s="1061" t="str">
        <f>'Bid 2b'!B834</f>
        <v>: Penyelenggaraan  (Desa Siaga Kesehatan)</v>
      </c>
      <c r="I462" s="1063">
        <f>SUM(I463:I470)</f>
        <v>1802000</v>
      </c>
      <c r="J462" s="865" t="s">
        <v>2177</v>
      </c>
      <c r="K462" s="1061" t="s">
        <v>3600</v>
      </c>
      <c r="L462" s="1063"/>
      <c r="M462" s="1063"/>
      <c r="N462" s="1063"/>
      <c r="O462" s="1063"/>
      <c r="P462" s="1063"/>
      <c r="Q462" s="1063"/>
      <c r="R462" s="1063"/>
      <c r="S462" s="1063"/>
      <c r="T462" s="1063"/>
      <c r="U462" s="1063"/>
      <c r="V462" s="1063"/>
      <c r="W462" s="1063"/>
      <c r="X462" s="1866">
        <f t="shared" si="16"/>
        <v>0</v>
      </c>
      <c r="Y462" s="23">
        <f t="shared" si="15"/>
        <v>-1802000</v>
      </c>
    </row>
    <row r="463" spans="1:25" x14ac:dyDescent="0.25">
      <c r="A463" s="1"/>
      <c r="B463" s="1"/>
      <c r="C463" s="1"/>
      <c r="D463" s="1">
        <v>5</v>
      </c>
      <c r="E463" s="1">
        <v>2</v>
      </c>
      <c r="F463" s="1"/>
      <c r="G463" s="1"/>
      <c r="H463" s="4" t="str">
        <f>'Bid 2b'!B840</f>
        <v>Belanja Barang Jasa</v>
      </c>
      <c r="I463" s="73"/>
      <c r="J463" s="1"/>
      <c r="K463" s="4" t="s">
        <v>3600</v>
      </c>
      <c r="L463" s="73"/>
      <c r="M463" s="73"/>
      <c r="N463" s="73"/>
      <c r="O463" s="73"/>
      <c r="P463" s="73"/>
      <c r="Q463" s="73"/>
      <c r="R463" s="73"/>
      <c r="S463" s="73"/>
      <c r="T463" s="73"/>
      <c r="U463" s="73"/>
      <c r="V463" s="73"/>
      <c r="W463" s="73"/>
      <c r="X463" s="1864">
        <f t="shared" si="16"/>
        <v>0</v>
      </c>
      <c r="Y463" s="23">
        <f t="shared" si="15"/>
        <v>0</v>
      </c>
    </row>
    <row r="464" spans="1:25" ht="30" x14ac:dyDescent="0.25">
      <c r="A464" s="1"/>
      <c r="B464" s="1"/>
      <c r="C464" s="1"/>
      <c r="D464" s="1"/>
      <c r="E464" s="1"/>
      <c r="F464" s="1">
        <v>1</v>
      </c>
      <c r="G464" s="1"/>
      <c r="H464" s="4" t="str">
        <f>'Bid 2b'!B841</f>
        <v>Belanja Barang Perlengkapan</v>
      </c>
      <c r="I464" s="73"/>
      <c r="J464" s="1"/>
      <c r="K464" s="4" t="s">
        <v>3600</v>
      </c>
      <c r="L464" s="73"/>
      <c r="M464" s="73"/>
      <c r="N464" s="73"/>
      <c r="O464" s="73"/>
      <c r="P464" s="73"/>
      <c r="Q464" s="73"/>
      <c r="R464" s="73"/>
      <c r="S464" s="73"/>
      <c r="T464" s="73"/>
      <c r="U464" s="73"/>
      <c r="V464" s="73"/>
      <c r="W464" s="73"/>
      <c r="X464" s="1864">
        <f t="shared" si="16"/>
        <v>0</v>
      </c>
      <c r="Y464" s="23">
        <f t="shared" si="15"/>
        <v>0</v>
      </c>
    </row>
    <row r="465" spans="1:25" ht="30" x14ac:dyDescent="0.25">
      <c r="A465" s="1"/>
      <c r="B465" s="1"/>
      <c r="C465" s="1"/>
      <c r="D465" s="1"/>
      <c r="E465" s="1"/>
      <c r="F465" s="1"/>
      <c r="G465" s="1489" t="s">
        <v>3366</v>
      </c>
      <c r="H465" s="4" t="str">
        <f>'Bid 2b'!B842</f>
        <v>Belanja Alat Tulis Kantor dan Benda Pos</v>
      </c>
      <c r="I465" s="73">
        <f>SUM('Bid 2b'!F843:F845)</f>
        <v>417000</v>
      </c>
      <c r="J465" s="1" t="s">
        <v>2177</v>
      </c>
      <c r="K465" s="4" t="s">
        <v>3600</v>
      </c>
      <c r="L465" s="73"/>
      <c r="M465" s="73"/>
      <c r="N465" s="73"/>
      <c r="O465" s="73"/>
      <c r="P465" s="73"/>
      <c r="Q465" s="73"/>
      <c r="R465" s="73"/>
      <c r="S465" s="73"/>
      <c r="T465" s="73"/>
      <c r="U465" s="73"/>
      <c r="V465" s="73">
        <v>417000</v>
      </c>
      <c r="W465" s="73"/>
      <c r="X465" s="1864">
        <f t="shared" si="16"/>
        <v>417000</v>
      </c>
      <c r="Y465" s="23">
        <f t="shared" si="15"/>
        <v>0</v>
      </c>
    </row>
    <row r="466" spans="1:25" ht="30" x14ac:dyDescent="0.25">
      <c r="A466" s="1"/>
      <c r="B466" s="1"/>
      <c r="C466" s="1"/>
      <c r="D466" s="1"/>
      <c r="E466" s="1"/>
      <c r="F466" s="1"/>
      <c r="G466" s="1489" t="s">
        <v>3391</v>
      </c>
      <c r="H466" s="4" t="str">
        <f>'Bid 2b'!B847</f>
        <v>Belanja Perlengkapan Barang Konsumsi</v>
      </c>
      <c r="I466" s="73">
        <f>'Bid 2b'!F848</f>
        <v>620000</v>
      </c>
      <c r="J466" s="1" t="s">
        <v>2177</v>
      </c>
      <c r="K466" s="4" t="s">
        <v>3600</v>
      </c>
      <c r="L466" s="73"/>
      <c r="M466" s="73"/>
      <c r="N466" s="73"/>
      <c r="O466" s="73"/>
      <c r="P466" s="73"/>
      <c r="Q466" s="73"/>
      <c r="R466" s="73"/>
      <c r="S466" s="73"/>
      <c r="T466" s="73"/>
      <c r="U466" s="73"/>
      <c r="V466" s="73">
        <v>620000</v>
      </c>
      <c r="W466" s="73"/>
      <c r="X466" s="1864">
        <f t="shared" si="16"/>
        <v>620000</v>
      </c>
      <c r="Y466" s="23">
        <f t="shared" si="15"/>
        <v>0</v>
      </c>
    </row>
    <row r="467" spans="1:25" ht="30" x14ac:dyDescent="0.25">
      <c r="A467" s="1"/>
      <c r="B467" s="1"/>
      <c r="C467" s="1"/>
      <c r="D467" s="1"/>
      <c r="E467" s="1"/>
      <c r="F467" s="1"/>
      <c r="G467" s="1489" t="s">
        <v>3393</v>
      </c>
      <c r="H467" s="4" t="str">
        <f>'Bid 2b'!B850</f>
        <v>Belanja Bendera/ Umbul-umbul/ Spanduk</v>
      </c>
      <c r="I467" s="73">
        <f>'Bid 2b'!F851</f>
        <v>90000</v>
      </c>
      <c r="J467" s="1" t="s">
        <v>2177</v>
      </c>
      <c r="K467" s="4" t="s">
        <v>3600</v>
      </c>
      <c r="L467" s="73"/>
      <c r="M467" s="73"/>
      <c r="N467" s="73"/>
      <c r="O467" s="73"/>
      <c r="P467" s="73"/>
      <c r="Q467" s="73"/>
      <c r="R467" s="73"/>
      <c r="S467" s="73"/>
      <c r="T467" s="73"/>
      <c r="U467" s="73"/>
      <c r="V467" s="73">
        <v>90000</v>
      </c>
      <c r="W467" s="73"/>
      <c r="X467" s="1864">
        <f t="shared" si="16"/>
        <v>90000</v>
      </c>
      <c r="Y467" s="23">
        <f t="shared" si="15"/>
        <v>0</v>
      </c>
    </row>
    <row r="468" spans="1:25" ht="30" x14ac:dyDescent="0.25">
      <c r="A468" s="1"/>
      <c r="B468" s="1"/>
      <c r="C468" s="1"/>
      <c r="D468" s="1"/>
      <c r="E468" s="1"/>
      <c r="F468" s="1"/>
      <c r="G468" s="1489" t="s">
        <v>3417</v>
      </c>
      <c r="H468" s="4" t="str">
        <f>'Bid 2b'!B853</f>
        <v>Belanja Upakara, Upacara Dan Aci-Aci</v>
      </c>
      <c r="I468" s="73">
        <f>SUM('Bid 2b'!F854:F856)</f>
        <v>75000</v>
      </c>
      <c r="J468" s="1" t="s">
        <v>2177</v>
      </c>
      <c r="K468" s="4" t="s">
        <v>3600</v>
      </c>
      <c r="L468" s="73"/>
      <c r="M468" s="73"/>
      <c r="N468" s="73"/>
      <c r="O468" s="73"/>
      <c r="P468" s="73"/>
      <c r="Q468" s="73"/>
      <c r="R468" s="73"/>
      <c r="S468" s="73"/>
      <c r="T468" s="73"/>
      <c r="U468" s="73"/>
      <c r="V468" s="73">
        <v>75000</v>
      </c>
      <c r="W468" s="73"/>
      <c r="X468" s="1864">
        <f t="shared" si="16"/>
        <v>75000</v>
      </c>
      <c r="Y468" s="23">
        <f t="shared" si="15"/>
        <v>0</v>
      </c>
    </row>
    <row r="469" spans="1:25" x14ac:dyDescent="0.25">
      <c r="A469" s="1"/>
      <c r="B469" s="1"/>
      <c r="C469" s="1"/>
      <c r="D469" s="1">
        <v>5</v>
      </c>
      <c r="E469" s="1">
        <v>2</v>
      </c>
      <c r="F469" s="1">
        <v>2</v>
      </c>
      <c r="G469" s="1"/>
      <c r="H469" s="4" t="str">
        <f>'Bid 2b'!B858</f>
        <v>Belanja  Jasa Honorarium</v>
      </c>
      <c r="I469" s="73"/>
      <c r="J469" s="1"/>
      <c r="K469" s="4" t="s">
        <v>3600</v>
      </c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1864">
        <f t="shared" si="16"/>
        <v>0</v>
      </c>
      <c r="Y469" s="23">
        <f t="shared" si="15"/>
        <v>0</v>
      </c>
    </row>
    <row r="470" spans="1:25" ht="45" x14ac:dyDescent="0.25">
      <c r="A470" s="1"/>
      <c r="B470" s="1"/>
      <c r="C470" s="1"/>
      <c r="D470" s="1"/>
      <c r="E470" s="1"/>
      <c r="F470" s="1"/>
      <c r="G470" s="1489" t="s">
        <v>3389</v>
      </c>
      <c r="H470" s="4" t="str">
        <f>'Bid 2b'!B860</f>
        <v>Belanja Jasa Honorarium Ahli/Profesi/Konsultan/Narasumber</v>
      </c>
      <c r="I470" s="73">
        <f>'Bid 2b'!F861</f>
        <v>600000</v>
      </c>
      <c r="J470" s="1" t="s">
        <v>2177</v>
      </c>
      <c r="K470" s="4" t="s">
        <v>3600</v>
      </c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>
        <v>600000</v>
      </c>
      <c r="W470" s="73"/>
      <c r="X470" s="1864">
        <f t="shared" si="16"/>
        <v>600000</v>
      </c>
      <c r="Y470" s="23">
        <f t="shared" si="15"/>
        <v>0</v>
      </c>
    </row>
    <row r="471" spans="1:25" ht="45" x14ac:dyDescent="0.25">
      <c r="A471" s="865">
        <v>2</v>
      </c>
      <c r="B471" s="865">
        <v>2</v>
      </c>
      <c r="C471" s="1490" t="s">
        <v>3389</v>
      </c>
      <c r="D471" s="865"/>
      <c r="E471" s="865"/>
      <c r="F471" s="865"/>
      <c r="G471" s="865"/>
      <c r="H471" s="1061" t="str">
        <f>'Bid 2b'!B879</f>
        <v>: Penyelenggaraan Desa Siaga Kesehatan( Sosialisasi anjing rabies)</v>
      </c>
      <c r="I471" s="1063">
        <f>SUM(I472:I478)</f>
        <v>1095000</v>
      </c>
      <c r="J471" s="865" t="s">
        <v>2177</v>
      </c>
      <c r="K471" s="1061" t="s">
        <v>3600</v>
      </c>
      <c r="L471" s="1063"/>
      <c r="M471" s="1063"/>
      <c r="N471" s="1063"/>
      <c r="O471" s="1063"/>
      <c r="P471" s="1063"/>
      <c r="Q471" s="1063"/>
      <c r="R471" s="1063"/>
      <c r="S471" s="1063"/>
      <c r="T471" s="1063"/>
      <c r="U471" s="1063"/>
      <c r="V471" s="1063"/>
      <c r="W471" s="1063"/>
      <c r="X471" s="1866">
        <f t="shared" si="16"/>
        <v>0</v>
      </c>
      <c r="Y471" s="23">
        <f t="shared" si="15"/>
        <v>-1095000</v>
      </c>
    </row>
    <row r="472" spans="1:25" x14ac:dyDescent="0.25">
      <c r="A472" s="1"/>
      <c r="B472" s="1"/>
      <c r="C472" s="1"/>
      <c r="D472" s="1">
        <v>5</v>
      </c>
      <c r="E472" s="1">
        <v>2</v>
      </c>
      <c r="F472" s="1"/>
      <c r="G472" s="1"/>
      <c r="H472" s="4" t="str">
        <f>'Bid 2b'!B885</f>
        <v>Belanja Barang Jasa</v>
      </c>
      <c r="I472" s="73"/>
      <c r="J472" s="1"/>
      <c r="K472" s="4" t="s">
        <v>3600</v>
      </c>
      <c r="L472" s="73"/>
      <c r="M472" s="73"/>
      <c r="N472" s="73"/>
      <c r="O472" s="73"/>
      <c r="P472" s="73"/>
      <c r="Q472" s="73"/>
      <c r="R472" s="73"/>
      <c r="S472" s="73"/>
      <c r="T472" s="73"/>
      <c r="U472" s="73"/>
      <c r="V472" s="73"/>
      <c r="W472" s="73"/>
      <c r="X472" s="1864">
        <f t="shared" si="16"/>
        <v>0</v>
      </c>
      <c r="Y472" s="23">
        <f t="shared" si="15"/>
        <v>0</v>
      </c>
    </row>
    <row r="473" spans="1:25" ht="30" x14ac:dyDescent="0.25">
      <c r="A473" s="1"/>
      <c r="B473" s="1"/>
      <c r="C473" s="1"/>
      <c r="D473" s="1"/>
      <c r="E473" s="1"/>
      <c r="F473" s="1">
        <v>1</v>
      </c>
      <c r="G473" s="1"/>
      <c r="H473" s="4" t="str">
        <f>'Bid 2b'!B886</f>
        <v>Belanja Barang Perlengkapan</v>
      </c>
      <c r="I473" s="73"/>
      <c r="J473" s="1"/>
      <c r="K473" s="4" t="s">
        <v>3600</v>
      </c>
      <c r="L473" s="73"/>
      <c r="M473" s="73"/>
      <c r="N473" s="73"/>
      <c r="O473" s="73"/>
      <c r="P473" s="73"/>
      <c r="Q473" s="73"/>
      <c r="R473" s="73"/>
      <c r="S473" s="73"/>
      <c r="T473" s="73"/>
      <c r="U473" s="73"/>
      <c r="V473" s="73"/>
      <c r="W473" s="73"/>
      <c r="X473" s="1864">
        <f t="shared" si="16"/>
        <v>0</v>
      </c>
      <c r="Y473" s="23">
        <f t="shared" si="15"/>
        <v>0</v>
      </c>
    </row>
    <row r="474" spans="1:25" ht="30" x14ac:dyDescent="0.25">
      <c r="A474" s="1"/>
      <c r="B474" s="1"/>
      <c r="C474" s="1"/>
      <c r="D474" s="1"/>
      <c r="E474" s="1"/>
      <c r="F474" s="1"/>
      <c r="G474" s="1489" t="s">
        <v>3366</v>
      </c>
      <c r="H474" s="4" t="str">
        <f>'Bid 2b'!B887</f>
        <v>Belanja Alat Tulis Kantor dan Benda Pos</v>
      </c>
      <c r="I474" s="73">
        <f>SUM('Bid 2b'!F888:F888)</f>
        <v>105000</v>
      </c>
      <c r="J474" s="1" t="s">
        <v>2177</v>
      </c>
      <c r="K474" s="4" t="s">
        <v>3600</v>
      </c>
      <c r="L474" s="73"/>
      <c r="M474" s="73"/>
      <c r="N474" s="73"/>
      <c r="O474" s="73"/>
      <c r="P474" s="73"/>
      <c r="Q474" s="73"/>
      <c r="R474" s="73"/>
      <c r="S474" s="73"/>
      <c r="T474" s="73"/>
      <c r="U474" s="73">
        <v>81313</v>
      </c>
      <c r="V474" s="73">
        <v>23687</v>
      </c>
      <c r="W474" s="73"/>
      <c r="X474" s="1864">
        <f t="shared" si="16"/>
        <v>105000</v>
      </c>
      <c r="Y474" s="23">
        <f t="shared" si="15"/>
        <v>0</v>
      </c>
    </row>
    <row r="475" spans="1:25" ht="30" x14ac:dyDescent="0.25">
      <c r="A475" s="1"/>
      <c r="B475" s="1"/>
      <c r="C475" s="1"/>
      <c r="D475" s="1"/>
      <c r="E475" s="1"/>
      <c r="F475" s="1"/>
      <c r="G475" s="1489" t="s">
        <v>3391</v>
      </c>
      <c r="H475" s="4" t="str">
        <f>'Bid 2b'!B890</f>
        <v>Belanja Perlengkapan Barang Konsumsi</v>
      </c>
      <c r="I475" s="73">
        <f>'Bid 2b'!F891</f>
        <v>600000</v>
      </c>
      <c r="J475" s="1" t="s">
        <v>2177</v>
      </c>
      <c r="K475" s="4" t="s">
        <v>3600</v>
      </c>
      <c r="L475" s="73"/>
      <c r="M475" s="73"/>
      <c r="N475" s="73"/>
      <c r="O475" s="73"/>
      <c r="P475" s="73"/>
      <c r="Q475" s="73"/>
      <c r="R475" s="73"/>
      <c r="S475" s="73"/>
      <c r="T475" s="73"/>
      <c r="U475" s="73">
        <v>600000</v>
      </c>
      <c r="V475" s="73"/>
      <c r="W475" s="73"/>
      <c r="X475" s="1864">
        <f t="shared" si="16"/>
        <v>600000</v>
      </c>
      <c r="Y475" s="23">
        <f t="shared" si="15"/>
        <v>0</v>
      </c>
    </row>
    <row r="476" spans="1:25" ht="30" x14ac:dyDescent="0.25">
      <c r="A476" s="1"/>
      <c r="B476" s="1"/>
      <c r="C476" s="1"/>
      <c r="D476" s="1"/>
      <c r="E476" s="1"/>
      <c r="F476" s="1"/>
      <c r="G476" s="1489" t="s">
        <v>3393</v>
      </c>
      <c r="H476" s="4" t="str">
        <f>'Bid 2b'!B893</f>
        <v>Belanja Bendera/ Umbul-umbul/ Spanduk</v>
      </c>
      <c r="I476" s="73">
        <f>'Bid 2b'!F894</f>
        <v>90000</v>
      </c>
      <c r="J476" s="1" t="s">
        <v>2177</v>
      </c>
      <c r="K476" s="4" t="s">
        <v>3600</v>
      </c>
      <c r="L476" s="73"/>
      <c r="M476" s="73"/>
      <c r="N476" s="73"/>
      <c r="O476" s="73"/>
      <c r="P476" s="73"/>
      <c r="Q476" s="73"/>
      <c r="R476" s="73"/>
      <c r="S476" s="73"/>
      <c r="T476" s="73"/>
      <c r="U476" s="73"/>
      <c r="V476" s="73">
        <v>90000</v>
      </c>
      <c r="W476" s="73"/>
      <c r="X476" s="1864">
        <f t="shared" si="16"/>
        <v>90000</v>
      </c>
      <c r="Y476" s="23">
        <f t="shared" si="15"/>
        <v>0</v>
      </c>
    </row>
    <row r="477" spans="1:25" x14ac:dyDescent="0.25">
      <c r="A477" s="1"/>
      <c r="B477" s="1"/>
      <c r="C477" s="1"/>
      <c r="D477" s="1">
        <v>5</v>
      </c>
      <c r="E477" s="1">
        <v>2</v>
      </c>
      <c r="F477" s="1">
        <v>2</v>
      </c>
      <c r="G477" s="1"/>
      <c r="H477" s="4" t="str">
        <f>'Bid 2b'!B896</f>
        <v>Belanja  Jasa Honorarium</v>
      </c>
      <c r="I477" s="73"/>
      <c r="J477" s="1"/>
      <c r="K477" s="4" t="s">
        <v>3600</v>
      </c>
      <c r="L477" s="73"/>
      <c r="M477" s="73"/>
      <c r="N477" s="73"/>
      <c r="O477" s="73"/>
      <c r="P477" s="73"/>
      <c r="Q477" s="73"/>
      <c r="R477" s="73"/>
      <c r="S477" s="73"/>
      <c r="T477" s="73"/>
      <c r="U477" s="73"/>
      <c r="V477" s="73"/>
      <c r="W477" s="73"/>
      <c r="X477" s="1864">
        <f t="shared" si="16"/>
        <v>0</v>
      </c>
      <c r="Y477" s="23">
        <f t="shared" si="15"/>
        <v>0</v>
      </c>
    </row>
    <row r="478" spans="1:25" ht="45" x14ac:dyDescent="0.25">
      <c r="A478" s="1"/>
      <c r="B478" s="1"/>
      <c r="C478" s="1"/>
      <c r="D478" s="1"/>
      <c r="E478" s="1"/>
      <c r="F478" s="1"/>
      <c r="G478" s="1489" t="s">
        <v>3389</v>
      </c>
      <c r="H478" s="4" t="str">
        <f>'Bid 2b'!B897</f>
        <v>Belanja Jasa Honorarium Ahli/Profesi/Konsultan/Narasumber</v>
      </c>
      <c r="I478" s="73">
        <f>'Bid 2b'!F898</f>
        <v>300000</v>
      </c>
      <c r="J478" s="1" t="s">
        <v>2177</v>
      </c>
      <c r="K478" s="4" t="s">
        <v>3600</v>
      </c>
      <c r="L478" s="73"/>
      <c r="M478" s="73"/>
      <c r="N478" s="73"/>
      <c r="O478" s="73"/>
      <c r="P478" s="73"/>
      <c r="Q478" s="73"/>
      <c r="R478" s="73"/>
      <c r="S478" s="73"/>
      <c r="T478" s="73"/>
      <c r="U478" s="73"/>
      <c r="V478" s="73">
        <v>73000</v>
      </c>
      <c r="W478" s="73">
        <v>227000</v>
      </c>
      <c r="X478" s="1864">
        <f t="shared" si="16"/>
        <v>300000</v>
      </c>
      <c r="Y478" s="23">
        <f t="shared" si="15"/>
        <v>0</v>
      </c>
    </row>
    <row r="479" spans="1:25" ht="60" x14ac:dyDescent="0.25">
      <c r="A479" s="865">
        <v>2</v>
      </c>
      <c r="B479" s="865">
        <v>2</v>
      </c>
      <c r="C479" s="865">
        <v>90</v>
      </c>
      <c r="D479" s="865"/>
      <c r="E479" s="865"/>
      <c r="F479" s="865"/>
      <c r="G479" s="865"/>
      <c r="H479" s="1061" t="str">
        <f>'Bid 2b'!B915</f>
        <v>: Penyelenggaraan Pembinaan dan Lomba Balita Sehat ( Kategori Baduta dan Balita)</v>
      </c>
      <c r="I479" s="1063">
        <f>SUM(I480:I495)</f>
        <v>19845000</v>
      </c>
      <c r="J479" s="1061" t="s">
        <v>2253</v>
      </c>
      <c r="K479" s="1061" t="s">
        <v>3600</v>
      </c>
      <c r="L479" s="1063"/>
      <c r="M479" s="1063"/>
      <c r="N479" s="1063"/>
      <c r="O479" s="1063"/>
      <c r="P479" s="1063"/>
      <c r="Q479" s="1063"/>
      <c r="R479" s="1063"/>
      <c r="S479" s="1063"/>
      <c r="T479" s="1063"/>
      <c r="U479" s="1063"/>
      <c r="V479" s="1063"/>
      <c r="W479" s="1063"/>
      <c r="X479" s="1866">
        <f t="shared" si="16"/>
        <v>0</v>
      </c>
      <c r="Y479" s="23">
        <f t="shared" si="15"/>
        <v>-19845000</v>
      </c>
    </row>
    <row r="480" spans="1:25" x14ac:dyDescent="0.25">
      <c r="A480" s="1"/>
      <c r="B480" s="1"/>
      <c r="C480" s="1"/>
      <c r="D480" s="1">
        <v>5</v>
      </c>
      <c r="E480" s="1">
        <v>2</v>
      </c>
      <c r="F480" s="1"/>
      <c r="G480" s="1"/>
      <c r="H480" s="4" t="str">
        <f>'Bid 2b'!B923</f>
        <v>Belanja Barang Jasa :</v>
      </c>
      <c r="I480" s="73"/>
      <c r="J480" s="4"/>
      <c r="K480" s="4" t="s">
        <v>3600</v>
      </c>
      <c r="L480" s="73"/>
      <c r="M480" s="73"/>
      <c r="N480" s="73"/>
      <c r="O480" s="73"/>
      <c r="P480" s="73"/>
      <c r="Q480" s="73"/>
      <c r="R480" s="73"/>
      <c r="S480" s="73"/>
      <c r="T480" s="73"/>
      <c r="U480" s="73"/>
      <c r="V480" s="73"/>
      <c r="W480" s="73"/>
      <c r="X480" s="1864">
        <f t="shared" si="16"/>
        <v>0</v>
      </c>
      <c r="Y480" s="23">
        <f t="shared" si="15"/>
        <v>0</v>
      </c>
    </row>
    <row r="481" spans="1:25" ht="30" x14ac:dyDescent="0.25">
      <c r="A481" s="1"/>
      <c r="B481" s="1"/>
      <c r="C481" s="1"/>
      <c r="D481" s="1"/>
      <c r="E481" s="1"/>
      <c r="F481" s="1">
        <v>1</v>
      </c>
      <c r="G481" s="1"/>
      <c r="H481" s="4" t="str">
        <f>'Bid 2b'!B924</f>
        <v>Belanja Barang Perlengkapan</v>
      </c>
      <c r="I481" s="73"/>
      <c r="J481" s="4"/>
      <c r="K481" s="4" t="s">
        <v>3600</v>
      </c>
      <c r="L481" s="73"/>
      <c r="M481" s="73"/>
      <c r="N481" s="73"/>
      <c r="O481" s="73"/>
      <c r="P481" s="73"/>
      <c r="Q481" s="73"/>
      <c r="R481" s="73"/>
      <c r="S481" s="73"/>
      <c r="T481" s="73"/>
      <c r="U481" s="73"/>
      <c r="V481" s="73"/>
      <c r="W481" s="73"/>
      <c r="X481" s="1864">
        <f t="shared" si="16"/>
        <v>0</v>
      </c>
      <c r="Y481" s="23">
        <f t="shared" si="15"/>
        <v>0</v>
      </c>
    </row>
    <row r="482" spans="1:25" ht="30" x14ac:dyDescent="0.25">
      <c r="A482" s="1"/>
      <c r="B482" s="1"/>
      <c r="C482" s="1"/>
      <c r="D482" s="1"/>
      <c r="E482" s="1"/>
      <c r="F482" s="1"/>
      <c r="G482" s="1489" t="s">
        <v>3366</v>
      </c>
      <c r="H482" s="4" t="str">
        <f>'Bid 2b'!B925</f>
        <v>Belanja Perlengkapan Alat Tulis Kantor dan Benda Pos</v>
      </c>
      <c r="I482" s="73">
        <f>SUM('Bid 2b'!F926:F927)</f>
        <v>240000</v>
      </c>
      <c r="J482" s="4" t="s">
        <v>2253</v>
      </c>
      <c r="K482" s="4" t="s">
        <v>3600</v>
      </c>
      <c r="L482" s="73"/>
      <c r="M482" s="73"/>
      <c r="N482" s="73"/>
      <c r="O482" s="73"/>
      <c r="P482" s="73">
        <v>240000</v>
      </c>
      <c r="Q482" s="73"/>
      <c r="R482" s="73"/>
      <c r="S482" s="73"/>
      <c r="T482" s="73"/>
      <c r="U482" s="73"/>
      <c r="V482" s="73"/>
      <c r="W482" s="73"/>
      <c r="X482" s="1864">
        <f t="shared" si="16"/>
        <v>240000</v>
      </c>
      <c r="Y482" s="23">
        <f t="shared" si="15"/>
        <v>0</v>
      </c>
    </row>
    <row r="483" spans="1:25" ht="30" x14ac:dyDescent="0.25">
      <c r="A483" s="1"/>
      <c r="B483" s="1"/>
      <c r="C483" s="1"/>
      <c r="D483" s="1"/>
      <c r="E483" s="1"/>
      <c r="F483" s="1"/>
      <c r="G483" s="1489" t="s">
        <v>3391</v>
      </c>
      <c r="H483" s="4" t="str">
        <f>'Bid 2b'!B929</f>
        <v>Belanja Perlengkapan Barang Konsumsi</v>
      </c>
      <c r="I483" s="73">
        <f>'Bid 2b'!F930</f>
        <v>500000</v>
      </c>
      <c r="J483" s="4" t="s">
        <v>2253</v>
      </c>
      <c r="K483" s="4" t="s">
        <v>3600</v>
      </c>
      <c r="L483" s="73"/>
      <c r="M483" s="73"/>
      <c r="N483" s="73"/>
      <c r="O483" s="73"/>
      <c r="P483" s="73">
        <v>500000</v>
      </c>
      <c r="Q483" s="73"/>
      <c r="R483" s="73"/>
      <c r="S483" s="73"/>
      <c r="T483" s="73"/>
      <c r="U483" s="73"/>
      <c r="V483" s="73"/>
      <c r="W483" s="73"/>
      <c r="X483" s="1864">
        <f t="shared" si="16"/>
        <v>500000</v>
      </c>
      <c r="Y483" s="23">
        <f t="shared" si="15"/>
        <v>0</v>
      </c>
    </row>
    <row r="484" spans="1:25" ht="30" x14ac:dyDescent="0.25">
      <c r="A484" s="1"/>
      <c r="B484" s="1"/>
      <c r="C484" s="1"/>
      <c r="D484" s="1"/>
      <c r="E484" s="1"/>
      <c r="F484" s="1"/>
      <c r="G484" s="1489" t="s">
        <v>3393</v>
      </c>
      <c r="H484" s="4" t="str">
        <f>'Bid 2b'!B931</f>
        <v>Belanja Sepanduk</v>
      </c>
      <c r="I484" s="73">
        <f>'Bid 2b'!F932</f>
        <v>90000</v>
      </c>
      <c r="J484" s="4" t="s">
        <v>2253</v>
      </c>
      <c r="K484" s="4" t="s">
        <v>3600</v>
      </c>
      <c r="L484" s="73"/>
      <c r="M484" s="73"/>
      <c r="N484" s="73"/>
      <c r="O484" s="73"/>
      <c r="P484" s="73">
        <v>90000</v>
      </c>
      <c r="Q484" s="73"/>
      <c r="R484" s="73"/>
      <c r="S484" s="73"/>
      <c r="T484" s="73"/>
      <c r="U484" s="73"/>
      <c r="V484" s="73"/>
      <c r="W484" s="73"/>
      <c r="X484" s="1864">
        <f t="shared" si="16"/>
        <v>90000</v>
      </c>
      <c r="Y484" s="23">
        <f t="shared" si="15"/>
        <v>0</v>
      </c>
    </row>
    <row r="485" spans="1:25" x14ac:dyDescent="0.25">
      <c r="A485" s="1"/>
      <c r="B485" s="1"/>
      <c r="C485" s="1"/>
      <c r="D485" s="1">
        <v>5</v>
      </c>
      <c r="E485" s="1">
        <v>2</v>
      </c>
      <c r="F485" s="1">
        <v>2</v>
      </c>
      <c r="G485" s="1"/>
      <c r="H485" s="4" t="str">
        <f>'Bid 2b'!B934</f>
        <v>Belanja Jasa Honorarium</v>
      </c>
      <c r="I485" s="73"/>
      <c r="J485" s="4"/>
      <c r="K485" s="4" t="s">
        <v>3600</v>
      </c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1864">
        <f t="shared" si="16"/>
        <v>0</v>
      </c>
      <c r="Y485" s="23">
        <f t="shared" si="15"/>
        <v>0</v>
      </c>
    </row>
    <row r="486" spans="1:25" ht="30" x14ac:dyDescent="0.25">
      <c r="A486" s="1"/>
      <c r="B486" s="1"/>
      <c r="C486" s="1"/>
      <c r="D486" s="1"/>
      <c r="E486" s="1"/>
      <c r="F486" s="1"/>
      <c r="G486" s="1489" t="s">
        <v>3389</v>
      </c>
      <c r="H486" s="4" t="str">
        <f>'Bid 2b'!B935</f>
        <v>Belanja Honorarium Pelatih/Narasumber</v>
      </c>
      <c r="I486" s="73">
        <f>'Bid 2b'!F936</f>
        <v>600000</v>
      </c>
      <c r="J486" s="4" t="s">
        <v>2253</v>
      </c>
      <c r="K486" s="4" t="s">
        <v>3600</v>
      </c>
      <c r="L486" s="73"/>
      <c r="M486" s="73"/>
      <c r="N486" s="73"/>
      <c r="O486" s="73"/>
      <c r="P486" s="73">
        <v>600000</v>
      </c>
      <c r="Q486" s="73"/>
      <c r="R486" s="73"/>
      <c r="S486" s="73"/>
      <c r="T486" s="73"/>
      <c r="U486" s="73"/>
      <c r="V486" s="73"/>
      <c r="W486" s="73"/>
      <c r="X486" s="1864">
        <f t="shared" si="16"/>
        <v>600000</v>
      </c>
      <c r="Y486" s="23">
        <f t="shared" si="15"/>
        <v>0</v>
      </c>
    </row>
    <row r="487" spans="1:25" x14ac:dyDescent="0.25">
      <c r="A487" s="1"/>
      <c r="B487" s="1"/>
      <c r="C487" s="1"/>
      <c r="D487" s="1"/>
      <c r="E487" s="1"/>
      <c r="F487" s="1"/>
      <c r="G487" s="1"/>
      <c r="H487" s="4" t="str">
        <f>'Bid 2b'!B938</f>
        <v>Kegiatan Lomba</v>
      </c>
      <c r="I487" s="73"/>
      <c r="J487" s="4"/>
      <c r="K487" s="4" t="s">
        <v>3600</v>
      </c>
      <c r="L487" s="73"/>
      <c r="M487" s="73"/>
      <c r="N487" s="73"/>
      <c r="O487" s="73"/>
      <c r="P487" s="73"/>
      <c r="Q487" s="73"/>
      <c r="R487" s="73"/>
      <c r="S487" s="73"/>
      <c r="T487" s="73"/>
      <c r="U487" s="73"/>
      <c r="V487" s="73"/>
      <c r="W487" s="73"/>
      <c r="X487" s="1864">
        <f t="shared" si="16"/>
        <v>0</v>
      </c>
      <c r="Y487" s="23">
        <f t="shared" si="15"/>
        <v>0</v>
      </c>
    </row>
    <row r="488" spans="1:25" ht="30" x14ac:dyDescent="0.25">
      <c r="A488" s="1"/>
      <c r="B488" s="1"/>
      <c r="C488" s="1"/>
      <c r="D488" s="1">
        <v>5</v>
      </c>
      <c r="E488" s="1">
        <v>2</v>
      </c>
      <c r="F488" s="1">
        <v>1</v>
      </c>
      <c r="G488" s="1489" t="s">
        <v>3391</v>
      </c>
      <c r="H488" s="4" t="str">
        <f>'Bid 2b'!B939</f>
        <v>Belanja Perlengkapan Barang Konsumsi</v>
      </c>
      <c r="I488" s="73">
        <f>'Bid 2b'!F940</f>
        <v>720000</v>
      </c>
      <c r="J488" s="4" t="s">
        <v>2253</v>
      </c>
      <c r="K488" s="4" t="s">
        <v>3600</v>
      </c>
      <c r="L488" s="73"/>
      <c r="M488" s="73"/>
      <c r="N488" s="73"/>
      <c r="O488" s="73"/>
      <c r="P488" s="73">
        <v>720000</v>
      </c>
      <c r="Q488" s="73"/>
      <c r="R488" s="73"/>
      <c r="S488" s="73"/>
      <c r="T488" s="73"/>
      <c r="U488" s="73"/>
      <c r="V488" s="73"/>
      <c r="W488" s="73"/>
      <c r="X488" s="1864">
        <f t="shared" si="16"/>
        <v>720000</v>
      </c>
      <c r="Y488" s="23">
        <f t="shared" si="15"/>
        <v>0</v>
      </c>
    </row>
    <row r="489" spans="1:25" ht="30" x14ac:dyDescent="0.25">
      <c r="A489" s="1"/>
      <c r="B489" s="1"/>
      <c r="C489" s="1"/>
      <c r="D489" s="1"/>
      <c r="E489" s="1"/>
      <c r="F489" s="1"/>
      <c r="G489" s="1489" t="s">
        <v>3393</v>
      </c>
      <c r="H489" s="4" t="str">
        <f>'Bid 2b'!B942</f>
        <v>Belanja Sepanduk</v>
      </c>
      <c r="I489" s="73">
        <f>'Bid 2b'!F943</f>
        <v>90000</v>
      </c>
      <c r="J489" s="4" t="s">
        <v>2253</v>
      </c>
      <c r="K489" s="4" t="s">
        <v>3600</v>
      </c>
      <c r="L489" s="73"/>
      <c r="M489" s="73"/>
      <c r="N489" s="73"/>
      <c r="O489" s="73"/>
      <c r="P489" s="73">
        <v>90000</v>
      </c>
      <c r="Q489" s="73"/>
      <c r="R489" s="73"/>
      <c r="S489" s="73"/>
      <c r="T489" s="73"/>
      <c r="U489" s="73"/>
      <c r="V489" s="73"/>
      <c r="W489" s="73"/>
      <c r="X489" s="1864">
        <f t="shared" si="16"/>
        <v>90000</v>
      </c>
      <c r="Y489" s="23">
        <f t="shared" si="15"/>
        <v>0</v>
      </c>
    </row>
    <row r="490" spans="1:25" ht="30" x14ac:dyDescent="0.25">
      <c r="A490" s="1"/>
      <c r="B490" s="1"/>
      <c r="C490" s="1"/>
      <c r="D490" s="1"/>
      <c r="E490" s="1"/>
      <c r="F490" s="1"/>
      <c r="G490" s="1">
        <v>90</v>
      </c>
      <c r="H490" s="4" t="str">
        <f>'Bid 2b'!B945</f>
        <v>Belanja Upakara, Upacara dan Aci</v>
      </c>
      <c r="I490" s="73">
        <f>SUM('Bid 2b'!F946:F948)</f>
        <v>75000</v>
      </c>
      <c r="J490" s="4" t="s">
        <v>2253</v>
      </c>
      <c r="K490" s="4" t="s">
        <v>3600</v>
      </c>
      <c r="L490" s="73"/>
      <c r="M490" s="73"/>
      <c r="N490" s="73"/>
      <c r="O490" s="73"/>
      <c r="P490" s="73">
        <v>75000</v>
      </c>
      <c r="Q490" s="73"/>
      <c r="R490" s="73"/>
      <c r="S490" s="73"/>
      <c r="T490" s="73"/>
      <c r="U490" s="73"/>
      <c r="V490" s="73"/>
      <c r="W490" s="73"/>
      <c r="X490" s="1864">
        <f t="shared" si="16"/>
        <v>75000</v>
      </c>
      <c r="Y490" s="23">
        <f t="shared" si="15"/>
        <v>0</v>
      </c>
    </row>
    <row r="491" spans="1:25" x14ac:dyDescent="0.25">
      <c r="A491" s="1"/>
      <c r="B491" s="1"/>
      <c r="C491" s="1"/>
      <c r="D491" s="1">
        <v>5</v>
      </c>
      <c r="E491" s="1">
        <v>2</v>
      </c>
      <c r="F491" s="1">
        <v>2</v>
      </c>
      <c r="G491" s="1"/>
      <c r="H491" s="4" t="str">
        <f>'Bid 2b'!B950</f>
        <v>Belanja Jasa Honorarium</v>
      </c>
      <c r="I491" s="73"/>
      <c r="J491" s="4"/>
      <c r="K491" s="4" t="s">
        <v>3600</v>
      </c>
      <c r="L491" s="73"/>
      <c r="M491" s="73"/>
      <c r="N491" s="73"/>
      <c r="O491" s="73"/>
      <c r="P491" s="73"/>
      <c r="Q491" s="73"/>
      <c r="R491" s="73"/>
      <c r="S491" s="73"/>
      <c r="T491" s="73"/>
      <c r="U491" s="73"/>
      <c r="V491" s="73"/>
      <c r="W491" s="73"/>
      <c r="X491" s="1864">
        <f t="shared" si="16"/>
        <v>0</v>
      </c>
      <c r="Y491" s="23">
        <f t="shared" si="15"/>
        <v>0</v>
      </c>
    </row>
    <row r="492" spans="1:25" ht="30" x14ac:dyDescent="0.25">
      <c r="A492" s="1"/>
      <c r="B492" s="1"/>
      <c r="C492" s="1"/>
      <c r="D492" s="1"/>
      <c r="E492" s="1"/>
      <c r="F492" s="1"/>
      <c r="G492" s="1489" t="s">
        <v>3366</v>
      </c>
      <c r="H492" s="4" t="str">
        <f>'Bid 2b'!B951</f>
        <v>Belanja Jasa Honorarium Tim Yang Melaksanakan Kegiatan</v>
      </c>
      <c r="I492" s="73">
        <f>SUM('Bid 2b'!F952:F954)</f>
        <v>750000</v>
      </c>
      <c r="J492" s="4" t="s">
        <v>2253</v>
      </c>
      <c r="K492" s="4" t="s">
        <v>3600</v>
      </c>
      <c r="L492" s="73"/>
      <c r="M492" s="73"/>
      <c r="N492" s="73"/>
      <c r="O492" s="73"/>
      <c r="P492" s="73">
        <v>750000</v>
      </c>
      <c r="Q492" s="73"/>
      <c r="R492" s="73"/>
      <c r="S492" s="73"/>
      <c r="T492" s="73"/>
      <c r="U492" s="73"/>
      <c r="V492" s="73"/>
      <c r="W492" s="73"/>
      <c r="X492" s="1864">
        <f t="shared" si="16"/>
        <v>750000</v>
      </c>
      <c r="Y492" s="23">
        <f t="shared" ref="Y492:Y555" si="17">X492-I492</f>
        <v>0</v>
      </c>
    </row>
    <row r="493" spans="1:25" ht="45" x14ac:dyDescent="0.25">
      <c r="A493" s="1"/>
      <c r="B493" s="1"/>
      <c r="C493" s="1"/>
      <c r="D493" s="1"/>
      <c r="E493" s="1"/>
      <c r="F493" s="1"/>
      <c r="G493" s="1489" t="s">
        <v>3389</v>
      </c>
      <c r="H493" s="4" t="str">
        <f>'Bid 2b'!B956</f>
        <v>Belanja Jasa Honorarium Ahli/Profesi/Konsultan/ Narasumber</v>
      </c>
      <c r="I493" s="73">
        <f>'Bid 2b'!F957</f>
        <v>3780000</v>
      </c>
      <c r="J493" s="4" t="s">
        <v>2253</v>
      </c>
      <c r="K493" s="4" t="s">
        <v>3600</v>
      </c>
      <c r="L493" s="73"/>
      <c r="M493" s="73"/>
      <c r="N493" s="73"/>
      <c r="O493" s="73"/>
      <c r="P493" s="73">
        <v>3780000</v>
      </c>
      <c r="Q493" s="73"/>
      <c r="R493" s="73"/>
      <c r="S493" s="73"/>
      <c r="T493" s="73"/>
      <c r="U493" s="73"/>
      <c r="V493" s="73"/>
      <c r="W493" s="73"/>
      <c r="X493" s="1864">
        <f t="shared" si="16"/>
        <v>3780000</v>
      </c>
      <c r="Y493" s="23">
        <f t="shared" si="17"/>
        <v>0</v>
      </c>
    </row>
    <row r="494" spans="1:25" ht="45" x14ac:dyDescent="0.25">
      <c r="A494" s="1"/>
      <c r="B494" s="1"/>
      <c r="C494" s="1"/>
      <c r="D494" s="1">
        <v>5</v>
      </c>
      <c r="E494" s="1">
        <v>2</v>
      </c>
      <c r="F494" s="1">
        <v>7</v>
      </c>
      <c r="G494" s="1"/>
      <c r="H494" s="4" t="str">
        <f>'Bid 2b'!B959</f>
        <v>Belanja Barang Dan Jasa yang Diserahkan Kepada Masyarakat</v>
      </c>
      <c r="I494" s="73"/>
      <c r="J494" s="4"/>
      <c r="K494" s="4" t="s">
        <v>3600</v>
      </c>
      <c r="L494" s="73"/>
      <c r="M494" s="73"/>
      <c r="N494" s="73"/>
      <c r="O494" s="73"/>
      <c r="P494" s="73"/>
      <c r="Q494" s="73"/>
      <c r="R494" s="73"/>
      <c r="S494" s="73"/>
      <c r="T494" s="73"/>
      <c r="U494" s="73"/>
      <c r="V494" s="73"/>
      <c r="W494" s="73"/>
      <c r="X494" s="1864">
        <f t="shared" si="16"/>
        <v>0</v>
      </c>
      <c r="Y494" s="23">
        <f t="shared" si="17"/>
        <v>0</v>
      </c>
    </row>
    <row r="495" spans="1:25" ht="30" x14ac:dyDescent="0.25">
      <c r="A495" s="1"/>
      <c r="B495" s="1"/>
      <c r="C495" s="1"/>
      <c r="D495" s="1"/>
      <c r="E495" s="1"/>
      <c r="F495" s="1"/>
      <c r="G495" s="1">
        <v>90</v>
      </c>
      <c r="H495" s="4" t="str">
        <f>'Bid 2b'!B960</f>
        <v>Belanja Jasa Seniman dan Atlit Berprestasi</v>
      </c>
      <c r="I495" s="73">
        <f>SUM('Bid 2b'!F961:F963)</f>
        <v>13000000</v>
      </c>
      <c r="J495" s="4" t="s">
        <v>2253</v>
      </c>
      <c r="K495" s="4" t="s">
        <v>3600</v>
      </c>
      <c r="L495" s="73"/>
      <c r="M495" s="73"/>
      <c r="N495" s="73"/>
      <c r="O495" s="73"/>
      <c r="P495" s="73">
        <v>13000000</v>
      </c>
      <c r="Q495" s="73"/>
      <c r="R495" s="73"/>
      <c r="S495" s="73"/>
      <c r="T495" s="73"/>
      <c r="U495" s="73"/>
      <c r="V495" s="73"/>
      <c r="W495" s="73"/>
      <c r="X495" s="1864">
        <f t="shared" si="16"/>
        <v>13000000</v>
      </c>
      <c r="Y495" s="23">
        <f t="shared" si="17"/>
        <v>0</v>
      </c>
    </row>
    <row r="496" spans="1:25" ht="30" x14ac:dyDescent="0.25">
      <c r="A496" s="865">
        <v>2</v>
      </c>
      <c r="B496" s="865">
        <v>2</v>
      </c>
      <c r="C496" s="865">
        <v>91</v>
      </c>
      <c r="D496" s="865"/>
      <c r="E496" s="865"/>
      <c r="F496" s="865"/>
      <c r="G496" s="865"/>
      <c r="H496" s="865" t="str">
        <f>'Bid 2b'!B980</f>
        <v>:  Foging Fokus</v>
      </c>
      <c r="I496" s="1063">
        <f>SUM(I497:I505)</f>
        <v>17529943</v>
      </c>
      <c r="J496" s="1061" t="s">
        <v>1777</v>
      </c>
      <c r="K496" s="1061" t="s">
        <v>3600</v>
      </c>
      <c r="L496" s="1063"/>
      <c r="M496" s="1063"/>
      <c r="N496" s="1063"/>
      <c r="O496" s="1063"/>
      <c r="P496" s="1063"/>
      <c r="Q496" s="1063"/>
      <c r="R496" s="1063"/>
      <c r="S496" s="1063"/>
      <c r="T496" s="1063"/>
      <c r="U496" s="1063"/>
      <c r="V496" s="1063"/>
      <c r="W496" s="1063"/>
      <c r="X496" s="1866">
        <f t="shared" si="16"/>
        <v>0</v>
      </c>
      <c r="Y496" s="23">
        <f t="shared" si="17"/>
        <v>-17529943</v>
      </c>
    </row>
    <row r="497" spans="1:25" x14ac:dyDescent="0.25">
      <c r="A497" s="1"/>
      <c r="B497" s="1"/>
      <c r="C497" s="1"/>
      <c r="D497" s="1">
        <v>5</v>
      </c>
      <c r="E497" s="1">
        <v>2</v>
      </c>
      <c r="F497" s="1"/>
      <c r="G497" s="1"/>
      <c r="H497" s="4" t="str">
        <f>'Bid 2b'!B987</f>
        <v xml:space="preserve">Belanja Barang dan Jasa </v>
      </c>
      <c r="I497" s="73"/>
      <c r="J497" s="4"/>
      <c r="K497" s="4" t="s">
        <v>3600</v>
      </c>
      <c r="L497" s="73"/>
      <c r="M497" s="73"/>
      <c r="N497" s="73"/>
      <c r="O497" s="73"/>
      <c r="P497" s="73"/>
      <c r="Q497" s="73"/>
      <c r="R497" s="73"/>
      <c r="S497" s="73"/>
      <c r="T497" s="73"/>
      <c r="U497" s="73"/>
      <c r="V497" s="73"/>
      <c r="W497" s="73"/>
      <c r="X497" s="1864">
        <f t="shared" si="16"/>
        <v>0</v>
      </c>
      <c r="Y497" s="23">
        <f t="shared" si="17"/>
        <v>0</v>
      </c>
    </row>
    <row r="498" spans="1:25" ht="30" x14ac:dyDescent="0.25">
      <c r="A498" s="1"/>
      <c r="B498" s="1"/>
      <c r="C498" s="1"/>
      <c r="D498" s="1"/>
      <c r="E498" s="1"/>
      <c r="F498" s="1">
        <v>1</v>
      </c>
      <c r="G498" s="1"/>
      <c r="H498" s="4" t="str">
        <f>'Bid 2b'!B988</f>
        <v>Belanja Barang perlengkapan</v>
      </c>
      <c r="I498" s="73"/>
      <c r="J498" s="4"/>
      <c r="K498" s="4" t="s">
        <v>3600</v>
      </c>
      <c r="L498" s="73"/>
      <c r="M498" s="73"/>
      <c r="N498" s="73"/>
      <c r="O498" s="73"/>
      <c r="P498" s="73"/>
      <c r="Q498" s="73"/>
      <c r="R498" s="73"/>
      <c r="S498" s="73"/>
      <c r="T498" s="73"/>
      <c r="U498" s="73"/>
      <c r="V498" s="73"/>
      <c r="W498" s="73"/>
      <c r="X498" s="1864">
        <f t="shared" si="16"/>
        <v>0</v>
      </c>
      <c r="Y498" s="23">
        <f t="shared" si="17"/>
        <v>0</v>
      </c>
    </row>
    <row r="499" spans="1:25" ht="30" x14ac:dyDescent="0.25">
      <c r="A499" s="1"/>
      <c r="B499" s="1"/>
      <c r="C499" s="1"/>
      <c r="D499" s="1"/>
      <c r="E499" s="1"/>
      <c r="F499" s="1"/>
      <c r="G499" s="1489" t="s">
        <v>3391</v>
      </c>
      <c r="H499" s="4" t="str">
        <f>'Bid 2b'!B989</f>
        <v>Belanja Perlengkapan Barang konsumsi</v>
      </c>
      <c r="I499" s="73">
        <f>'Bid 2b'!F990</f>
        <v>2400000</v>
      </c>
      <c r="J499" s="4" t="s">
        <v>1777</v>
      </c>
      <c r="K499" s="4" t="s">
        <v>3600</v>
      </c>
      <c r="L499" s="73"/>
      <c r="M499" s="73"/>
      <c r="N499" s="73"/>
      <c r="O499" s="73"/>
      <c r="P499" s="73"/>
      <c r="Q499" s="73">
        <v>1200000</v>
      </c>
      <c r="R499" s="73"/>
      <c r="S499" s="73"/>
      <c r="T499" s="73">
        <v>1200000</v>
      </c>
      <c r="U499" s="73"/>
      <c r="V499" s="73"/>
      <c r="W499" s="73"/>
      <c r="X499" s="1864">
        <f t="shared" si="16"/>
        <v>2400000</v>
      </c>
      <c r="Y499" s="23">
        <f t="shared" si="17"/>
        <v>0</v>
      </c>
    </row>
    <row r="500" spans="1:25" ht="30" x14ac:dyDescent="0.25">
      <c r="A500" s="1"/>
      <c r="B500" s="1"/>
      <c r="C500" s="1"/>
      <c r="D500" s="1"/>
      <c r="E500" s="1"/>
      <c r="F500" s="1"/>
      <c r="G500" s="1489" t="s">
        <v>3392</v>
      </c>
      <c r="H500" s="4" t="str">
        <f>'Bid 2b'!B991</f>
        <v>Belanja Bahan /Material</v>
      </c>
      <c r="I500" s="73">
        <f>SUM('Bid 2b'!F992:F998)</f>
        <v>9514000</v>
      </c>
      <c r="J500" s="4" t="s">
        <v>1777</v>
      </c>
      <c r="K500" s="4" t="s">
        <v>3600</v>
      </c>
      <c r="L500" s="73"/>
      <c r="M500" s="73"/>
      <c r="N500" s="73"/>
      <c r="O500" s="73"/>
      <c r="P500" s="73"/>
      <c r="Q500" s="73">
        <v>9514000</v>
      </c>
      <c r="R500" s="73"/>
      <c r="S500" s="73"/>
      <c r="T500" s="73"/>
      <c r="U500" s="73"/>
      <c r="V500" s="73"/>
      <c r="W500" s="73"/>
      <c r="X500" s="1864">
        <f t="shared" ref="X500:X563" si="18">SUM(L500:W500)</f>
        <v>9514000</v>
      </c>
      <c r="Y500" s="23">
        <f t="shared" si="17"/>
        <v>0</v>
      </c>
    </row>
    <row r="501" spans="1:25" x14ac:dyDescent="0.25">
      <c r="A501" s="1"/>
      <c r="B501" s="1"/>
      <c r="C501" s="1"/>
      <c r="D501" s="1">
        <v>5</v>
      </c>
      <c r="E501" s="1">
        <v>2</v>
      </c>
      <c r="F501" s="1">
        <v>2</v>
      </c>
      <c r="G501" s="1"/>
      <c r="H501" s="4" t="str">
        <f>'Bid 2b'!B999</f>
        <v>Belanja Jasa Honorarium</v>
      </c>
      <c r="I501" s="73"/>
      <c r="J501" s="4"/>
      <c r="K501" s="4" t="s">
        <v>3600</v>
      </c>
      <c r="L501" s="73"/>
      <c r="M501" s="73"/>
      <c r="N501" s="73"/>
      <c r="O501" s="73"/>
      <c r="P501" s="73"/>
      <c r="Q501" s="73"/>
      <c r="R501" s="73"/>
      <c r="S501" s="73"/>
      <c r="T501" s="73"/>
      <c r="U501" s="73"/>
      <c r="V501" s="73"/>
      <c r="W501" s="73"/>
      <c r="X501" s="1864">
        <f t="shared" si="18"/>
        <v>0</v>
      </c>
      <c r="Y501" s="23">
        <f t="shared" si="17"/>
        <v>0</v>
      </c>
    </row>
    <row r="502" spans="1:25" ht="30" x14ac:dyDescent="0.25">
      <c r="A502" s="1"/>
      <c r="B502" s="1"/>
      <c r="C502" s="1"/>
      <c r="D502" s="1"/>
      <c r="E502" s="1"/>
      <c r="F502" s="1"/>
      <c r="G502" s="1489" t="s">
        <v>3366</v>
      </c>
      <c r="H502" s="4" t="str">
        <f>'Bid 2b'!B1000</f>
        <v>Belanja Jasa Honorarium Tim Yang Melaksanakan kegiatan</v>
      </c>
      <c r="I502" s="73">
        <f>SUM('Bid 2b'!F1001:F1003)</f>
        <v>750000</v>
      </c>
      <c r="J502" s="4" t="s">
        <v>1777</v>
      </c>
      <c r="K502" s="4" t="s">
        <v>3600</v>
      </c>
      <c r="L502" s="73"/>
      <c r="M502" s="73"/>
      <c r="N502" s="73"/>
      <c r="O502" s="73"/>
      <c r="P502" s="73"/>
      <c r="Q502" s="73"/>
      <c r="R502" s="73"/>
      <c r="S502" s="73"/>
      <c r="T502" s="73">
        <v>750000</v>
      </c>
      <c r="U502" s="73"/>
      <c r="V502" s="73"/>
      <c r="W502" s="73"/>
      <c r="X502" s="1864">
        <f t="shared" si="18"/>
        <v>750000</v>
      </c>
      <c r="Y502" s="23">
        <f t="shared" si="17"/>
        <v>0</v>
      </c>
    </row>
    <row r="503" spans="1:25" ht="30" x14ac:dyDescent="0.25">
      <c r="A503" s="1"/>
      <c r="B503" s="1"/>
      <c r="C503" s="1"/>
      <c r="D503" s="1"/>
      <c r="E503" s="1"/>
      <c r="F503" s="1"/>
      <c r="G503" s="1489" t="s">
        <v>3390</v>
      </c>
      <c r="H503" s="4" t="str">
        <f>'Bid 2b'!B1004</f>
        <v>Belanja Jasa Honorarium Petugas</v>
      </c>
      <c r="I503" s="73">
        <f>'Bid 2b'!F1005</f>
        <v>3000000</v>
      </c>
      <c r="J503" s="4" t="s">
        <v>1777</v>
      </c>
      <c r="K503" s="4" t="s">
        <v>3600</v>
      </c>
      <c r="L503" s="73"/>
      <c r="M503" s="73"/>
      <c r="N503" s="73"/>
      <c r="O503" s="73"/>
      <c r="P503" s="73"/>
      <c r="Q503" s="73">
        <v>1500000</v>
      </c>
      <c r="R503" s="73"/>
      <c r="S503" s="73"/>
      <c r="T503" s="73">
        <v>1500000</v>
      </c>
      <c r="U503" s="73"/>
      <c r="V503" s="73"/>
      <c r="W503" s="73"/>
      <c r="X503" s="1864">
        <f t="shared" si="18"/>
        <v>3000000</v>
      </c>
      <c r="Y503" s="23">
        <f t="shared" si="17"/>
        <v>0</v>
      </c>
    </row>
    <row r="504" spans="1:25" x14ac:dyDescent="0.25">
      <c r="A504" s="1"/>
      <c r="B504" s="1"/>
      <c r="C504" s="1"/>
      <c r="D504" s="1">
        <v>5</v>
      </c>
      <c r="E504" s="1">
        <v>2</v>
      </c>
      <c r="F504" s="1">
        <v>6</v>
      </c>
      <c r="G504" s="1"/>
      <c r="H504" s="4" t="str">
        <f>'Bid 2b'!B1006</f>
        <v>Belanja pemeliharaan</v>
      </c>
      <c r="I504" s="73"/>
      <c r="J504" s="4"/>
      <c r="K504" s="4" t="s">
        <v>3600</v>
      </c>
      <c r="L504" s="73"/>
      <c r="M504" s="73"/>
      <c r="N504" s="73"/>
      <c r="O504" s="73"/>
      <c r="P504" s="73"/>
      <c r="Q504" s="73"/>
      <c r="R504" s="73"/>
      <c r="S504" s="73"/>
      <c r="T504" s="73"/>
      <c r="U504" s="73"/>
      <c r="V504" s="73"/>
      <c r="W504" s="73"/>
      <c r="X504" s="1864">
        <f t="shared" si="18"/>
        <v>0</v>
      </c>
      <c r="Y504" s="23">
        <f t="shared" si="17"/>
        <v>0</v>
      </c>
    </row>
    <row r="505" spans="1:25" ht="30" x14ac:dyDescent="0.25">
      <c r="A505" s="1"/>
      <c r="B505" s="1"/>
      <c r="C505" s="1"/>
      <c r="D505" s="1"/>
      <c r="E505" s="1"/>
      <c r="F505" s="1"/>
      <c r="G505" s="1489" t="s">
        <v>3366</v>
      </c>
      <c r="H505" s="4" t="str">
        <f>'Bid 2b'!B1007</f>
        <v>Perawatan Mesin (10onit x 1th)</v>
      </c>
      <c r="I505" s="73">
        <f>'Bid 2b'!F1007</f>
        <v>1865943</v>
      </c>
      <c r="J505" s="4" t="s">
        <v>1777</v>
      </c>
      <c r="K505" s="4" t="s">
        <v>3600</v>
      </c>
      <c r="L505" s="73"/>
      <c r="M505" s="73"/>
      <c r="N505" s="73"/>
      <c r="O505" s="73"/>
      <c r="P505" s="73"/>
      <c r="Q505" s="73">
        <v>1865943</v>
      </c>
      <c r="R505" s="73"/>
      <c r="S505" s="73"/>
      <c r="T505" s="73"/>
      <c r="U505" s="73"/>
      <c r="V505" s="73"/>
      <c r="W505" s="73"/>
      <c r="X505" s="1864">
        <f t="shared" si="18"/>
        <v>1865943</v>
      </c>
      <c r="Y505" s="23">
        <f t="shared" si="17"/>
        <v>0</v>
      </c>
    </row>
    <row r="506" spans="1:25" ht="30" x14ac:dyDescent="0.25">
      <c r="A506" s="865">
        <v>2</v>
      </c>
      <c r="B506" s="865">
        <v>2</v>
      </c>
      <c r="C506" s="865">
        <v>92</v>
      </c>
      <c r="D506" s="865"/>
      <c r="E506" s="865"/>
      <c r="F506" s="865"/>
      <c r="G506" s="865"/>
      <c r="H506" s="1061" t="str">
        <f>'Bid 2b'!B1023</f>
        <v>: Gerakan Serentak PSN dan Lomba PSN</v>
      </c>
      <c r="I506" s="1063">
        <f>SUM(I507:I521)</f>
        <v>51996000</v>
      </c>
      <c r="J506" s="865"/>
      <c r="K506" s="1061" t="s">
        <v>3599</v>
      </c>
      <c r="L506" s="1063"/>
      <c r="M506" s="1063"/>
      <c r="N506" s="1063"/>
      <c r="O506" s="1063"/>
      <c r="P506" s="1063"/>
      <c r="Q506" s="1063"/>
      <c r="R506" s="1063"/>
      <c r="S506" s="1063"/>
      <c r="T506" s="1063"/>
      <c r="U506" s="1063"/>
      <c r="V506" s="1063"/>
      <c r="W506" s="1063"/>
      <c r="X506" s="1866">
        <f t="shared" si="18"/>
        <v>0</v>
      </c>
      <c r="Y506" s="23">
        <f t="shared" si="17"/>
        <v>-51996000</v>
      </c>
    </row>
    <row r="507" spans="1:25" ht="30" x14ac:dyDescent="0.25">
      <c r="A507" s="1"/>
      <c r="B507" s="1"/>
      <c r="C507" s="1"/>
      <c r="D507" s="1"/>
      <c r="E507" s="1"/>
      <c r="F507" s="1"/>
      <c r="G507" s="1"/>
      <c r="H507" s="4" t="str">
        <f>'Bid 2b'!B1029</f>
        <v>Gerakan Kebersihan Serentak</v>
      </c>
      <c r="I507" s="73"/>
      <c r="J507" s="1"/>
      <c r="K507" s="4" t="s">
        <v>3599</v>
      </c>
      <c r="L507" s="73"/>
      <c r="M507" s="73"/>
      <c r="N507" s="73"/>
      <c r="O507" s="73"/>
      <c r="P507" s="73"/>
      <c r="Q507" s="73"/>
      <c r="R507" s="73"/>
      <c r="S507" s="73"/>
      <c r="T507" s="73"/>
      <c r="U507" s="73"/>
      <c r="V507" s="73"/>
      <c r="W507" s="73"/>
      <c r="X507" s="1864">
        <f t="shared" si="18"/>
        <v>0</v>
      </c>
      <c r="Y507" s="23">
        <f t="shared" si="17"/>
        <v>0</v>
      </c>
    </row>
    <row r="508" spans="1:25" x14ac:dyDescent="0.25">
      <c r="A508" s="1"/>
      <c r="B508" s="1"/>
      <c r="C508" s="1"/>
      <c r="D508" s="1">
        <v>5</v>
      </c>
      <c r="E508" s="1">
        <v>2</v>
      </c>
      <c r="F508" s="1"/>
      <c r="G508" s="1"/>
      <c r="H508" s="4" t="str">
        <f>'Bid 2b'!B1030</f>
        <v xml:space="preserve">Belanja Barang dan Jasa </v>
      </c>
      <c r="I508" s="73"/>
      <c r="J508" s="1"/>
      <c r="K508" s="4" t="s">
        <v>3599</v>
      </c>
      <c r="L508" s="73"/>
      <c r="M508" s="73"/>
      <c r="N508" s="73"/>
      <c r="O508" s="73"/>
      <c r="P508" s="73"/>
      <c r="Q508" s="73"/>
      <c r="R508" s="73"/>
      <c r="S508" s="73"/>
      <c r="T508" s="73"/>
      <c r="U508" s="73"/>
      <c r="V508" s="73"/>
      <c r="W508" s="73"/>
      <c r="X508" s="1864">
        <f t="shared" si="18"/>
        <v>0</v>
      </c>
      <c r="Y508" s="23">
        <f t="shared" si="17"/>
        <v>0</v>
      </c>
    </row>
    <row r="509" spans="1:25" ht="30" x14ac:dyDescent="0.25">
      <c r="A509" s="1"/>
      <c r="B509" s="1"/>
      <c r="C509" s="1"/>
      <c r="D509" s="1"/>
      <c r="E509" s="1"/>
      <c r="F509" s="1">
        <v>1</v>
      </c>
      <c r="G509" s="1"/>
      <c r="H509" s="4" t="str">
        <f>'Bid 2b'!B1031</f>
        <v>Belanja Barang perlengkapan</v>
      </c>
      <c r="I509" s="73"/>
      <c r="J509" s="1"/>
      <c r="K509" s="4" t="s">
        <v>3599</v>
      </c>
      <c r="L509" s="73"/>
      <c r="M509" s="73"/>
      <c r="N509" s="73"/>
      <c r="O509" s="73"/>
      <c r="P509" s="73"/>
      <c r="Q509" s="73"/>
      <c r="R509" s="73"/>
      <c r="S509" s="73"/>
      <c r="T509" s="73"/>
      <c r="U509" s="73"/>
      <c r="V509" s="73"/>
      <c r="W509" s="73"/>
      <c r="X509" s="1864">
        <f t="shared" si="18"/>
        <v>0</v>
      </c>
      <c r="Y509" s="23">
        <f t="shared" si="17"/>
        <v>0</v>
      </c>
    </row>
    <row r="510" spans="1:25" ht="30" x14ac:dyDescent="0.25">
      <c r="A510" s="1"/>
      <c r="B510" s="1"/>
      <c r="C510" s="1"/>
      <c r="D510" s="1"/>
      <c r="E510" s="1"/>
      <c r="F510" s="1"/>
      <c r="G510" s="1489" t="s">
        <v>3391</v>
      </c>
      <c r="H510" s="4" t="str">
        <f>'Bid 2b'!B1032</f>
        <v>Belanja Perlengkapan Barang Konsumsi</v>
      </c>
      <c r="I510" s="73">
        <f>SUM('Bid 2b'!F1033:F1034)</f>
        <v>26600000</v>
      </c>
      <c r="J510" s="1" t="s">
        <v>1506</v>
      </c>
      <c r="K510" s="4" t="s">
        <v>3599</v>
      </c>
      <c r="L510" s="73"/>
      <c r="M510" s="73"/>
      <c r="N510" s="73"/>
      <c r="O510" s="73"/>
      <c r="P510" s="73"/>
      <c r="Q510" s="73"/>
      <c r="R510" s="73"/>
      <c r="S510" s="73"/>
      <c r="T510" s="73"/>
      <c r="U510" s="73">
        <v>26600000</v>
      </c>
      <c r="V510" s="73"/>
      <c r="W510" s="73"/>
      <c r="X510" s="1864">
        <f t="shared" si="18"/>
        <v>26600000</v>
      </c>
      <c r="Y510" s="23">
        <f t="shared" si="17"/>
        <v>0</v>
      </c>
    </row>
    <row r="511" spans="1:25" ht="30" x14ac:dyDescent="0.25">
      <c r="A511" s="1"/>
      <c r="B511" s="1"/>
      <c r="C511" s="1"/>
      <c r="D511" s="1"/>
      <c r="E511" s="1"/>
      <c r="F511" s="1"/>
      <c r="G511" s="1489" t="s">
        <v>3393</v>
      </c>
      <c r="H511" s="4" t="str">
        <f>'Bid 2b'!B1035</f>
        <v>Belanja Bendera/ Umbul-umbul/ Spanduk</v>
      </c>
      <c r="I511" s="73">
        <f>'Bid 2b'!F1036+'Bid 2b'!F1037</f>
        <v>2670000</v>
      </c>
      <c r="J511" s="1" t="s">
        <v>1506</v>
      </c>
      <c r="K511" s="4" t="s">
        <v>3599</v>
      </c>
      <c r="L511" s="73"/>
      <c r="M511" s="73"/>
      <c r="N511" s="73"/>
      <c r="O511" s="73"/>
      <c r="P511" s="73"/>
      <c r="Q511" s="73"/>
      <c r="R511" s="73"/>
      <c r="S511" s="73"/>
      <c r="T511" s="73"/>
      <c r="U511" s="73">
        <v>2670000</v>
      </c>
      <c r="V511" s="73"/>
      <c r="W511" s="73"/>
      <c r="X511" s="1864">
        <f t="shared" si="18"/>
        <v>2670000</v>
      </c>
      <c r="Y511" s="23">
        <f t="shared" si="17"/>
        <v>0</v>
      </c>
    </row>
    <row r="512" spans="1:25" x14ac:dyDescent="0.25">
      <c r="A512" s="1"/>
      <c r="B512" s="1"/>
      <c r="C512" s="1"/>
      <c r="D512" s="1"/>
      <c r="E512" s="1"/>
      <c r="F512" s="1"/>
      <c r="G512" s="1"/>
      <c r="H512" s="4" t="str">
        <f>'Bid 2b'!B1038</f>
        <v>Lomba PSN</v>
      </c>
      <c r="I512" s="73"/>
      <c r="J512" s="1"/>
      <c r="K512" s="4" t="s">
        <v>3599</v>
      </c>
      <c r="L512" s="73"/>
      <c r="M512" s="73"/>
      <c r="N512" s="73"/>
      <c r="O512" s="73"/>
      <c r="P512" s="73"/>
      <c r="Q512" s="73"/>
      <c r="R512" s="73"/>
      <c r="S512" s="73"/>
      <c r="T512" s="73"/>
      <c r="U512" s="73"/>
      <c r="V512" s="73"/>
      <c r="W512" s="73"/>
      <c r="X512" s="1864">
        <f t="shared" si="18"/>
        <v>0</v>
      </c>
      <c r="Y512" s="23">
        <f t="shared" si="17"/>
        <v>0</v>
      </c>
    </row>
    <row r="513" spans="1:25" x14ac:dyDescent="0.25">
      <c r="A513" s="1"/>
      <c r="B513" s="1"/>
      <c r="C513" s="1"/>
      <c r="D513" s="1">
        <v>5</v>
      </c>
      <c r="E513" s="1">
        <v>2</v>
      </c>
      <c r="F513" s="1"/>
      <c r="G513" s="1"/>
      <c r="H513" s="4" t="str">
        <f>'Bid 2b'!B1039</f>
        <v xml:space="preserve">Belanja Barang dan Jasa </v>
      </c>
      <c r="I513" s="73"/>
      <c r="J513" s="1"/>
      <c r="K513" s="4" t="s">
        <v>3599</v>
      </c>
      <c r="L513" s="73"/>
      <c r="M513" s="73"/>
      <c r="N513" s="73"/>
      <c r="O513" s="73"/>
      <c r="P513" s="73"/>
      <c r="Q513" s="73"/>
      <c r="R513" s="73"/>
      <c r="S513" s="73"/>
      <c r="T513" s="73"/>
      <c r="U513" s="73"/>
      <c r="V513" s="73"/>
      <c r="W513" s="73"/>
      <c r="X513" s="1864">
        <f t="shared" si="18"/>
        <v>0</v>
      </c>
      <c r="Y513" s="23">
        <f t="shared" si="17"/>
        <v>0</v>
      </c>
    </row>
    <row r="514" spans="1:25" ht="30" x14ac:dyDescent="0.25">
      <c r="A514" s="1"/>
      <c r="B514" s="1"/>
      <c r="C514" s="1"/>
      <c r="D514" s="1"/>
      <c r="E514" s="1"/>
      <c r="F514" s="1">
        <v>1</v>
      </c>
      <c r="G514" s="1"/>
      <c r="H514" s="4" t="str">
        <f>'Bid 2b'!B1040</f>
        <v>Belanja Barang perlengkapan</v>
      </c>
      <c r="I514" s="73"/>
      <c r="J514" s="1"/>
      <c r="K514" s="4" t="s">
        <v>3599</v>
      </c>
      <c r="L514" s="73"/>
      <c r="M514" s="73"/>
      <c r="N514" s="73"/>
      <c r="O514" s="73"/>
      <c r="P514" s="73"/>
      <c r="Q514" s="73"/>
      <c r="R514" s="73"/>
      <c r="S514" s="73"/>
      <c r="T514" s="73"/>
      <c r="U514" s="73"/>
      <c r="V514" s="73"/>
      <c r="W514" s="73"/>
      <c r="X514" s="1864">
        <f t="shared" si="18"/>
        <v>0</v>
      </c>
      <c r="Y514" s="23">
        <f t="shared" si="17"/>
        <v>0</v>
      </c>
    </row>
    <row r="515" spans="1:25" ht="30" x14ac:dyDescent="0.25">
      <c r="A515" s="1"/>
      <c r="B515" s="1"/>
      <c r="C515" s="1"/>
      <c r="D515" s="1"/>
      <c r="E515" s="1"/>
      <c r="F515" s="1"/>
      <c r="G515" s="1489" t="s">
        <v>3391</v>
      </c>
      <c r="H515" s="4" t="str">
        <f>'Bid 2b'!B1041</f>
        <v>Belanja Perlengkapan Barang Konsumsi</v>
      </c>
      <c r="I515" s="73">
        <f>SUM('Bid 2b'!F1042)</f>
        <v>1260000</v>
      </c>
      <c r="J515" s="1" t="s">
        <v>1506</v>
      </c>
      <c r="K515" s="4" t="s">
        <v>3599</v>
      </c>
      <c r="L515" s="73"/>
      <c r="M515" s="73"/>
      <c r="N515" s="73"/>
      <c r="O515" s="73"/>
      <c r="P515" s="73"/>
      <c r="Q515" s="73"/>
      <c r="R515" s="73"/>
      <c r="S515" s="73"/>
      <c r="T515" s="73"/>
      <c r="U515" s="73">
        <v>1260000</v>
      </c>
      <c r="V515" s="73"/>
      <c r="W515" s="73"/>
      <c r="X515" s="1864">
        <f t="shared" si="18"/>
        <v>1260000</v>
      </c>
      <c r="Y515" s="23">
        <f t="shared" si="17"/>
        <v>0</v>
      </c>
    </row>
    <row r="516" spans="1:25" ht="30" x14ac:dyDescent="0.25">
      <c r="A516" s="1"/>
      <c r="B516" s="1"/>
      <c r="C516" s="1"/>
      <c r="D516" s="1"/>
      <c r="E516" s="1"/>
      <c r="F516" s="1"/>
      <c r="G516" s="1489" t="s">
        <v>3394</v>
      </c>
      <c r="H516" s="4" t="str">
        <f>'Bid 2b'!B1043</f>
        <v>Belanja Pakaian Dinas / Seragam/ Atribut</v>
      </c>
      <c r="I516" s="73">
        <f>SUM('Bid 2b'!F1044:F1048)</f>
        <v>3780000</v>
      </c>
      <c r="J516" s="1" t="s">
        <v>1506</v>
      </c>
      <c r="K516" s="4" t="s">
        <v>3599</v>
      </c>
      <c r="L516" s="73"/>
      <c r="M516" s="73"/>
      <c r="N516" s="73"/>
      <c r="O516" s="73"/>
      <c r="P516" s="73"/>
      <c r="Q516" s="73"/>
      <c r="R516" s="73"/>
      <c r="S516" s="73"/>
      <c r="T516" s="73"/>
      <c r="U516" s="73">
        <v>3780000</v>
      </c>
      <c r="V516" s="73"/>
      <c r="W516" s="73"/>
      <c r="X516" s="1864">
        <f t="shared" si="18"/>
        <v>3780000</v>
      </c>
      <c r="Y516" s="23">
        <f t="shared" si="17"/>
        <v>0</v>
      </c>
    </row>
    <row r="517" spans="1:25" x14ac:dyDescent="0.25">
      <c r="A517" s="1"/>
      <c r="B517" s="1"/>
      <c r="C517" s="1"/>
      <c r="D517" s="1">
        <v>5</v>
      </c>
      <c r="E517" s="1">
        <v>2</v>
      </c>
      <c r="F517" s="1">
        <v>2</v>
      </c>
      <c r="G517" s="1"/>
      <c r="H517" s="4" t="str">
        <f>'Bid 2b'!B1049</f>
        <v>Belanaj Jasa Honorarium</v>
      </c>
      <c r="I517" s="73"/>
      <c r="J517" s="1"/>
      <c r="K517" s="4" t="s">
        <v>3599</v>
      </c>
      <c r="L517" s="73"/>
      <c r="M517" s="73"/>
      <c r="N517" s="73"/>
      <c r="O517" s="73"/>
      <c r="P517" s="73"/>
      <c r="Q517" s="73"/>
      <c r="R517" s="73"/>
      <c r="S517" s="73"/>
      <c r="T517" s="73"/>
      <c r="U517" s="73"/>
      <c r="V517" s="73"/>
      <c r="W517" s="73"/>
      <c r="X517" s="1864">
        <f t="shared" si="18"/>
        <v>0</v>
      </c>
      <c r="Y517" s="23">
        <f t="shared" si="17"/>
        <v>0</v>
      </c>
    </row>
    <row r="518" spans="1:25" ht="30" x14ac:dyDescent="0.25">
      <c r="A518" s="1"/>
      <c r="B518" s="1"/>
      <c r="C518" s="1"/>
      <c r="D518" s="1"/>
      <c r="E518" s="1"/>
      <c r="F518" s="1"/>
      <c r="G518" s="1489" t="s">
        <v>3366</v>
      </c>
      <c r="H518" s="4" t="str">
        <f>'Bid 2b'!B1050</f>
        <v>Honor Tim yang Melaksanakan Kegiatan</v>
      </c>
      <c r="I518" s="73">
        <f>SUM('Bid 2b'!F1051:F1053)</f>
        <v>1150000</v>
      </c>
      <c r="J518" s="1" t="s">
        <v>1506</v>
      </c>
      <c r="K518" s="4" t="s">
        <v>3599</v>
      </c>
      <c r="L518" s="73"/>
      <c r="M518" s="73"/>
      <c r="N518" s="73"/>
      <c r="O518" s="73"/>
      <c r="P518" s="73"/>
      <c r="Q518" s="73"/>
      <c r="R518" s="73"/>
      <c r="S518" s="73"/>
      <c r="T518" s="73"/>
      <c r="U518" s="73">
        <v>1150000</v>
      </c>
      <c r="V518" s="73"/>
      <c r="W518" s="73"/>
      <c r="X518" s="1864">
        <f t="shared" si="18"/>
        <v>1150000</v>
      </c>
      <c r="Y518" s="23">
        <f t="shared" si="17"/>
        <v>0</v>
      </c>
    </row>
    <row r="519" spans="1:25" ht="60" x14ac:dyDescent="0.25">
      <c r="A519" s="1"/>
      <c r="B519" s="1"/>
      <c r="C519" s="1"/>
      <c r="D519" s="1"/>
      <c r="E519" s="1"/>
      <c r="F519" s="1"/>
      <c r="G519" s="1489" t="s">
        <v>3389</v>
      </c>
      <c r="H519" s="4" t="str">
        <f>'Bid 2b'!B1054</f>
        <v>Belanja Jasa Honorarium Ahli/ Profesi/Konsultan/Narasumber</v>
      </c>
      <c r="I519" s="73">
        <f>'Bid 2b'!F1055</f>
        <v>4536000</v>
      </c>
      <c r="J519" s="1" t="s">
        <v>1506</v>
      </c>
      <c r="K519" s="4" t="s">
        <v>3599</v>
      </c>
      <c r="L519" s="73"/>
      <c r="M519" s="73"/>
      <c r="N519" s="73"/>
      <c r="O519" s="73"/>
      <c r="P519" s="73"/>
      <c r="Q519" s="73"/>
      <c r="R519" s="73"/>
      <c r="S519" s="73"/>
      <c r="T519" s="73"/>
      <c r="U519" s="73">
        <v>4536000</v>
      </c>
      <c r="V519" s="73"/>
      <c r="W519" s="73"/>
      <c r="X519" s="1864">
        <f t="shared" si="18"/>
        <v>4536000</v>
      </c>
      <c r="Y519" s="23">
        <f t="shared" si="17"/>
        <v>0</v>
      </c>
    </row>
    <row r="520" spans="1:25" ht="30" x14ac:dyDescent="0.25">
      <c r="A520" s="1"/>
      <c r="B520" s="1"/>
      <c r="C520" s="1"/>
      <c r="D520" s="1">
        <v>5</v>
      </c>
      <c r="E520" s="1">
        <v>2</v>
      </c>
      <c r="F520" s="1">
        <v>7</v>
      </c>
      <c r="G520" s="1"/>
      <c r="H520" s="4" t="str">
        <f>'Bid 2b'!B1056</f>
        <v>Belanja Barang dan Jasa Yang Di Serahkan</v>
      </c>
      <c r="I520" s="73"/>
      <c r="J520" s="1"/>
      <c r="K520" s="4" t="s">
        <v>3599</v>
      </c>
      <c r="L520" s="73"/>
      <c r="M520" s="73"/>
      <c r="N520" s="73"/>
      <c r="O520" s="73"/>
      <c r="P520" s="73"/>
      <c r="Q520" s="73"/>
      <c r="R520" s="73"/>
      <c r="S520" s="73"/>
      <c r="T520" s="73"/>
      <c r="U520" s="73"/>
      <c r="V520" s="73"/>
      <c r="W520" s="73"/>
      <c r="X520" s="1864">
        <f t="shared" si="18"/>
        <v>0</v>
      </c>
      <c r="Y520" s="23">
        <f t="shared" si="17"/>
        <v>0</v>
      </c>
    </row>
    <row r="521" spans="1:25" ht="30" x14ac:dyDescent="0.25">
      <c r="A521" s="1"/>
      <c r="B521" s="1"/>
      <c r="C521" s="1"/>
      <c r="D521" s="1"/>
      <c r="E521" s="1"/>
      <c r="F521" s="1"/>
      <c r="G521" s="1">
        <v>90</v>
      </c>
      <c r="H521" s="4" t="str">
        <f>'Bid 2b'!B1057</f>
        <v>Hadiah</v>
      </c>
      <c r="I521" s="73">
        <f>SUM('Bid 2b'!F1058:F1060)</f>
        <v>12000000</v>
      </c>
      <c r="J521" s="4" t="s">
        <v>1775</v>
      </c>
      <c r="K521" s="4" t="s">
        <v>3599</v>
      </c>
      <c r="L521" s="73"/>
      <c r="M521" s="73"/>
      <c r="N521" s="73"/>
      <c r="O521" s="73"/>
      <c r="P521" s="73"/>
      <c r="Q521" s="73"/>
      <c r="R521" s="73"/>
      <c r="S521" s="73"/>
      <c r="T521" s="73"/>
      <c r="U521" s="73">
        <v>12000000</v>
      </c>
      <c r="V521" s="73"/>
      <c r="W521" s="73"/>
      <c r="X521" s="1864">
        <f t="shared" si="18"/>
        <v>12000000</v>
      </c>
      <c r="Y521" s="23">
        <f t="shared" si="17"/>
        <v>0</v>
      </c>
    </row>
    <row r="522" spans="1:25" ht="30" x14ac:dyDescent="0.25">
      <c r="A522" s="865">
        <v>2</v>
      </c>
      <c r="B522" s="865">
        <v>2</v>
      </c>
      <c r="C522" s="865">
        <v>93</v>
      </c>
      <c r="D522" s="865"/>
      <c r="E522" s="865"/>
      <c r="F522" s="865"/>
      <c r="G522" s="865"/>
      <c r="H522" s="1061" t="str">
        <f>'Bid 2b'!B1074</f>
        <v>Penyelengggaraan Rumah Desa Sehat ( TPPS Desa )</v>
      </c>
      <c r="I522" s="1063">
        <f>SUM(I523:I528)</f>
        <v>5985000</v>
      </c>
      <c r="J522" s="1061" t="s">
        <v>2179</v>
      </c>
      <c r="K522" s="1061" t="s">
        <v>3596</v>
      </c>
      <c r="L522" s="1063"/>
      <c r="M522" s="1063"/>
      <c r="N522" s="1063"/>
      <c r="O522" s="1063"/>
      <c r="P522" s="1063"/>
      <c r="Q522" s="1063"/>
      <c r="R522" s="1063"/>
      <c r="S522" s="1063"/>
      <c r="T522" s="1063"/>
      <c r="U522" s="1063"/>
      <c r="V522" s="1063"/>
      <c r="W522" s="1063"/>
      <c r="X522" s="1866">
        <f t="shared" si="18"/>
        <v>0</v>
      </c>
      <c r="Y522" s="23">
        <f t="shared" si="17"/>
        <v>-5985000</v>
      </c>
    </row>
    <row r="523" spans="1:25" x14ac:dyDescent="0.25">
      <c r="A523" s="1"/>
      <c r="B523" s="1"/>
      <c r="C523" s="1"/>
      <c r="D523" s="1">
        <v>5</v>
      </c>
      <c r="E523" s="1">
        <v>2</v>
      </c>
      <c r="F523" s="1"/>
      <c r="G523" s="1"/>
      <c r="H523" s="4" t="str">
        <f>'Bid 2b'!B1079</f>
        <v>Belanja Barang Jasa :</v>
      </c>
      <c r="I523" s="73"/>
      <c r="J523" s="4"/>
      <c r="K523" s="4" t="s">
        <v>3596</v>
      </c>
      <c r="L523" s="73"/>
      <c r="M523" s="73"/>
      <c r="N523" s="73"/>
      <c r="O523" s="73"/>
      <c r="P523" s="73"/>
      <c r="Q523" s="73"/>
      <c r="R523" s="73"/>
      <c r="S523" s="73"/>
      <c r="T523" s="73"/>
      <c r="U523" s="73"/>
      <c r="V523" s="73"/>
      <c r="W523" s="73"/>
      <c r="X523" s="1864">
        <f t="shared" si="18"/>
        <v>0</v>
      </c>
      <c r="Y523" s="23">
        <f t="shared" si="17"/>
        <v>0</v>
      </c>
    </row>
    <row r="524" spans="1:25" ht="30" x14ac:dyDescent="0.25">
      <c r="A524" s="1"/>
      <c r="B524" s="1"/>
      <c r="C524" s="1"/>
      <c r="D524" s="1"/>
      <c r="E524" s="1"/>
      <c r="F524" s="1">
        <v>1</v>
      </c>
      <c r="G524" s="1"/>
      <c r="H524" s="4" t="str">
        <f>'Bid 2b'!B1080</f>
        <v>Belanja Barang Perlengkapan</v>
      </c>
      <c r="I524" s="73"/>
      <c r="J524" s="4"/>
      <c r="K524" s="4" t="s">
        <v>3596</v>
      </c>
      <c r="L524" s="73"/>
      <c r="M524" s="73"/>
      <c r="N524" s="73"/>
      <c r="O524" s="73"/>
      <c r="P524" s="73"/>
      <c r="Q524" s="73"/>
      <c r="R524" s="73"/>
      <c r="S524" s="73"/>
      <c r="T524" s="73"/>
      <c r="U524" s="73"/>
      <c r="V524" s="73"/>
      <c r="W524" s="73"/>
      <c r="X524" s="1864">
        <f t="shared" si="18"/>
        <v>0</v>
      </c>
      <c r="Y524" s="23">
        <f t="shared" si="17"/>
        <v>0</v>
      </c>
    </row>
    <row r="525" spans="1:25" ht="30" x14ac:dyDescent="0.25">
      <c r="A525" s="1"/>
      <c r="B525" s="1"/>
      <c r="C525" s="1"/>
      <c r="D525" s="1"/>
      <c r="E525" s="1"/>
      <c r="F525" s="1"/>
      <c r="G525" s="1489" t="s">
        <v>3366</v>
      </c>
      <c r="H525" s="4" t="str">
        <f>'Bid 2b'!B1081</f>
        <v>Belanja perlengkapan alat tulis kantor dan Benda Pos</v>
      </c>
      <c r="I525" s="73">
        <f>SUM('Bid 2b'!F1082:F1086)</f>
        <v>385000</v>
      </c>
      <c r="J525" s="4" t="s">
        <v>2179</v>
      </c>
      <c r="K525" s="4" t="s">
        <v>3596</v>
      </c>
      <c r="L525" s="73"/>
      <c r="M525" s="73"/>
      <c r="N525" s="73">
        <v>385000</v>
      </c>
      <c r="O525" s="73"/>
      <c r="P525" s="73"/>
      <c r="Q525" s="73"/>
      <c r="R525" s="73"/>
      <c r="S525" s="73"/>
      <c r="T525" s="73"/>
      <c r="U525" s="73"/>
      <c r="V525" s="73"/>
      <c r="W525" s="73"/>
      <c r="X525" s="1864">
        <f t="shared" si="18"/>
        <v>385000</v>
      </c>
      <c r="Y525" s="23">
        <f t="shared" si="17"/>
        <v>0</v>
      </c>
    </row>
    <row r="526" spans="1:25" ht="60" x14ac:dyDescent="0.25">
      <c r="A526" s="1"/>
      <c r="B526" s="1"/>
      <c r="C526" s="1"/>
      <c r="D526" s="1"/>
      <c r="E526" s="1"/>
      <c r="F526" s="1"/>
      <c r="G526" s="1489" t="s">
        <v>3391</v>
      </c>
      <c r="H526" s="4" t="str">
        <f>'Bid 2b'!B1089</f>
        <v>Belanja perlengkapan barang konsumsi (makan/ minum) Belanja Barang konsumsi</v>
      </c>
      <c r="I526" s="73">
        <f>'Bid 2b'!F1090</f>
        <v>4000000</v>
      </c>
      <c r="J526" s="4" t="s">
        <v>2179</v>
      </c>
      <c r="K526" s="4" t="s">
        <v>3596</v>
      </c>
      <c r="L526" s="73"/>
      <c r="M526" s="73"/>
      <c r="N526" s="73">
        <v>1000000</v>
      </c>
      <c r="O526" s="73"/>
      <c r="P526" s="73"/>
      <c r="Q526" s="73">
        <v>1000000</v>
      </c>
      <c r="R526" s="73"/>
      <c r="S526" s="73"/>
      <c r="T526" s="73">
        <v>1000000</v>
      </c>
      <c r="U526" s="73"/>
      <c r="V526" s="73"/>
      <c r="W526" s="73">
        <v>1000000</v>
      </c>
      <c r="X526" s="1864">
        <f t="shared" si="18"/>
        <v>4000000</v>
      </c>
      <c r="Y526" s="23">
        <f t="shared" si="17"/>
        <v>0</v>
      </c>
    </row>
    <row r="527" spans="1:25" x14ac:dyDescent="0.25">
      <c r="A527" s="1"/>
      <c r="B527" s="1"/>
      <c r="C527" s="1"/>
      <c r="D527" s="1">
        <v>5</v>
      </c>
      <c r="E527" s="1">
        <v>2</v>
      </c>
      <c r="F527" s="1">
        <v>2</v>
      </c>
      <c r="G527" s="1"/>
      <c r="H527" s="4" t="str">
        <f>'Bid 2b'!B1092</f>
        <v>Belanja Jasa Honorarium</v>
      </c>
      <c r="I527" s="73"/>
      <c r="J527" s="4"/>
      <c r="K527" s="4" t="s">
        <v>3596</v>
      </c>
      <c r="L527" s="73"/>
      <c r="M527" s="73"/>
      <c r="N527" s="73"/>
      <c r="O527" s="73"/>
      <c r="P527" s="73"/>
      <c r="Q527" s="73"/>
      <c r="R527" s="73"/>
      <c r="S527" s="73"/>
      <c r="T527" s="73"/>
      <c r="U527" s="73"/>
      <c r="V527" s="73"/>
      <c r="W527" s="73"/>
      <c r="X527" s="1864">
        <f t="shared" si="18"/>
        <v>0</v>
      </c>
      <c r="Y527" s="23">
        <f t="shared" si="17"/>
        <v>0</v>
      </c>
    </row>
    <row r="528" spans="1:25" x14ac:dyDescent="0.25">
      <c r="A528" s="1"/>
      <c r="B528" s="1"/>
      <c r="C528" s="1"/>
      <c r="D528" s="1"/>
      <c r="E528" s="1"/>
      <c r="F528" s="1"/>
      <c r="G528" s="1489" t="s">
        <v>3390</v>
      </c>
      <c r="H528" s="4" t="str">
        <f>'Bid 2b'!B1093</f>
        <v>Honorarium Petugas</v>
      </c>
      <c r="I528" s="73">
        <f>'Bid 2b'!F1094</f>
        <v>1600000</v>
      </c>
      <c r="J528" s="4" t="s">
        <v>2179</v>
      </c>
      <c r="K528" s="4" t="s">
        <v>3596</v>
      </c>
      <c r="L528" s="73"/>
      <c r="M528" s="73"/>
      <c r="N528" s="73">
        <v>400000</v>
      </c>
      <c r="O528" s="73"/>
      <c r="P528" s="73"/>
      <c r="Q528" s="73">
        <v>400000</v>
      </c>
      <c r="R528" s="73"/>
      <c r="S528" s="73"/>
      <c r="T528" s="73">
        <v>400000</v>
      </c>
      <c r="U528" s="73"/>
      <c r="V528" s="73"/>
      <c r="W528" s="73">
        <v>400000</v>
      </c>
      <c r="X528" s="1864">
        <f t="shared" si="18"/>
        <v>1600000</v>
      </c>
      <c r="Y528" s="23">
        <f t="shared" si="17"/>
        <v>0</v>
      </c>
    </row>
    <row r="529" spans="1:27" ht="45" x14ac:dyDescent="0.25">
      <c r="A529" s="865">
        <v>2</v>
      </c>
      <c r="B529" s="865">
        <v>2</v>
      </c>
      <c r="C529" s="865">
        <v>93</v>
      </c>
      <c r="D529" s="865"/>
      <c r="E529" s="865"/>
      <c r="F529" s="865"/>
      <c r="G529" s="865"/>
      <c r="H529" s="1061" t="str">
        <f>'Bid 2b'!B1109</f>
        <v>: Penyelengggaraan Rumah Desa Sehat (Rembuk Stunting)</v>
      </c>
      <c r="I529" s="1063">
        <f>SUM(I530:I536)</f>
        <v>4990000</v>
      </c>
      <c r="J529" s="1061" t="s">
        <v>2179</v>
      </c>
      <c r="K529" s="1061" t="s">
        <v>3596</v>
      </c>
      <c r="L529" s="1063"/>
      <c r="M529" s="1063"/>
      <c r="N529" s="1063"/>
      <c r="O529" s="1063"/>
      <c r="P529" s="1063"/>
      <c r="Q529" s="1063"/>
      <c r="R529" s="1063"/>
      <c r="S529" s="1063"/>
      <c r="T529" s="1063"/>
      <c r="U529" s="1063"/>
      <c r="V529" s="1063"/>
      <c r="W529" s="1063"/>
      <c r="X529" s="1866">
        <f t="shared" si="18"/>
        <v>0</v>
      </c>
      <c r="Y529" s="23">
        <f t="shared" si="17"/>
        <v>-4990000</v>
      </c>
    </row>
    <row r="530" spans="1:27" x14ac:dyDescent="0.25">
      <c r="A530" s="1"/>
      <c r="B530" s="1"/>
      <c r="C530" s="1"/>
      <c r="D530" s="1">
        <v>5</v>
      </c>
      <c r="E530" s="1">
        <v>2</v>
      </c>
      <c r="F530" s="1"/>
      <c r="G530" s="1"/>
      <c r="H530" s="4" t="str">
        <f>'Bid 2b'!B1112</f>
        <v>Belanja Barang Jasa</v>
      </c>
      <c r="I530" s="73"/>
      <c r="J530" s="4"/>
      <c r="K530" s="4" t="s">
        <v>3596</v>
      </c>
      <c r="L530" s="73"/>
      <c r="M530" s="73"/>
      <c r="N530" s="73"/>
      <c r="O530" s="73"/>
      <c r="P530" s="73"/>
      <c r="Q530" s="73"/>
      <c r="R530" s="73"/>
      <c r="S530" s="73"/>
      <c r="T530" s="73"/>
      <c r="U530" s="73"/>
      <c r="V530" s="73"/>
      <c r="W530" s="73"/>
      <c r="X530" s="1864">
        <f t="shared" si="18"/>
        <v>0</v>
      </c>
      <c r="Y530" s="23">
        <f t="shared" si="17"/>
        <v>0</v>
      </c>
    </row>
    <row r="531" spans="1:27" ht="30" x14ac:dyDescent="0.25">
      <c r="A531" s="1"/>
      <c r="B531" s="1"/>
      <c r="C531" s="1"/>
      <c r="D531" s="1"/>
      <c r="E531" s="1"/>
      <c r="F531" s="1">
        <v>1</v>
      </c>
      <c r="G531" s="1"/>
      <c r="H531" s="4" t="str">
        <f>'Bid 2b'!B1113</f>
        <v>Belanja Barang Perlengkapan</v>
      </c>
      <c r="I531" s="73"/>
      <c r="J531" s="4"/>
      <c r="K531" s="4" t="s">
        <v>3596</v>
      </c>
      <c r="L531" s="73"/>
      <c r="M531" s="73"/>
      <c r="N531" s="73"/>
      <c r="O531" s="73"/>
      <c r="P531" s="73"/>
      <c r="Q531" s="73"/>
      <c r="R531" s="73"/>
      <c r="S531" s="73"/>
      <c r="T531" s="73"/>
      <c r="U531" s="73"/>
      <c r="V531" s="73"/>
      <c r="W531" s="73"/>
      <c r="X531" s="1864">
        <f t="shared" si="18"/>
        <v>0</v>
      </c>
      <c r="Y531" s="23">
        <f t="shared" si="17"/>
        <v>0</v>
      </c>
    </row>
    <row r="532" spans="1:27" ht="30" x14ac:dyDescent="0.25">
      <c r="A532" s="1"/>
      <c r="B532" s="1"/>
      <c r="C532" s="1"/>
      <c r="D532" s="1"/>
      <c r="E532" s="1"/>
      <c r="F532" s="1"/>
      <c r="G532" s="1489" t="s">
        <v>3366</v>
      </c>
      <c r="H532" s="4" t="str">
        <f>'Bid 2b'!B1114</f>
        <v>Belanja Alat Tulis Kantor dan Benda Pos</v>
      </c>
      <c r="I532" s="73">
        <f>SUM('Bid 2b'!F1115:F1117)</f>
        <v>525000</v>
      </c>
      <c r="J532" s="4" t="s">
        <v>2179</v>
      </c>
      <c r="K532" s="4" t="s">
        <v>3596</v>
      </c>
      <c r="L532" s="73"/>
      <c r="M532" s="73"/>
      <c r="N532" s="73">
        <v>525000</v>
      </c>
      <c r="O532" s="73"/>
      <c r="P532" s="73"/>
      <c r="Q532" s="73"/>
      <c r="R532" s="73"/>
      <c r="S532" s="73"/>
      <c r="T532" s="73"/>
      <c r="U532" s="73"/>
      <c r="V532" s="73"/>
      <c r="W532" s="73"/>
      <c r="X532" s="1864">
        <f t="shared" si="18"/>
        <v>525000</v>
      </c>
      <c r="Y532" s="23">
        <f t="shared" si="17"/>
        <v>0</v>
      </c>
    </row>
    <row r="533" spans="1:27" ht="30" x14ac:dyDescent="0.25">
      <c r="A533" s="1"/>
      <c r="B533" s="1"/>
      <c r="C533" s="1"/>
      <c r="D533" s="1"/>
      <c r="E533" s="1"/>
      <c r="F533" s="1"/>
      <c r="G533" s="1489" t="s">
        <v>3391</v>
      </c>
      <c r="H533" s="4" t="str">
        <f>'Bid 2b'!B1119</f>
        <v>Belanja Perlengkapan Barang Konsumsi</v>
      </c>
      <c r="I533" s="73">
        <f>'Bid 2b'!F1120</f>
        <v>2625000</v>
      </c>
      <c r="J533" s="4" t="s">
        <v>2179</v>
      </c>
      <c r="K533" s="4" t="s">
        <v>3596</v>
      </c>
      <c r="L533" s="73"/>
      <c r="M533" s="73"/>
      <c r="N533" s="73">
        <v>2625000</v>
      </c>
      <c r="O533" s="73"/>
      <c r="P533" s="73"/>
      <c r="Q533" s="73"/>
      <c r="R533" s="73"/>
      <c r="S533" s="73"/>
      <c r="T533" s="73"/>
      <c r="U533" s="73"/>
      <c r="V533" s="73"/>
      <c r="W533" s="73"/>
      <c r="X533" s="1864">
        <f t="shared" si="18"/>
        <v>2625000</v>
      </c>
      <c r="Y533" s="23">
        <f t="shared" si="17"/>
        <v>0</v>
      </c>
    </row>
    <row r="534" spans="1:27" ht="30" x14ac:dyDescent="0.25">
      <c r="A534" s="1"/>
      <c r="B534" s="1"/>
      <c r="C534" s="1"/>
      <c r="D534" s="1"/>
      <c r="E534" s="1"/>
      <c r="F534" s="1"/>
      <c r="G534" s="1489" t="s">
        <v>3393</v>
      </c>
      <c r="H534" s="4" t="str">
        <f>'Bid 2b'!B1122</f>
        <v>Belanja Bendera/ Umbul-umbul/ Spanduk</v>
      </c>
      <c r="I534" s="73">
        <f>'Bid 2b'!F1123</f>
        <v>90000</v>
      </c>
      <c r="J534" s="4" t="s">
        <v>2179</v>
      </c>
      <c r="K534" s="4" t="s">
        <v>3596</v>
      </c>
      <c r="L534" s="73"/>
      <c r="M534" s="73"/>
      <c r="N534" s="73">
        <v>90000</v>
      </c>
      <c r="O534" s="73"/>
      <c r="P534" s="73"/>
      <c r="Q534" s="73"/>
      <c r="R534" s="73"/>
      <c r="S534" s="73"/>
      <c r="T534" s="73"/>
      <c r="U534" s="73"/>
      <c r="V534" s="73"/>
      <c r="W534" s="73"/>
      <c r="X534" s="1864">
        <f t="shared" si="18"/>
        <v>90000</v>
      </c>
      <c r="Y534" s="23">
        <f t="shared" si="17"/>
        <v>0</v>
      </c>
    </row>
    <row r="535" spans="1:27" ht="45" x14ac:dyDescent="0.25">
      <c r="A535" s="1"/>
      <c r="B535" s="1"/>
      <c r="C535" s="1"/>
      <c r="D535" s="1">
        <v>5</v>
      </c>
      <c r="E535" s="1">
        <v>2</v>
      </c>
      <c r="F535" s="1">
        <v>7</v>
      </c>
      <c r="G535" s="1"/>
      <c r="H535" s="4" t="str">
        <f>'Bid 2b'!B1125</f>
        <v>Belanja barang Jasa yang diserahkan kepada masyarakat</v>
      </c>
      <c r="I535" s="73"/>
      <c r="J535" s="4"/>
      <c r="K535" s="4" t="s">
        <v>3596</v>
      </c>
      <c r="L535" s="73"/>
      <c r="M535" s="73"/>
      <c r="N535" s="73"/>
      <c r="O535" s="73"/>
      <c r="P535" s="73"/>
      <c r="Q535" s="73"/>
      <c r="R535" s="73"/>
      <c r="S535" s="73"/>
      <c r="T535" s="73"/>
      <c r="U535" s="73"/>
      <c r="V535" s="73"/>
      <c r="W535" s="73"/>
      <c r="X535" s="1864">
        <f t="shared" si="18"/>
        <v>0</v>
      </c>
      <c r="Y535" s="23">
        <f t="shared" si="17"/>
        <v>0</v>
      </c>
    </row>
    <row r="536" spans="1:27" x14ac:dyDescent="0.25">
      <c r="A536" s="1"/>
      <c r="B536" s="1"/>
      <c r="C536" s="1"/>
      <c r="D536" s="1"/>
      <c r="E536" s="1"/>
      <c r="F536" s="1"/>
      <c r="G536" s="1">
        <v>91</v>
      </c>
      <c r="H536" s="4" t="str">
        <f>'Bid 2b'!B1126</f>
        <v>Belanja Uang Saku</v>
      </c>
      <c r="I536" s="73">
        <f>'Bid 2b'!F1127</f>
        <v>1750000</v>
      </c>
      <c r="J536" s="4" t="s">
        <v>2179</v>
      </c>
      <c r="K536" s="4" t="s">
        <v>3596</v>
      </c>
      <c r="L536" s="73"/>
      <c r="M536" s="73"/>
      <c r="N536" s="73">
        <v>1750000</v>
      </c>
      <c r="O536" s="73"/>
      <c r="P536" s="73"/>
      <c r="Q536" s="73"/>
      <c r="R536" s="73"/>
      <c r="S536" s="73"/>
      <c r="T536" s="73"/>
      <c r="U536" s="73"/>
      <c r="V536" s="73"/>
      <c r="W536" s="73"/>
      <c r="X536" s="1864">
        <f t="shared" si="18"/>
        <v>1750000</v>
      </c>
      <c r="Y536" s="23">
        <f t="shared" si="17"/>
        <v>0</v>
      </c>
    </row>
    <row r="537" spans="1:27" ht="30" x14ac:dyDescent="0.25">
      <c r="A537" s="865">
        <v>2</v>
      </c>
      <c r="B537" s="865">
        <v>3</v>
      </c>
      <c r="C537" s="865"/>
      <c r="D537" s="865"/>
      <c r="E537" s="865"/>
      <c r="F537" s="865"/>
      <c r="G537" s="865"/>
      <c r="H537" s="1061" t="s">
        <v>3418</v>
      </c>
      <c r="I537" s="1063"/>
      <c r="J537" s="1061"/>
      <c r="K537" s="1061" t="s">
        <v>3596</v>
      </c>
      <c r="L537" s="1063"/>
      <c r="M537" s="1063"/>
      <c r="N537" s="1063"/>
      <c r="O537" s="1063"/>
      <c r="P537" s="1063"/>
      <c r="Q537" s="1063"/>
      <c r="R537" s="1063"/>
      <c r="S537" s="1063"/>
      <c r="T537" s="1063"/>
      <c r="U537" s="1063"/>
      <c r="V537" s="1063"/>
      <c r="W537" s="1063"/>
      <c r="X537" s="1866">
        <f t="shared" si="18"/>
        <v>0</v>
      </c>
      <c r="Y537" s="23">
        <f t="shared" si="17"/>
        <v>0</v>
      </c>
    </row>
    <row r="538" spans="1:27" ht="61.15" customHeight="1" x14ac:dyDescent="0.25">
      <c r="A538" s="865">
        <v>2</v>
      </c>
      <c r="B538" s="865">
        <v>3</v>
      </c>
      <c r="C538" s="1490" t="s">
        <v>3386</v>
      </c>
      <c r="D538" s="865"/>
      <c r="E538" s="865"/>
      <c r="F538" s="865"/>
      <c r="G538" s="865"/>
      <c r="H538" s="1061" t="str">
        <f>'Bid 2b'!B1143</f>
        <v>Pemeliharaan Jalan Lingkungan Permukiman /Gang Pura Tegal Lantang (Pemavingan)</v>
      </c>
      <c r="I538" s="1063">
        <f>SUM(I539:I543)</f>
        <v>35582000</v>
      </c>
      <c r="J538" s="865" t="s">
        <v>1506</v>
      </c>
      <c r="K538" s="1061" t="s">
        <v>3596</v>
      </c>
      <c r="L538" s="1063"/>
      <c r="M538" s="1063"/>
      <c r="N538" s="1063"/>
      <c r="O538" s="1063"/>
      <c r="P538" s="1063"/>
      <c r="Q538" s="1063"/>
      <c r="R538" s="1063"/>
      <c r="S538" s="1063"/>
      <c r="T538" s="1063"/>
      <c r="U538" s="1063"/>
      <c r="V538" s="1063"/>
      <c r="W538" s="1063"/>
      <c r="X538" s="1866">
        <f t="shared" si="18"/>
        <v>0</v>
      </c>
      <c r="Y538" s="23">
        <f t="shared" si="17"/>
        <v>-35582000</v>
      </c>
    </row>
    <row r="539" spans="1:27" x14ac:dyDescent="0.25">
      <c r="A539" s="1"/>
      <c r="B539" s="1"/>
      <c r="C539" s="1"/>
      <c r="D539" s="1">
        <v>5</v>
      </c>
      <c r="E539" s="1">
        <v>3</v>
      </c>
      <c r="F539" s="1"/>
      <c r="G539" s="1"/>
      <c r="H539" s="4" t="str">
        <f>'Bid 2b'!B1150</f>
        <v xml:space="preserve">Belanja Modal </v>
      </c>
      <c r="I539" s="73"/>
      <c r="J539" s="1"/>
      <c r="K539" s="4" t="s">
        <v>3596</v>
      </c>
      <c r="L539" s="73"/>
      <c r="M539" s="73"/>
      <c r="N539" s="73"/>
      <c r="O539" s="73"/>
      <c r="P539" s="73"/>
      <c r="Q539" s="73"/>
      <c r="R539" s="73"/>
      <c r="S539" s="73"/>
      <c r="T539" s="73"/>
      <c r="U539" s="73"/>
      <c r="V539" s="73"/>
      <c r="W539" s="73"/>
      <c r="X539" s="1864">
        <f t="shared" si="18"/>
        <v>0</v>
      </c>
      <c r="Y539" s="23">
        <f t="shared" si="17"/>
        <v>0</v>
      </c>
    </row>
    <row r="540" spans="1:27" x14ac:dyDescent="0.25">
      <c r="A540" s="1"/>
      <c r="B540" s="1"/>
      <c r="C540" s="1"/>
      <c r="D540" s="1"/>
      <c r="E540" s="1"/>
      <c r="F540" s="1">
        <v>5</v>
      </c>
      <c r="G540" s="1"/>
      <c r="H540" s="4" t="str">
        <f>'Bid 2b'!B1151</f>
        <v>Belanja Modal Jalan</v>
      </c>
      <c r="I540" s="73"/>
      <c r="J540" s="1"/>
      <c r="K540" s="4" t="s">
        <v>3596</v>
      </c>
      <c r="L540" s="73"/>
      <c r="M540" s="73"/>
      <c r="N540" s="73"/>
      <c r="O540" s="73"/>
      <c r="P540" s="73"/>
      <c r="Q540" s="73"/>
      <c r="R540" s="73"/>
      <c r="S540" s="73"/>
      <c r="T540" s="73"/>
      <c r="U540" s="73"/>
      <c r="V540" s="73"/>
      <c r="W540" s="73"/>
      <c r="X540" s="1864">
        <f t="shared" si="18"/>
        <v>0</v>
      </c>
      <c r="Y540" s="23">
        <f t="shared" si="17"/>
        <v>0</v>
      </c>
    </row>
    <row r="541" spans="1:27" ht="30" x14ac:dyDescent="0.25">
      <c r="A541" s="1"/>
      <c r="B541" s="1"/>
      <c r="C541" s="1"/>
      <c r="D541" s="1"/>
      <c r="E541" s="1"/>
      <c r="F541" s="1"/>
      <c r="G541" s="1489" t="s">
        <v>3366</v>
      </c>
      <c r="H541" s="4" t="str">
        <f>'Bid 2b'!B1152</f>
        <v>Honorarium Tim Yang Melaksanakan Kegiatan</v>
      </c>
      <c r="I541" s="73">
        <f>'Bid 2b'!F1154</f>
        <v>697000</v>
      </c>
      <c r="J541" s="1" t="s">
        <v>1506</v>
      </c>
      <c r="K541" s="4" t="s">
        <v>3596</v>
      </c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>
        <v>697000</v>
      </c>
      <c r="W541" s="73"/>
      <c r="X541" s="1864">
        <f t="shared" si="18"/>
        <v>697000</v>
      </c>
      <c r="Y541" s="23">
        <f t="shared" si="17"/>
        <v>0</v>
      </c>
    </row>
    <row r="542" spans="1:27" x14ac:dyDescent="0.25">
      <c r="A542" s="1"/>
      <c r="B542" s="1"/>
      <c r="C542" s="1"/>
      <c r="D542" s="1"/>
      <c r="E542" s="1"/>
      <c r="F542" s="1"/>
      <c r="G542" s="1489" t="s">
        <v>3386</v>
      </c>
      <c r="H542" s="1" t="str">
        <f>'Bid 2b'!B1155</f>
        <v>Belanja Upah</v>
      </c>
      <c r="I542" s="73">
        <f>'Bid 2b'!F1158</f>
        <v>11400000</v>
      </c>
      <c r="J542" s="1" t="s">
        <v>1506</v>
      </c>
      <c r="K542" s="4" t="s">
        <v>3596</v>
      </c>
      <c r="L542" s="73"/>
      <c r="M542" s="73"/>
      <c r="N542" s="73"/>
      <c r="O542" s="73"/>
      <c r="P542" s="73"/>
      <c r="Q542" s="73"/>
      <c r="R542" s="73"/>
      <c r="S542" s="73"/>
      <c r="T542" s="73"/>
      <c r="U542" s="73">
        <v>11400000</v>
      </c>
      <c r="V542" s="73"/>
      <c r="W542" s="73"/>
      <c r="X542" s="1864">
        <f t="shared" si="18"/>
        <v>11400000</v>
      </c>
      <c r="Y542" s="23">
        <f t="shared" si="17"/>
        <v>0</v>
      </c>
    </row>
    <row r="543" spans="1:27" x14ac:dyDescent="0.25">
      <c r="A543" s="1"/>
      <c r="B543" s="1"/>
      <c r="C543" s="1"/>
      <c r="D543" s="1"/>
      <c r="E543" s="1"/>
      <c r="F543" s="1"/>
      <c r="G543" s="1489" t="s">
        <v>3388</v>
      </c>
      <c r="H543" s="1" t="str">
        <f>'Bid 2b'!B1159</f>
        <v>Bahan Baku</v>
      </c>
      <c r="I543" s="73">
        <f>'Bid 2b'!F1168</f>
        <v>23485000</v>
      </c>
      <c r="J543" s="1" t="s">
        <v>1506</v>
      </c>
      <c r="K543" s="4" t="s">
        <v>3596</v>
      </c>
      <c r="L543" s="73"/>
      <c r="M543" s="73"/>
      <c r="N543" s="73"/>
      <c r="O543" s="73"/>
      <c r="P543" s="73"/>
      <c r="Q543" s="73"/>
      <c r="S543" s="73"/>
      <c r="T543" s="73"/>
      <c r="U543" s="73">
        <v>6391000</v>
      </c>
      <c r="V543" s="68">
        <v>17094000</v>
      </c>
      <c r="W543" s="73"/>
      <c r="X543" s="1864">
        <f t="shared" si="18"/>
        <v>23485000</v>
      </c>
      <c r="Y543" s="23">
        <f t="shared" si="17"/>
        <v>0</v>
      </c>
      <c r="AA543">
        <v>17094000</v>
      </c>
    </row>
    <row r="544" spans="1:27" ht="60.6" customHeight="1" x14ac:dyDescent="0.25">
      <c r="A544" s="865">
        <v>2</v>
      </c>
      <c r="B544" s="865">
        <v>3</v>
      </c>
      <c r="C544" s="1490" t="s">
        <v>3386</v>
      </c>
      <c r="D544" s="865"/>
      <c r="E544" s="865"/>
      <c r="F544" s="865"/>
      <c r="G544" s="865"/>
      <c r="H544" s="1061" t="str">
        <f>'Bid 2b'!B1707</f>
        <v>Pemeliharaan Jalan Lingkungan Permukiman Gang Nusa Indah IV Carik (Pemavingan)</v>
      </c>
      <c r="I544" s="1063">
        <f>SUM(I545:I549)</f>
        <v>152489000</v>
      </c>
      <c r="J544" s="865" t="s">
        <v>1506</v>
      </c>
      <c r="K544" s="1061" t="s">
        <v>3596</v>
      </c>
      <c r="L544" s="1063"/>
      <c r="M544" s="1063"/>
      <c r="N544" s="1063"/>
      <c r="O544" s="1063"/>
      <c r="P544" s="1063"/>
      <c r="Q544" s="1063"/>
      <c r="R544" s="1063"/>
      <c r="S544" s="1063"/>
      <c r="T544" s="1063"/>
      <c r="U544" s="1063"/>
      <c r="V544" s="1063"/>
      <c r="W544" s="1063"/>
      <c r="X544" s="1866">
        <f t="shared" si="18"/>
        <v>0</v>
      </c>
      <c r="Y544" s="23">
        <f t="shared" si="17"/>
        <v>-152489000</v>
      </c>
    </row>
    <row r="545" spans="1:25" x14ac:dyDescent="0.25">
      <c r="A545" s="1"/>
      <c r="B545" s="1"/>
      <c r="C545" s="1"/>
      <c r="D545" s="1">
        <v>5</v>
      </c>
      <c r="E545" s="1">
        <v>3</v>
      </c>
      <c r="F545" s="1"/>
      <c r="G545" s="1"/>
      <c r="H545" s="4" t="str">
        <f>'Bid 2b'!B1714</f>
        <v xml:space="preserve">Belanja Modal </v>
      </c>
      <c r="I545" s="73"/>
      <c r="J545" s="1"/>
      <c r="K545" s="4" t="s">
        <v>3596</v>
      </c>
      <c r="L545" s="73"/>
      <c r="M545" s="73"/>
      <c r="N545" s="73"/>
      <c r="O545" s="73"/>
      <c r="P545" s="73"/>
      <c r="Q545" s="73"/>
      <c r="R545" s="73"/>
      <c r="S545" s="73"/>
      <c r="T545" s="73"/>
      <c r="U545" s="73"/>
      <c r="V545" s="73"/>
      <c r="W545" s="73"/>
      <c r="X545" s="1864">
        <f t="shared" si="18"/>
        <v>0</v>
      </c>
      <c r="Y545" s="23">
        <f t="shared" si="17"/>
        <v>0</v>
      </c>
    </row>
    <row r="546" spans="1:25" x14ac:dyDescent="0.25">
      <c r="A546" s="1"/>
      <c r="B546" s="1"/>
      <c r="C546" s="1"/>
      <c r="D546" s="1"/>
      <c r="E546" s="1"/>
      <c r="F546" s="1">
        <v>5</v>
      </c>
      <c r="G546" s="1"/>
      <c r="H546" s="4" t="str">
        <f>'Bid 2b'!B1715</f>
        <v>Belanja Modal Jalan</v>
      </c>
      <c r="I546" s="73"/>
      <c r="J546" s="1"/>
      <c r="K546" s="4" t="s">
        <v>3596</v>
      </c>
      <c r="L546" s="73"/>
      <c r="M546" s="73"/>
      <c r="N546" s="73"/>
      <c r="O546" s="73"/>
      <c r="P546" s="73"/>
      <c r="Q546" s="73"/>
      <c r="R546" s="73"/>
      <c r="S546" s="73"/>
      <c r="T546" s="73"/>
      <c r="U546" s="73"/>
      <c r="V546" s="73"/>
      <c r="W546" s="73"/>
      <c r="X546" s="1864">
        <f t="shared" si="18"/>
        <v>0</v>
      </c>
      <c r="Y546" s="23">
        <f t="shared" si="17"/>
        <v>0</v>
      </c>
    </row>
    <row r="547" spans="1:25" ht="30" x14ac:dyDescent="0.25">
      <c r="A547" s="1"/>
      <c r="B547" s="1"/>
      <c r="C547" s="1"/>
      <c r="D547" s="1"/>
      <c r="E547" s="1"/>
      <c r="F547" s="1"/>
      <c r="G547" s="1489" t="s">
        <v>3366</v>
      </c>
      <c r="H547" s="4" t="str">
        <f>'Bid 2b'!B1716</f>
        <v>Honorarium Tim Yang Melaksanakan Kegiatan</v>
      </c>
      <c r="I547" s="73">
        <f>'Bid 2b'!F1718</f>
        <v>1500000</v>
      </c>
      <c r="J547" s="1" t="s">
        <v>1506</v>
      </c>
      <c r="K547" s="4" t="s">
        <v>3596</v>
      </c>
      <c r="L547" s="73"/>
      <c r="M547" s="73"/>
      <c r="N547" s="73"/>
      <c r="O547" s="73"/>
      <c r="P547" s="73"/>
      <c r="Q547" s="73"/>
      <c r="R547" s="73"/>
      <c r="S547" s="73"/>
      <c r="T547" s="73"/>
      <c r="U547" s="73"/>
      <c r="V547" s="73"/>
      <c r="W547" s="73">
        <v>1500000</v>
      </c>
      <c r="X547" s="1864">
        <f t="shared" si="18"/>
        <v>1500000</v>
      </c>
      <c r="Y547" s="23">
        <f t="shared" si="17"/>
        <v>0</v>
      </c>
    </row>
    <row r="548" spans="1:25" x14ac:dyDescent="0.25">
      <c r="A548" s="1"/>
      <c r="B548" s="1"/>
      <c r="C548" s="1"/>
      <c r="D548" s="1"/>
      <c r="E548" s="1"/>
      <c r="F548" s="1"/>
      <c r="G548" s="1489" t="s">
        <v>3386</v>
      </c>
      <c r="H548" s="1" t="str">
        <f>'Bid 2b'!B1719</f>
        <v>Belanja Upah</v>
      </c>
      <c r="I548" s="73">
        <f>'Bid 2b'!F1722</f>
        <v>39450000</v>
      </c>
      <c r="J548" s="1" t="s">
        <v>1506</v>
      </c>
      <c r="K548" s="4" t="s">
        <v>3596</v>
      </c>
      <c r="L548" s="73"/>
      <c r="M548" s="73"/>
      <c r="N548" s="73"/>
      <c r="O548" s="73"/>
      <c r="P548" s="73"/>
      <c r="Q548" s="73"/>
      <c r="R548" s="73"/>
      <c r="S548" s="73"/>
      <c r="T548" s="73"/>
      <c r="U548" s="73"/>
      <c r="V548" s="73">
        <v>2318169</v>
      </c>
      <c r="W548" s="73">
        <v>37131831</v>
      </c>
      <c r="X548" s="1864">
        <f t="shared" si="18"/>
        <v>39450000</v>
      </c>
      <c r="Y548" s="23">
        <f t="shared" si="17"/>
        <v>0</v>
      </c>
    </row>
    <row r="549" spans="1:25" x14ac:dyDescent="0.25">
      <c r="A549" s="1"/>
      <c r="B549" s="1"/>
      <c r="C549" s="1"/>
      <c r="D549" s="1"/>
      <c r="E549" s="1"/>
      <c r="F549" s="1"/>
      <c r="G549" s="1489" t="s">
        <v>3388</v>
      </c>
      <c r="H549" s="1" t="str">
        <f>'Bid 2b'!B1723</f>
        <v>Bahan Baku</v>
      </c>
      <c r="I549" s="73">
        <f>'Bid 2b'!F1731</f>
        <v>111539000</v>
      </c>
      <c r="J549" s="1" t="s">
        <v>1506</v>
      </c>
      <c r="K549" s="4" t="s">
        <v>3596</v>
      </c>
      <c r="L549" s="73"/>
      <c r="M549" s="73"/>
      <c r="N549" s="73"/>
      <c r="O549" s="73"/>
      <c r="P549" s="73"/>
      <c r="Q549" s="73"/>
      <c r="R549" s="73"/>
      <c r="S549" s="73"/>
      <c r="T549" s="73"/>
      <c r="U549" s="73"/>
      <c r="V549" s="73">
        <v>55679500</v>
      </c>
      <c r="W549" s="73">
        <v>55859500</v>
      </c>
      <c r="X549" s="1864">
        <f t="shared" si="18"/>
        <v>111539000</v>
      </c>
      <c r="Y549" s="23">
        <f t="shared" si="17"/>
        <v>0</v>
      </c>
    </row>
    <row r="550" spans="1:25" ht="85.9" customHeight="1" x14ac:dyDescent="0.25">
      <c r="A550" s="865">
        <v>2</v>
      </c>
      <c r="B550" s="865">
        <v>3</v>
      </c>
      <c r="C550" s="1490" t="s">
        <v>3388</v>
      </c>
      <c r="D550" s="865"/>
      <c r="E550" s="865"/>
      <c r="F550" s="865"/>
      <c r="G550" s="865"/>
      <c r="H550" s="1061" t="str">
        <f>'Bid 2b'!B1908</f>
        <v>: Pemeliharaan Prasarana Jalan Desa (Pembersihan saluran air untuk kelancaran pertanian dan gorong-gorong (PKTD MURNI Ketahanan Pangan)</v>
      </c>
      <c r="I550" s="1063">
        <f>I553</f>
        <v>11550000</v>
      </c>
      <c r="J550" s="1061" t="s">
        <v>2179</v>
      </c>
      <c r="K550" s="1061" t="s">
        <v>3596</v>
      </c>
      <c r="L550" s="1063"/>
      <c r="M550" s="1063"/>
      <c r="N550" s="1063"/>
      <c r="O550" s="1063"/>
      <c r="P550" s="1063"/>
      <c r="Q550" s="1063"/>
      <c r="R550" s="1063"/>
      <c r="S550" s="1063"/>
      <c r="T550" s="1063"/>
      <c r="U550" s="1063"/>
      <c r="V550" s="1063"/>
      <c r="W550" s="1063"/>
      <c r="X550" s="1866">
        <f t="shared" si="18"/>
        <v>0</v>
      </c>
      <c r="Y550" s="23">
        <f t="shared" si="17"/>
        <v>-11550000</v>
      </c>
    </row>
    <row r="551" spans="1:25" x14ac:dyDescent="0.25">
      <c r="A551" s="1"/>
      <c r="B551" s="1"/>
      <c r="C551" s="1"/>
      <c r="D551" s="1">
        <v>5</v>
      </c>
      <c r="E551" s="1">
        <v>3</v>
      </c>
      <c r="F551" s="1"/>
      <c r="G551" s="1"/>
      <c r="H551" s="1" t="str">
        <f>'Bid 2b'!B1914</f>
        <v>Belanja Modal</v>
      </c>
      <c r="I551" s="73"/>
      <c r="J551" s="4"/>
      <c r="K551" s="4" t="s">
        <v>3596</v>
      </c>
      <c r="L551" s="73"/>
      <c r="M551" s="73"/>
      <c r="N551" s="73"/>
      <c r="O551" s="73"/>
      <c r="P551" s="73"/>
      <c r="Q551" s="73"/>
      <c r="R551" s="73"/>
      <c r="S551" s="73"/>
      <c r="T551" s="73"/>
      <c r="U551" s="73"/>
      <c r="V551" s="73"/>
      <c r="W551" s="73"/>
      <c r="X551" s="1864">
        <f t="shared" si="18"/>
        <v>0</v>
      </c>
      <c r="Y551" s="23">
        <f t="shared" si="17"/>
        <v>0</v>
      </c>
    </row>
    <row r="552" spans="1:25" x14ac:dyDescent="0.25">
      <c r="A552" s="1"/>
      <c r="B552" s="1"/>
      <c r="C552" s="1"/>
      <c r="D552" s="1"/>
      <c r="E552" s="1"/>
      <c r="F552" s="1">
        <v>7</v>
      </c>
      <c r="G552" s="1"/>
      <c r="H552" s="1" t="str">
        <f>'Bid 2b'!B1915</f>
        <v>Belanja Modal Irigasi</v>
      </c>
      <c r="I552" s="73"/>
      <c r="J552" s="4"/>
      <c r="K552" s="4" t="s">
        <v>3596</v>
      </c>
      <c r="L552" s="73"/>
      <c r="M552" s="73"/>
      <c r="N552" s="73"/>
      <c r="O552" s="73"/>
      <c r="P552" s="73"/>
      <c r="Q552" s="73"/>
      <c r="R552" s="73"/>
      <c r="S552" s="73"/>
      <c r="T552" s="73"/>
      <c r="U552" s="73"/>
      <c r="V552" s="73"/>
      <c r="W552" s="73"/>
      <c r="X552" s="1864">
        <f t="shared" si="18"/>
        <v>0</v>
      </c>
      <c r="Y552" s="23">
        <f t="shared" si="17"/>
        <v>0</v>
      </c>
    </row>
    <row r="553" spans="1:25" ht="36.75" customHeight="1" x14ac:dyDescent="0.25">
      <c r="A553" s="1"/>
      <c r="B553" s="1"/>
      <c r="C553" s="1"/>
      <c r="D553" s="1"/>
      <c r="E553" s="1"/>
      <c r="F553" s="1"/>
      <c r="G553" s="1489" t="s">
        <v>3386</v>
      </c>
      <c r="H553" s="1" t="str">
        <f>'Bid 2b'!B1916</f>
        <v>Belanja Upah PKTD</v>
      </c>
      <c r="I553" s="73">
        <f>'Bid 2b'!F1917</f>
        <v>11550000</v>
      </c>
      <c r="J553" s="4" t="s">
        <v>2179</v>
      </c>
      <c r="K553" s="4" t="s">
        <v>3596</v>
      </c>
      <c r="L553" s="73"/>
      <c r="M553" s="73"/>
      <c r="N553" s="73"/>
      <c r="O553" s="73">
        <v>3465000</v>
      </c>
      <c r="P553" s="73"/>
      <c r="Q553" s="73"/>
      <c r="R553" s="73">
        <v>3465000</v>
      </c>
      <c r="S553" s="73"/>
      <c r="T553" s="73"/>
      <c r="U553" s="73">
        <v>4620000</v>
      </c>
      <c r="V553" s="73"/>
      <c r="W553" s="73"/>
      <c r="X553" s="1864">
        <f t="shared" si="18"/>
        <v>11550000</v>
      </c>
      <c r="Y553" s="23">
        <f t="shared" si="17"/>
        <v>0</v>
      </c>
    </row>
    <row r="554" spans="1:25" x14ac:dyDescent="0.25">
      <c r="A554" s="865">
        <v>2</v>
      </c>
      <c r="B554" s="865">
        <v>4</v>
      </c>
      <c r="C554" s="865"/>
      <c r="D554" s="865"/>
      <c r="E554" s="865"/>
      <c r="F554" s="865"/>
      <c r="G554" s="865"/>
      <c r="H554" s="865" t="str">
        <f>'Bid 2b'!B2179</f>
        <v>: Kawasan Pemukiman</v>
      </c>
      <c r="I554" s="1063"/>
      <c r="J554" s="865"/>
      <c r="K554" s="1061"/>
      <c r="L554" s="1063"/>
      <c r="M554" s="1063"/>
      <c r="N554" s="1063"/>
      <c r="O554" s="1063"/>
      <c r="P554" s="1063"/>
      <c r="Q554" s="1063"/>
      <c r="R554" s="1063"/>
      <c r="S554" s="1063"/>
      <c r="T554" s="1063"/>
      <c r="U554" s="1063"/>
      <c r="V554" s="1063"/>
      <c r="W554" s="1063"/>
      <c r="X554" s="1866">
        <f t="shared" si="18"/>
        <v>0</v>
      </c>
      <c r="Y554" s="23">
        <f t="shared" si="17"/>
        <v>0</v>
      </c>
    </row>
    <row r="555" spans="1:25" ht="30" x14ac:dyDescent="0.25">
      <c r="A555" s="865">
        <v>2</v>
      </c>
      <c r="B555" s="865">
        <v>4</v>
      </c>
      <c r="C555" s="1490" t="s">
        <v>3392</v>
      </c>
      <c r="D555" s="865"/>
      <c r="E555" s="865"/>
      <c r="F555" s="865"/>
      <c r="G555" s="865"/>
      <c r="H555" s="1061" t="str">
        <f>'Bid 2b'!B2180</f>
        <v>: Kegiatan Pengelolaan Sampah Tingkat Desa</v>
      </c>
      <c r="I555" s="1063">
        <f>SUM(I557:I571)</f>
        <v>650876535.20000005</v>
      </c>
      <c r="J555" s="865"/>
      <c r="K555" s="1061" t="s">
        <v>3599</v>
      </c>
      <c r="L555" s="1063"/>
      <c r="M555" s="1063"/>
      <c r="N555" s="1063"/>
      <c r="O555" s="1063"/>
      <c r="P555" s="1063"/>
      <c r="Q555" s="1063"/>
      <c r="R555" s="1063"/>
      <c r="S555" s="1063"/>
      <c r="T555" s="1063"/>
      <c r="U555" s="1063"/>
      <c r="V555" s="1063"/>
      <c r="W555" s="1063"/>
      <c r="X555" s="1866">
        <f t="shared" si="18"/>
        <v>0</v>
      </c>
      <c r="Y555" s="23">
        <f t="shared" si="17"/>
        <v>-650876535.20000005</v>
      </c>
    </row>
    <row r="556" spans="1:25" x14ac:dyDescent="0.25">
      <c r="A556" s="1"/>
      <c r="B556" s="1"/>
      <c r="C556" s="1489"/>
      <c r="D556" s="1">
        <v>5</v>
      </c>
      <c r="E556" s="1">
        <v>2</v>
      </c>
      <c r="F556" s="1"/>
      <c r="G556" s="1"/>
      <c r="H556" s="4"/>
      <c r="I556" s="98"/>
      <c r="J556" s="1"/>
      <c r="K556" s="4" t="s">
        <v>3599</v>
      </c>
      <c r="L556" s="73"/>
      <c r="M556" s="73"/>
      <c r="N556" s="73"/>
      <c r="O556" s="73"/>
      <c r="P556" s="73"/>
      <c r="Q556" s="73"/>
      <c r="R556" s="73"/>
      <c r="S556" s="73"/>
      <c r="T556" s="73"/>
      <c r="U556" s="73"/>
      <c r="V556" s="73"/>
      <c r="W556" s="73"/>
      <c r="X556" s="1864">
        <f t="shared" si="18"/>
        <v>0</v>
      </c>
      <c r="Y556" s="23">
        <f t="shared" ref="Y556:Y619" si="19">X556-I556</f>
        <v>0</v>
      </c>
    </row>
    <row r="557" spans="1:25" ht="30" x14ac:dyDescent="0.25">
      <c r="A557" s="1"/>
      <c r="B557" s="1"/>
      <c r="C557" s="1"/>
      <c r="D557" s="1"/>
      <c r="E557" s="1"/>
      <c r="F557" s="1">
        <v>1</v>
      </c>
      <c r="G557" s="1"/>
      <c r="H557" s="4" t="str">
        <f>'Bid 2b'!B2186</f>
        <v>Belanja Barang Perlengkapan</v>
      </c>
      <c r="I557" s="98"/>
      <c r="J557" s="1"/>
      <c r="K557" s="4" t="s">
        <v>3599</v>
      </c>
      <c r="L557" s="73"/>
      <c r="M557" s="73"/>
      <c r="N557" s="73"/>
      <c r="O557" s="73"/>
      <c r="P557" s="73"/>
      <c r="Q557" s="73"/>
      <c r="R557" s="73"/>
      <c r="S557" s="73"/>
      <c r="T557" s="73"/>
      <c r="U557" s="73"/>
      <c r="V557" s="73"/>
      <c r="W557" s="73"/>
      <c r="X557" s="1864">
        <f t="shared" si="18"/>
        <v>0</v>
      </c>
      <c r="Y557" s="23">
        <f t="shared" si="19"/>
        <v>0</v>
      </c>
    </row>
    <row r="558" spans="1:25" ht="45" x14ac:dyDescent="0.25">
      <c r="A558" s="1"/>
      <c r="B558" s="1"/>
      <c r="C558" s="1"/>
      <c r="D558" s="1"/>
      <c r="E558" s="1"/>
      <c r="F558" s="1"/>
      <c r="G558" s="1489" t="s">
        <v>3389</v>
      </c>
      <c r="H558" s="4" t="str">
        <f>'Bid 2b'!B2187</f>
        <v>Belanja Bahan Bakar Minyak/ Gas/ Isi Ulang Tabung Pemadam Kebakaran</v>
      </c>
      <c r="I558" s="73">
        <f>SUM('Bid 2b'!F2188:F2192)</f>
        <v>126300000</v>
      </c>
      <c r="J558" s="4" t="s">
        <v>1223</v>
      </c>
      <c r="K558" s="4" t="s">
        <v>3599</v>
      </c>
      <c r="L558" s="73"/>
      <c r="M558" s="73">
        <v>126300000</v>
      </c>
      <c r="N558" s="73"/>
      <c r="O558" s="73"/>
      <c r="P558" s="73"/>
      <c r="Q558" s="73"/>
      <c r="R558" s="73"/>
      <c r="S558" s="73"/>
      <c r="T558" s="73"/>
      <c r="U558" s="73"/>
      <c r="V558" s="73"/>
      <c r="W558" s="73"/>
      <c r="X558" s="1864">
        <f t="shared" si="18"/>
        <v>126300000</v>
      </c>
      <c r="Y558" s="23">
        <f t="shared" si="19"/>
        <v>0</v>
      </c>
    </row>
    <row r="559" spans="1:25" x14ac:dyDescent="0.25">
      <c r="A559" s="1"/>
      <c r="B559" s="1"/>
      <c r="C559" s="1"/>
      <c r="D559" s="1"/>
      <c r="E559" s="1"/>
      <c r="F559" s="1"/>
      <c r="G559" s="1489" t="s">
        <v>3390</v>
      </c>
      <c r="H559" s="4" t="str">
        <f>'Bid 2b'!B2193</f>
        <v>Belanja Perlengkapan Cetak</v>
      </c>
      <c r="I559" s="73">
        <f>'Bid 2b'!F2194+'Bid 2b'!F2195</f>
        <v>4950000</v>
      </c>
      <c r="J559" s="1" t="s">
        <v>1223</v>
      </c>
      <c r="K559" s="4" t="s">
        <v>3599</v>
      </c>
      <c r="L559" s="73"/>
      <c r="M559" s="73">
        <v>4950000</v>
      </c>
      <c r="N559" s="73"/>
      <c r="O559" s="73"/>
      <c r="P559" s="73"/>
      <c r="Q559" s="73"/>
      <c r="R559" s="73"/>
      <c r="S559" s="73"/>
      <c r="T559" s="73"/>
      <c r="U559" s="73"/>
      <c r="V559" s="73"/>
      <c r="W559" s="73"/>
      <c r="X559" s="1864">
        <f t="shared" si="18"/>
        <v>4950000</v>
      </c>
      <c r="Y559" s="23">
        <f t="shared" si="19"/>
        <v>0</v>
      </c>
    </row>
    <row r="560" spans="1:25" x14ac:dyDescent="0.25">
      <c r="A560" s="1"/>
      <c r="B560" s="1"/>
      <c r="C560" s="1"/>
      <c r="D560" s="1"/>
      <c r="E560" s="1"/>
      <c r="F560" s="1"/>
      <c r="G560" s="1489" t="s">
        <v>3392</v>
      </c>
      <c r="H560" s="4" t="str">
        <f>'Bid 2b'!B2196</f>
        <v>Belanja Bahan Dan Alat</v>
      </c>
      <c r="I560" s="73">
        <f>SUM('Bid 2b'!F2197:F2199)</f>
        <v>3249000</v>
      </c>
      <c r="J560" s="1" t="s">
        <v>1223</v>
      </c>
      <c r="K560" s="4" t="s">
        <v>3599</v>
      </c>
      <c r="L560" s="73"/>
      <c r="M560" s="73">
        <v>3249000</v>
      </c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1864">
        <f t="shared" si="18"/>
        <v>3249000</v>
      </c>
      <c r="Y560" s="23">
        <f t="shared" si="19"/>
        <v>0</v>
      </c>
    </row>
    <row r="561" spans="1:25" x14ac:dyDescent="0.25">
      <c r="A561" s="1"/>
      <c r="B561" s="1"/>
      <c r="C561" s="1"/>
      <c r="D561" s="1"/>
      <c r="E561" s="1"/>
      <c r="F561" s="1"/>
      <c r="G561" s="1489" t="s">
        <v>3394</v>
      </c>
      <c r="H561" s="1" t="str">
        <f>'Bid 2b'!B2200</f>
        <v>Belanja Seragam Atribut</v>
      </c>
      <c r="I561" s="73">
        <f>'Bid 2b'!F2201+'Bid 2b'!F2202</f>
        <v>6146000</v>
      </c>
      <c r="J561" s="1" t="s">
        <v>1223</v>
      </c>
      <c r="K561" s="4" t="s">
        <v>3599</v>
      </c>
      <c r="L561" s="73"/>
      <c r="M561" s="73">
        <v>6146000</v>
      </c>
      <c r="N561" s="73"/>
      <c r="O561" s="73"/>
      <c r="P561" s="73"/>
      <c r="Q561" s="73"/>
      <c r="R561" s="73"/>
      <c r="S561" s="73"/>
      <c r="T561" s="73"/>
      <c r="U561" s="73"/>
      <c r="V561" s="73"/>
      <c r="W561" s="73"/>
      <c r="X561" s="1864">
        <f t="shared" si="18"/>
        <v>6146000</v>
      </c>
      <c r="Y561" s="23">
        <f t="shared" si="19"/>
        <v>0</v>
      </c>
    </row>
    <row r="562" spans="1:25" ht="30" x14ac:dyDescent="0.25">
      <c r="A562" s="1"/>
      <c r="B562" s="1"/>
      <c r="C562" s="1"/>
      <c r="D562" s="1"/>
      <c r="E562" s="1"/>
      <c r="F562" s="1"/>
      <c r="G562" s="1489" t="s">
        <v>3394</v>
      </c>
      <c r="H562" s="1" t="str">
        <f>'Bid 2b'!B2200</f>
        <v>Belanja Seragam Atribut</v>
      </c>
      <c r="I562" s="73">
        <f>SUM('Bid 2b'!F2203:F2207)</f>
        <v>14564515.199999999</v>
      </c>
      <c r="J562" s="4" t="s">
        <v>3296</v>
      </c>
      <c r="K562" s="4" t="s">
        <v>3599</v>
      </c>
      <c r="L562" s="73"/>
      <c r="M562" s="73">
        <v>14564515.199999999</v>
      </c>
      <c r="N562" s="73"/>
      <c r="O562" s="73"/>
      <c r="P562" s="73"/>
      <c r="Q562" s="73"/>
      <c r="R562" s="73"/>
      <c r="S562" s="73"/>
      <c r="T562" s="73"/>
      <c r="U562" s="73"/>
      <c r="V562" s="73"/>
      <c r="W562" s="73"/>
      <c r="X562" s="1864">
        <f t="shared" si="18"/>
        <v>14564515.199999999</v>
      </c>
      <c r="Y562" s="23">
        <f t="shared" si="19"/>
        <v>0</v>
      </c>
    </row>
    <row r="563" spans="1:25" x14ac:dyDescent="0.25">
      <c r="A563" s="1"/>
      <c r="B563" s="1"/>
      <c r="C563" s="1"/>
      <c r="D563" s="1">
        <v>5</v>
      </c>
      <c r="E563" s="1">
        <v>2</v>
      </c>
      <c r="F563" s="1">
        <v>2</v>
      </c>
      <c r="G563" s="1489"/>
      <c r="H563" s="1" t="s">
        <v>478</v>
      </c>
      <c r="I563" s="73"/>
      <c r="J563" s="1"/>
      <c r="K563" s="4" t="s">
        <v>3599</v>
      </c>
      <c r="L563" s="73"/>
      <c r="M563" s="73"/>
      <c r="N563" s="73"/>
      <c r="O563" s="73"/>
      <c r="P563" s="73"/>
      <c r="Q563" s="73"/>
      <c r="R563" s="73"/>
      <c r="S563" s="73"/>
      <c r="T563" s="73"/>
      <c r="U563" s="73"/>
      <c r="V563" s="73"/>
      <c r="W563" s="73"/>
      <c r="X563" s="1864">
        <f t="shared" si="18"/>
        <v>0</v>
      </c>
      <c r="Y563" s="23">
        <f t="shared" si="19"/>
        <v>0</v>
      </c>
    </row>
    <row r="564" spans="1:25" ht="30" x14ac:dyDescent="0.25">
      <c r="A564" s="1"/>
      <c r="B564" s="1"/>
      <c r="C564" s="1"/>
      <c r="D564" s="1"/>
      <c r="E564" s="1"/>
      <c r="F564" s="1"/>
      <c r="G564" s="1489" t="s">
        <v>3390</v>
      </c>
      <c r="H564" s="4" t="str">
        <f>'Bid 2b'!B2209</f>
        <v>Belanja Honorarium Petugas</v>
      </c>
      <c r="I564" s="73">
        <f>SUM('Bid 2b'!F2210:F2214)</f>
        <v>301200000</v>
      </c>
      <c r="J564" s="4" t="s">
        <v>3296</v>
      </c>
      <c r="K564" s="4" t="s">
        <v>3599</v>
      </c>
      <c r="L564" s="73">
        <v>29600000</v>
      </c>
      <c r="M564" s="73">
        <v>29600000</v>
      </c>
      <c r="N564" s="73">
        <v>29600000</v>
      </c>
      <c r="O564" s="73">
        <v>23600000</v>
      </c>
      <c r="P564" s="73">
        <v>23600000</v>
      </c>
      <c r="Q564" s="73">
        <v>23600000</v>
      </c>
      <c r="R564" s="73">
        <v>23600000</v>
      </c>
      <c r="S564" s="73">
        <v>23600000</v>
      </c>
      <c r="T564" s="73">
        <v>23600000</v>
      </c>
      <c r="U564" s="73">
        <v>23600000</v>
      </c>
      <c r="V564" s="73">
        <v>23600000</v>
      </c>
      <c r="W564" s="73">
        <v>23600000</v>
      </c>
      <c r="X564" s="1864">
        <f t="shared" ref="X564:X627" si="20">SUM(L564:W564)</f>
        <v>301200000</v>
      </c>
      <c r="Y564" s="23">
        <f t="shared" si="19"/>
        <v>0</v>
      </c>
    </row>
    <row r="565" spans="1:25" x14ac:dyDescent="0.25">
      <c r="A565" s="1"/>
      <c r="B565" s="1"/>
      <c r="C565" s="1"/>
      <c r="D565" s="1"/>
      <c r="E565" s="1"/>
      <c r="F565" s="1"/>
      <c r="G565" s="1489" t="s">
        <v>3390</v>
      </c>
      <c r="H565" s="4" t="str">
        <f>'Bid 2b'!B2209</f>
        <v>Belanja Honorarium Petugas</v>
      </c>
      <c r="I565" s="73">
        <f>'Bid 2b'!F2215</f>
        <v>54000000</v>
      </c>
      <c r="J565" s="4" t="s">
        <v>1223</v>
      </c>
      <c r="K565" s="4" t="s">
        <v>3599</v>
      </c>
      <c r="L565" s="73"/>
      <c r="M565" s="73"/>
      <c r="N565" s="73"/>
      <c r="O565" s="73">
        <v>6000000</v>
      </c>
      <c r="P565" s="73">
        <v>6000000</v>
      </c>
      <c r="Q565" s="73">
        <v>6000000</v>
      </c>
      <c r="R565" s="73">
        <v>6000000</v>
      </c>
      <c r="S565" s="73">
        <v>6000000</v>
      </c>
      <c r="T565" s="73">
        <v>6000000</v>
      </c>
      <c r="U565" s="73">
        <v>6000000</v>
      </c>
      <c r="V565" s="73">
        <v>6000000</v>
      </c>
      <c r="W565" s="73">
        <v>6000000</v>
      </c>
      <c r="X565" s="1864">
        <f t="shared" si="20"/>
        <v>54000000</v>
      </c>
      <c r="Y565" s="23">
        <f t="shared" si="19"/>
        <v>0</v>
      </c>
    </row>
    <row r="566" spans="1:25" ht="30" x14ac:dyDescent="0.25">
      <c r="A566" s="1"/>
      <c r="B566" s="1"/>
      <c r="C566" s="1"/>
      <c r="D566" s="1">
        <v>5</v>
      </c>
      <c r="E566" s="1">
        <v>2</v>
      </c>
      <c r="F566" s="1">
        <v>5</v>
      </c>
      <c r="G566" s="1"/>
      <c r="H566" s="4" t="str">
        <f>'Bid 2b'!B2216</f>
        <v>Belanja Operasional Pekantoran</v>
      </c>
      <c r="I566" s="73"/>
      <c r="J566" s="4"/>
      <c r="K566" s="4" t="s">
        <v>3599</v>
      </c>
      <c r="L566" s="73"/>
      <c r="M566" s="73"/>
      <c r="N566" s="73"/>
      <c r="O566" s="73"/>
      <c r="P566" s="73"/>
      <c r="Q566" s="73"/>
      <c r="R566" s="73"/>
      <c r="S566" s="73"/>
      <c r="T566" s="73"/>
      <c r="U566" s="73"/>
      <c r="V566" s="73"/>
      <c r="W566" s="73"/>
      <c r="X566" s="1864">
        <f t="shared" si="20"/>
        <v>0</v>
      </c>
      <c r="Y566" s="23">
        <f t="shared" si="19"/>
        <v>0</v>
      </c>
    </row>
    <row r="567" spans="1:25" ht="30" x14ac:dyDescent="0.25">
      <c r="A567" s="1"/>
      <c r="B567" s="1"/>
      <c r="C567" s="1"/>
      <c r="D567" s="1"/>
      <c r="E567" s="1"/>
      <c r="F567" s="1"/>
      <c r="G567" s="1489" t="s">
        <v>3392</v>
      </c>
      <c r="H567" s="4" t="str">
        <f>'Bid 2b'!B2217</f>
        <v>Belanja Berpanjang Ijin/Pajak</v>
      </c>
      <c r="I567" s="73">
        <f>SUM('Bid 2b'!F2218:F2221)</f>
        <v>25967020</v>
      </c>
      <c r="J567" s="4" t="s">
        <v>1220</v>
      </c>
      <c r="K567" s="4" t="s">
        <v>3599</v>
      </c>
      <c r="L567" s="73"/>
      <c r="M567" s="73"/>
      <c r="N567" s="73"/>
      <c r="O567" s="73"/>
      <c r="P567" s="73"/>
      <c r="Q567" s="73">
        <v>12983510</v>
      </c>
      <c r="R567" s="73">
        <v>12983510</v>
      </c>
      <c r="S567" s="73"/>
      <c r="T567" s="73"/>
      <c r="U567" s="73"/>
      <c r="V567" s="73"/>
      <c r="W567" s="73"/>
      <c r="X567" s="1864">
        <f t="shared" si="20"/>
        <v>25967020</v>
      </c>
      <c r="Y567" s="23">
        <f t="shared" si="19"/>
        <v>0</v>
      </c>
    </row>
    <row r="568" spans="1:25" ht="30" x14ac:dyDescent="0.25">
      <c r="A568" s="1"/>
      <c r="B568" s="1"/>
      <c r="C568" s="1"/>
      <c r="D568" s="1"/>
      <c r="E568" s="1"/>
      <c r="F568" s="1"/>
      <c r="G568" s="1489" t="s">
        <v>3392</v>
      </c>
      <c r="H568" s="4" t="str">
        <f>'Bid 2b'!B2217</f>
        <v>Belanja Berpanjang Ijin/Pajak</v>
      </c>
      <c r="I568" s="73">
        <f>'Bid 2b'!F2222</f>
        <v>2000000</v>
      </c>
      <c r="J568" s="4" t="s">
        <v>2253</v>
      </c>
      <c r="K568" s="4" t="s">
        <v>3599</v>
      </c>
      <c r="L568" s="73"/>
      <c r="M568" s="73">
        <v>2000000</v>
      </c>
      <c r="N568" s="73"/>
      <c r="O568" s="73"/>
      <c r="P568" s="73"/>
      <c r="Q568" s="73"/>
      <c r="R568" s="73"/>
      <c r="S568" s="73"/>
      <c r="T568" s="73"/>
      <c r="U568" s="73"/>
      <c r="V568" s="73"/>
      <c r="W568" s="73"/>
      <c r="X568" s="1864">
        <f t="shared" si="20"/>
        <v>2000000</v>
      </c>
      <c r="Y568" s="23">
        <f t="shared" si="19"/>
        <v>0</v>
      </c>
    </row>
    <row r="569" spans="1:25" x14ac:dyDescent="0.25">
      <c r="A569" s="1"/>
      <c r="B569" s="1"/>
      <c r="C569" s="1"/>
      <c r="D569" s="1">
        <v>5</v>
      </c>
      <c r="E569" s="1">
        <v>2</v>
      </c>
      <c r="F569" s="1">
        <v>6</v>
      </c>
      <c r="G569" s="1"/>
      <c r="H569" s="4" t="str">
        <f>'Bid 2b'!B2223</f>
        <v>Belanja Pemeliharaan</v>
      </c>
      <c r="I569" s="73"/>
      <c r="J569" s="4"/>
      <c r="K569" s="4" t="s">
        <v>3599</v>
      </c>
      <c r="L569" s="73"/>
      <c r="M569" s="73"/>
      <c r="N569" s="73"/>
      <c r="O569" s="73"/>
      <c r="P569" s="73"/>
      <c r="Q569" s="73"/>
      <c r="R569" s="73"/>
      <c r="S569" s="73"/>
      <c r="T569" s="73"/>
      <c r="U569" s="73"/>
      <c r="V569" s="73"/>
      <c r="W569" s="73"/>
      <c r="X569" s="1864">
        <f t="shared" si="20"/>
        <v>0</v>
      </c>
      <c r="Y569" s="23">
        <f t="shared" si="19"/>
        <v>0</v>
      </c>
    </row>
    <row r="570" spans="1:25" ht="30" x14ac:dyDescent="0.25">
      <c r="A570" s="1"/>
      <c r="B570" s="1"/>
      <c r="C570" s="1"/>
      <c r="D570" s="1"/>
      <c r="E570" s="1"/>
      <c r="F570" s="1"/>
      <c r="G570" s="1489" t="s">
        <v>3386</v>
      </c>
      <c r="H570" s="4" t="str">
        <f>'Bid 2b'!B2224</f>
        <v>Belanja Pemeliharaan Kendaraan Bermotor</v>
      </c>
      <c r="I570" s="73">
        <f>'Bid 2b'!F2225+'Bid 2b'!F2226+'Bid 2b'!F2227+'Bid 2b'!F2228+'Bid 2b'!F2229+'Bid 2b'!F2231+'Bid 2b'!F2232+'Bid 2b'!F2233</f>
        <v>92500000</v>
      </c>
      <c r="J570" s="4" t="s">
        <v>1220</v>
      </c>
      <c r="K570" s="4" t="s">
        <v>3599</v>
      </c>
      <c r="L570" s="73">
        <v>7708000</v>
      </c>
      <c r="M570" s="73">
        <v>7708000</v>
      </c>
      <c r="N570" s="73">
        <v>7708000</v>
      </c>
      <c r="O570" s="73">
        <v>7708000</v>
      </c>
      <c r="P570" s="73">
        <v>7708000</v>
      </c>
      <c r="Q570" s="73">
        <v>7708000</v>
      </c>
      <c r="R570" s="73">
        <v>7708000</v>
      </c>
      <c r="S570" s="73">
        <v>7708000</v>
      </c>
      <c r="T570" s="73">
        <v>7708000</v>
      </c>
      <c r="U570" s="73">
        <v>7708000</v>
      </c>
      <c r="V570" s="73">
        <v>7708000</v>
      </c>
      <c r="W570" s="73">
        <v>7712000</v>
      </c>
      <c r="X570" s="1864">
        <f t="shared" si="20"/>
        <v>92500000</v>
      </c>
      <c r="Y570" s="23">
        <f t="shared" si="19"/>
        <v>0</v>
      </c>
    </row>
    <row r="571" spans="1:25" ht="30" x14ac:dyDescent="0.25">
      <c r="A571" s="1"/>
      <c r="B571" s="1"/>
      <c r="C571" s="1"/>
      <c r="D571" s="1"/>
      <c r="E571" s="1"/>
      <c r="F571" s="1"/>
      <c r="G571" s="1489" t="s">
        <v>3386</v>
      </c>
      <c r="H571" s="4" t="str">
        <f>'Bid 2b'!B2224</f>
        <v>Belanja Pemeliharaan Kendaraan Bermotor</v>
      </c>
      <c r="I571" s="73">
        <f>'Bid 2b'!F2230</f>
        <v>20000000</v>
      </c>
      <c r="J571" s="4" t="s">
        <v>3296</v>
      </c>
      <c r="K571" s="4" t="s">
        <v>3599</v>
      </c>
      <c r="L571" s="73"/>
      <c r="M571" s="73">
        <v>20000000</v>
      </c>
      <c r="N571" s="73"/>
      <c r="O571" s="73"/>
      <c r="P571" s="73"/>
      <c r="Q571" s="73"/>
      <c r="R571" s="73"/>
      <c r="S571" s="73"/>
      <c r="T571" s="73"/>
      <c r="U571" s="73"/>
      <c r="V571" s="73"/>
      <c r="W571" s="73"/>
      <c r="X571" s="1864">
        <f t="shared" si="20"/>
        <v>20000000</v>
      </c>
      <c r="Y571" s="23">
        <f t="shared" si="19"/>
        <v>0</v>
      </c>
    </row>
    <row r="572" spans="1:25" ht="45" x14ac:dyDescent="0.25">
      <c r="A572" s="865">
        <v>2</v>
      </c>
      <c r="B572" s="865">
        <v>4</v>
      </c>
      <c r="C572" s="1490" t="s">
        <v>3392</v>
      </c>
      <c r="D572" s="865"/>
      <c r="E572" s="865"/>
      <c r="F572" s="865"/>
      <c r="G572" s="865"/>
      <c r="H572" s="1061" t="str">
        <f>'Bid 2b'!B2250</f>
        <v>: Kegiatan Pengelolaan Sampah Tingkat Desa (Oprasional TPS3R)</v>
      </c>
      <c r="I572" s="1063">
        <f>SUM(I573:I591)</f>
        <v>268499300</v>
      </c>
      <c r="J572" s="865"/>
      <c r="K572" s="1061" t="s">
        <v>3599</v>
      </c>
      <c r="L572" s="1063"/>
      <c r="M572" s="1063"/>
      <c r="N572" s="1063"/>
      <c r="O572" s="1063"/>
      <c r="P572" s="1063"/>
      <c r="Q572" s="1063"/>
      <c r="R572" s="1063"/>
      <c r="S572" s="1063"/>
      <c r="T572" s="1063"/>
      <c r="U572" s="1063"/>
      <c r="V572" s="1063"/>
      <c r="W572" s="1063"/>
      <c r="X572" s="1866">
        <f t="shared" si="20"/>
        <v>0</v>
      </c>
      <c r="Y572" s="23">
        <f t="shared" si="19"/>
        <v>-268499300</v>
      </c>
    </row>
    <row r="573" spans="1:25" x14ac:dyDescent="0.25">
      <c r="A573" s="1"/>
      <c r="B573" s="1"/>
      <c r="C573" s="1"/>
      <c r="D573" s="1"/>
      <c r="E573" s="1"/>
      <c r="F573" s="1"/>
      <c r="G573" s="1"/>
      <c r="H573" s="4" t="str">
        <f>'Bid 2b'!B2254</f>
        <v>Oprasional TPS 3R</v>
      </c>
      <c r="I573" s="73"/>
      <c r="J573" s="1"/>
      <c r="K573" s="4" t="s">
        <v>3599</v>
      </c>
      <c r="L573" s="73"/>
      <c r="M573" s="73"/>
      <c r="N573" s="73"/>
      <c r="O573" s="73"/>
      <c r="P573" s="73"/>
      <c r="Q573" s="73"/>
      <c r="R573" s="73"/>
      <c r="S573" s="73"/>
      <c r="T573" s="73"/>
      <c r="U573" s="73"/>
      <c r="V573" s="73"/>
      <c r="W573" s="73"/>
      <c r="X573" s="1864">
        <f t="shared" si="20"/>
        <v>0</v>
      </c>
      <c r="Y573" s="23">
        <f t="shared" si="19"/>
        <v>0</v>
      </c>
    </row>
    <row r="574" spans="1:25" x14ac:dyDescent="0.25">
      <c r="A574" s="1"/>
      <c r="B574" s="1"/>
      <c r="C574" s="1"/>
      <c r="D574" s="1">
        <v>5</v>
      </c>
      <c r="E574" s="1">
        <v>2</v>
      </c>
      <c r="F574" s="1"/>
      <c r="G574" s="1"/>
      <c r="H574" s="4" t="str">
        <f>'Bid 2b'!B2255</f>
        <v>Belanja Barang Jasa</v>
      </c>
      <c r="I574" s="73"/>
      <c r="J574" s="1"/>
      <c r="K574" s="4" t="s">
        <v>3599</v>
      </c>
      <c r="L574" s="73"/>
      <c r="M574" s="73"/>
      <c r="N574" s="73"/>
      <c r="O574" s="73"/>
      <c r="P574" s="73"/>
      <c r="Q574" s="73"/>
      <c r="R574" s="73"/>
      <c r="S574" s="73"/>
      <c r="T574" s="73"/>
      <c r="U574" s="73"/>
      <c r="V574" s="73"/>
      <c r="W574" s="73"/>
      <c r="X574" s="1864">
        <f t="shared" si="20"/>
        <v>0</v>
      </c>
      <c r="Y574" s="23">
        <f t="shared" si="19"/>
        <v>0</v>
      </c>
    </row>
    <row r="575" spans="1:25" ht="30" x14ac:dyDescent="0.25">
      <c r="A575" s="1"/>
      <c r="B575" s="1"/>
      <c r="C575" s="1"/>
      <c r="D575" s="1"/>
      <c r="E575" s="1"/>
      <c r="F575" s="1">
        <v>1</v>
      </c>
      <c r="G575" s="1"/>
      <c r="H575" s="4" t="str">
        <f>'Bid 2b'!B2256</f>
        <v>Belanja Barang Perlengkapan</v>
      </c>
      <c r="I575" s="73"/>
      <c r="J575" s="1"/>
      <c r="K575" s="4" t="s">
        <v>3599</v>
      </c>
      <c r="L575" s="73"/>
      <c r="M575" s="73"/>
      <c r="N575" s="73"/>
      <c r="O575" s="73"/>
      <c r="P575" s="73"/>
      <c r="Q575" s="73"/>
      <c r="R575" s="73"/>
      <c r="S575" s="73"/>
      <c r="T575" s="73"/>
      <c r="U575" s="73"/>
      <c r="V575" s="73"/>
      <c r="W575" s="73"/>
      <c r="X575" s="1864">
        <f t="shared" si="20"/>
        <v>0</v>
      </c>
      <c r="Y575" s="23">
        <f t="shared" si="19"/>
        <v>0</v>
      </c>
    </row>
    <row r="576" spans="1:25" ht="30" x14ac:dyDescent="0.25">
      <c r="A576" s="1"/>
      <c r="B576" s="1"/>
      <c r="C576" s="1"/>
      <c r="D576" s="1"/>
      <c r="E576" s="1"/>
      <c r="F576" s="1"/>
      <c r="G576" s="1489" t="s">
        <v>3366</v>
      </c>
      <c r="H576" s="4" t="str">
        <f>'Bid 2b'!B2257</f>
        <v>Belanja Perlengkapan Alat Tulis Kantor</v>
      </c>
      <c r="I576" s="73">
        <f>SUM('Bid 2b'!F2258:F2260)</f>
        <v>666000</v>
      </c>
      <c r="J576" s="1" t="s">
        <v>1220</v>
      </c>
      <c r="K576" s="4" t="s">
        <v>3599</v>
      </c>
      <c r="L576" s="73">
        <v>666000</v>
      </c>
      <c r="M576" s="73"/>
      <c r="N576" s="73"/>
      <c r="O576" s="73"/>
      <c r="P576" s="73"/>
      <c r="Q576" s="73"/>
      <c r="R576" s="73"/>
      <c r="S576" s="73"/>
      <c r="T576" s="73"/>
      <c r="U576" s="73"/>
      <c r="V576" s="73"/>
      <c r="W576" s="73"/>
      <c r="X576" s="1864">
        <f t="shared" si="20"/>
        <v>666000</v>
      </c>
      <c r="Y576" s="23">
        <f t="shared" si="19"/>
        <v>0</v>
      </c>
    </row>
    <row r="577" spans="1:27" ht="45" x14ac:dyDescent="0.25">
      <c r="A577" s="1"/>
      <c r="B577" s="1"/>
      <c r="C577" s="1"/>
      <c r="D577" s="1"/>
      <c r="E577" s="1"/>
      <c r="F577" s="1"/>
      <c r="G577" s="1489" t="s">
        <v>3389</v>
      </c>
      <c r="H577" s="4" t="str">
        <f>'Bid 2b'!B2261</f>
        <v>Belanja Bahan Bakar Minyak/Gas/Isi Ulang Tabung Pemadam Kebakaran</v>
      </c>
      <c r="I577" s="73">
        <f>'Bid 2b'!F2262</f>
        <v>240000</v>
      </c>
      <c r="J577" s="1" t="s">
        <v>1220</v>
      </c>
      <c r="K577" s="4" t="s">
        <v>3599</v>
      </c>
      <c r="L577" s="73">
        <v>20000</v>
      </c>
      <c r="M577" s="73">
        <v>20000</v>
      </c>
      <c r="N577" s="73">
        <v>20000</v>
      </c>
      <c r="O577" s="73">
        <v>20000</v>
      </c>
      <c r="P577" s="73">
        <v>20000</v>
      </c>
      <c r="Q577" s="73">
        <v>20000</v>
      </c>
      <c r="R577" s="73">
        <v>20000</v>
      </c>
      <c r="S577" s="73">
        <v>20000</v>
      </c>
      <c r="T577" s="73">
        <v>20000</v>
      </c>
      <c r="U577" s="73">
        <v>20000</v>
      </c>
      <c r="V577" s="73">
        <v>20000</v>
      </c>
      <c r="W577" s="73">
        <v>20000</v>
      </c>
      <c r="X577" s="1864">
        <f t="shared" si="20"/>
        <v>240000</v>
      </c>
      <c r="Y577" s="23">
        <f t="shared" si="19"/>
        <v>0</v>
      </c>
    </row>
    <row r="578" spans="1:27" ht="60" x14ac:dyDescent="0.25">
      <c r="A578" s="1"/>
      <c r="B578" s="1"/>
      <c r="C578" s="1"/>
      <c r="D578" s="1"/>
      <c r="E578" s="1"/>
      <c r="F578" s="1"/>
      <c r="G578" s="1489" t="s">
        <v>3388</v>
      </c>
      <c r="H578" s="4" t="str">
        <f>'Bid 2b'!B2263</f>
        <v>Belanja Perlengkapan Alat-alat Rumah Tangga/Peralatan dan Bahan Kebersihan</v>
      </c>
      <c r="I578" s="73">
        <f>SUM('Bid 2b'!F2264:F2273)</f>
        <v>2586000</v>
      </c>
      <c r="J578" s="1" t="s">
        <v>1220</v>
      </c>
      <c r="K578" s="4" t="s">
        <v>3599</v>
      </c>
      <c r="L578" s="73">
        <v>2586000</v>
      </c>
      <c r="M578" s="73"/>
      <c r="N578" s="73"/>
      <c r="O578" s="73"/>
      <c r="P578" s="73"/>
      <c r="Q578" s="73"/>
      <c r="R578" s="73"/>
      <c r="S578" s="73"/>
      <c r="T578" s="73"/>
      <c r="U578" s="73"/>
      <c r="V578" s="73"/>
      <c r="W578" s="73"/>
      <c r="X578" s="1864">
        <f t="shared" si="20"/>
        <v>2586000</v>
      </c>
      <c r="Y578" s="23">
        <f t="shared" si="19"/>
        <v>0</v>
      </c>
    </row>
    <row r="579" spans="1:27" ht="30" x14ac:dyDescent="0.25">
      <c r="A579" s="1"/>
      <c r="B579" s="1"/>
      <c r="C579" s="1"/>
      <c r="D579" s="1"/>
      <c r="E579" s="1"/>
      <c r="F579" s="1"/>
      <c r="G579" s="1489" t="s">
        <v>3388</v>
      </c>
      <c r="H579" s="4" t="str">
        <f>'Bid 2b'!B2274</f>
        <v>Belanja Upakara, Upacara dan Aci aci</v>
      </c>
      <c r="I579" s="73">
        <f>SUM('Bid 2b'!F2275:F2281)</f>
        <v>8792000</v>
      </c>
      <c r="J579" s="4" t="s">
        <v>3295</v>
      </c>
      <c r="K579" s="4" t="s">
        <v>3599</v>
      </c>
      <c r="L579" s="73">
        <v>700000</v>
      </c>
      <c r="M579" s="73">
        <v>700000</v>
      </c>
      <c r="N579" s="73">
        <v>700000</v>
      </c>
      <c r="O579" s="73">
        <v>700000</v>
      </c>
      <c r="P579" s="73">
        <v>700000</v>
      </c>
      <c r="Q579" s="73">
        <v>700000</v>
      </c>
      <c r="R579" s="73">
        <v>700000</v>
      </c>
      <c r="S579" s="73">
        <v>700000</v>
      </c>
      <c r="T579" s="73">
        <v>700000</v>
      </c>
      <c r="U579" s="73">
        <v>700000</v>
      </c>
      <c r="V579" s="73">
        <v>700000</v>
      </c>
      <c r="W579" s="73">
        <v>1092000</v>
      </c>
      <c r="X579" s="1864">
        <f t="shared" si="20"/>
        <v>8792000</v>
      </c>
      <c r="Y579" s="23">
        <f t="shared" si="19"/>
        <v>0</v>
      </c>
    </row>
    <row r="580" spans="1:27" x14ac:dyDescent="0.25">
      <c r="A580" s="1"/>
      <c r="B580" s="1"/>
      <c r="C580" s="1"/>
      <c r="D580" s="1"/>
      <c r="E580" s="1"/>
      <c r="F580" s="1"/>
      <c r="G580" s="1489" t="s">
        <v>3392</v>
      </c>
      <c r="H580" s="4" t="str">
        <f>'Bid 2b'!B2282</f>
        <v>Belanja Bahan Material</v>
      </c>
      <c r="I580" s="73">
        <f>SUM('Bid 2b'!F2283:F2293)</f>
        <v>13596500</v>
      </c>
      <c r="J580" s="1" t="s">
        <v>1220</v>
      </c>
      <c r="K580" s="4" t="s">
        <v>3599</v>
      </c>
      <c r="L580" s="73"/>
      <c r="M580" s="73">
        <v>13596500</v>
      </c>
      <c r="N580" s="73"/>
      <c r="O580" s="73"/>
      <c r="P580" s="73"/>
      <c r="Q580" s="73"/>
      <c r="R580" s="73"/>
      <c r="S580" s="73"/>
      <c r="T580" s="73"/>
      <c r="U580" s="73"/>
      <c r="V580" s="73"/>
      <c r="W580" s="73"/>
      <c r="X580" s="1864">
        <f t="shared" si="20"/>
        <v>13596500</v>
      </c>
      <c r="Y580" s="23">
        <f t="shared" si="19"/>
        <v>0</v>
      </c>
    </row>
    <row r="581" spans="1:27" x14ac:dyDescent="0.25">
      <c r="A581" s="1"/>
      <c r="B581" s="1"/>
      <c r="C581" s="1"/>
      <c r="D581" s="1"/>
      <c r="E581" s="1"/>
      <c r="F581" s="1"/>
      <c r="G581" s="1489" t="s">
        <v>3392</v>
      </c>
      <c r="H581" s="4" t="str">
        <f>'Bid 2b'!B2294</f>
        <v>Belanja Seragam Atribut</v>
      </c>
      <c r="I581" s="73">
        <f>SUM('Bid 2b'!F2295:F2298)</f>
        <v>5992000</v>
      </c>
      <c r="J581" s="1" t="s">
        <v>1220</v>
      </c>
      <c r="K581" s="4" t="s">
        <v>3599</v>
      </c>
      <c r="L581" s="73">
        <v>5992000</v>
      </c>
      <c r="M581" s="73"/>
      <c r="N581" s="73"/>
      <c r="O581" s="73"/>
      <c r="P581" s="73"/>
      <c r="Q581" s="73"/>
      <c r="R581" s="73"/>
      <c r="S581" s="73"/>
      <c r="T581" s="73"/>
      <c r="U581" s="73"/>
      <c r="V581" s="73"/>
      <c r="W581" s="73"/>
      <c r="X581" s="1864">
        <f t="shared" si="20"/>
        <v>5992000</v>
      </c>
      <c r="Y581" s="23">
        <f t="shared" si="19"/>
        <v>0</v>
      </c>
    </row>
    <row r="582" spans="1:27" x14ac:dyDescent="0.25">
      <c r="A582" s="1"/>
      <c r="B582" s="1"/>
      <c r="C582" s="1"/>
      <c r="D582" s="1">
        <v>5</v>
      </c>
      <c r="E582" s="1">
        <v>2</v>
      </c>
      <c r="F582" s="1">
        <v>1</v>
      </c>
      <c r="G582" s="1489" t="s">
        <v>3419</v>
      </c>
      <c r="H582" s="4" t="str">
        <f>'Bid 2b'!B2299</f>
        <v>Belanja Obat -obat Pertanian</v>
      </c>
      <c r="I582" s="73">
        <f>'Bid 2b'!F2300+'Bid 2b'!F2301</f>
        <v>4546800</v>
      </c>
      <c r="J582" s="1" t="s">
        <v>1220</v>
      </c>
      <c r="K582" s="4" t="s">
        <v>3599</v>
      </c>
      <c r="L582" s="73">
        <v>4546800</v>
      </c>
      <c r="M582" s="73"/>
      <c r="N582" s="73"/>
      <c r="O582" s="73"/>
      <c r="P582" s="73"/>
      <c r="Q582" s="73"/>
      <c r="R582" s="73"/>
      <c r="S582" s="73"/>
      <c r="T582" s="73"/>
      <c r="U582" s="73"/>
      <c r="V582" s="73"/>
      <c r="W582" s="73"/>
      <c r="X582" s="1864">
        <f t="shared" si="20"/>
        <v>4546800</v>
      </c>
      <c r="Y582" s="23">
        <f t="shared" si="19"/>
        <v>0</v>
      </c>
    </row>
    <row r="583" spans="1:27" x14ac:dyDescent="0.25">
      <c r="A583" s="1"/>
      <c r="B583" s="1"/>
      <c r="C583" s="1"/>
      <c r="D583" s="1">
        <v>5</v>
      </c>
      <c r="E583" s="1">
        <v>2</v>
      </c>
      <c r="F583" s="1">
        <v>2</v>
      </c>
      <c r="G583" s="1489"/>
      <c r="H583" s="4" t="str">
        <f>'Bid 2b'!B2302</f>
        <v>Belanja Honorarium</v>
      </c>
      <c r="I583" s="73"/>
      <c r="J583" s="1"/>
      <c r="K583" s="4" t="s">
        <v>3599</v>
      </c>
      <c r="L583" s="73"/>
      <c r="M583" s="73"/>
      <c r="N583" s="73"/>
      <c r="O583" s="73"/>
      <c r="P583" s="73"/>
      <c r="Q583" s="73"/>
      <c r="R583" s="73"/>
      <c r="S583" s="73"/>
      <c r="T583" s="73"/>
      <c r="U583" s="73"/>
      <c r="V583" s="73"/>
      <c r="W583" s="73"/>
      <c r="X583" s="1864">
        <f t="shared" si="20"/>
        <v>0</v>
      </c>
      <c r="Y583" s="23">
        <f t="shared" si="19"/>
        <v>0</v>
      </c>
    </row>
    <row r="584" spans="1:27" x14ac:dyDescent="0.25">
      <c r="A584" s="1"/>
      <c r="B584" s="1"/>
      <c r="C584" s="1"/>
      <c r="D584" s="1"/>
      <c r="E584" s="1"/>
      <c r="F584" s="1"/>
      <c r="G584" s="1489" t="s">
        <v>3390</v>
      </c>
      <c r="H584" s="4" t="str">
        <f>'Bid 2b'!B2302</f>
        <v>Belanja Honorarium</v>
      </c>
      <c r="I584" s="73"/>
      <c r="J584" s="1"/>
      <c r="K584" s="4" t="s">
        <v>3599</v>
      </c>
      <c r="L584" s="73"/>
      <c r="M584" s="73"/>
      <c r="N584" s="73"/>
      <c r="O584" s="73"/>
      <c r="P584" s="73"/>
      <c r="Q584" s="73"/>
      <c r="R584" s="73"/>
      <c r="S584" s="73"/>
      <c r="T584" s="73"/>
      <c r="U584" s="73"/>
      <c r="V584" s="73"/>
      <c r="W584" s="73"/>
      <c r="X584" s="1864">
        <f t="shared" si="20"/>
        <v>0</v>
      </c>
      <c r="Y584" s="23">
        <f t="shared" si="19"/>
        <v>0</v>
      </c>
    </row>
    <row r="585" spans="1:27" ht="30" x14ac:dyDescent="0.25">
      <c r="A585" s="1"/>
      <c r="B585" s="1"/>
      <c r="C585" s="1"/>
      <c r="D585" s="1"/>
      <c r="E585" s="1"/>
      <c r="F585" s="1"/>
      <c r="G585" s="1"/>
      <c r="H585" s="4" t="str">
        <f>'Bid 2b'!B2303</f>
        <v>Honor Petugas</v>
      </c>
      <c r="I585" s="73">
        <f>'Bid 2b'!F2304+'Bid 2b'!F2306+'Bid 2b'!F2308+'Bid 2b'!F2310</f>
        <v>42900000</v>
      </c>
      <c r="J585" s="4" t="s">
        <v>1777</v>
      </c>
      <c r="K585" s="4" t="s">
        <v>3599</v>
      </c>
      <c r="L585" s="73">
        <v>14300000</v>
      </c>
      <c r="M585" s="73">
        <v>14300000</v>
      </c>
      <c r="N585" s="73">
        <v>14300000</v>
      </c>
      <c r="O585" s="73"/>
      <c r="P585" s="73"/>
      <c r="Q585" s="73"/>
      <c r="R585" s="73"/>
      <c r="S585" s="73"/>
      <c r="T585" s="73"/>
      <c r="U585" s="73"/>
      <c r="V585" s="73"/>
      <c r="W585" s="73"/>
      <c r="X585" s="1864">
        <f t="shared" si="20"/>
        <v>42900000</v>
      </c>
      <c r="Y585" s="23">
        <f t="shared" si="19"/>
        <v>0</v>
      </c>
    </row>
    <row r="586" spans="1:27" x14ac:dyDescent="0.25">
      <c r="A586" s="1"/>
      <c r="B586" s="1"/>
      <c r="C586" s="1"/>
      <c r="D586" s="1"/>
      <c r="E586" s="1"/>
      <c r="F586" s="1"/>
      <c r="G586" s="1"/>
      <c r="H586" s="4" t="str">
        <f>'Bid 2b'!B2303</f>
        <v>Honor Petugas</v>
      </c>
      <c r="I586" s="73">
        <f>'Bid 2b'!F2305+'Bid 2b'!F2307+'Bid 2b'!F2309+'Bid 2b'!F2311</f>
        <v>128700000</v>
      </c>
      <c r="J586" s="1" t="s">
        <v>1220</v>
      </c>
      <c r="K586" s="4" t="s">
        <v>3599</v>
      </c>
      <c r="L586" s="73"/>
      <c r="M586" s="73"/>
      <c r="N586" s="73"/>
      <c r="O586" s="73">
        <v>14300000</v>
      </c>
      <c r="P586" s="73">
        <v>14300000</v>
      </c>
      <c r="Q586" s="73">
        <v>14300000</v>
      </c>
      <c r="R586" s="73">
        <v>14300000</v>
      </c>
      <c r="S586" s="73">
        <v>14300000</v>
      </c>
      <c r="T586" s="73">
        <v>14300000</v>
      </c>
      <c r="U586" s="73">
        <v>14300000</v>
      </c>
      <c r="V586" s="73">
        <v>14300000</v>
      </c>
      <c r="W586" s="73">
        <v>14300000</v>
      </c>
      <c r="X586" s="1864">
        <f t="shared" si="20"/>
        <v>128700000</v>
      </c>
      <c r="Y586" s="23">
        <f t="shared" si="19"/>
        <v>0</v>
      </c>
    </row>
    <row r="587" spans="1:27" ht="30" x14ac:dyDescent="0.25">
      <c r="A587" s="1"/>
      <c r="B587" s="1"/>
      <c r="C587" s="1"/>
      <c r="D587" s="1">
        <v>5</v>
      </c>
      <c r="E587" s="1">
        <v>2</v>
      </c>
      <c r="F587" s="1">
        <v>5</v>
      </c>
      <c r="G587" s="1"/>
      <c r="H587" s="4" t="str">
        <f>'Bid 2b'!B2312</f>
        <v>Belanja Operasional pekantoran</v>
      </c>
      <c r="I587" s="73"/>
      <c r="J587" s="1"/>
      <c r="K587" s="4" t="s">
        <v>3599</v>
      </c>
      <c r="L587" s="73"/>
      <c r="M587" s="73"/>
      <c r="N587" s="73"/>
      <c r="O587" s="73"/>
      <c r="P587" s="73"/>
      <c r="Q587" s="73"/>
      <c r="R587" s="73"/>
      <c r="S587" s="73"/>
      <c r="T587" s="73"/>
      <c r="U587" s="73"/>
      <c r="V587" s="73"/>
      <c r="W587" s="73"/>
      <c r="X587" s="1864">
        <f t="shared" si="20"/>
        <v>0</v>
      </c>
      <c r="Y587" s="23">
        <f t="shared" si="19"/>
        <v>0</v>
      </c>
    </row>
    <row r="588" spans="1:27" x14ac:dyDescent="0.25">
      <c r="A588" s="1"/>
      <c r="B588" s="1"/>
      <c r="C588" s="1"/>
      <c r="D588" s="1"/>
      <c r="E588" s="1"/>
      <c r="F588" s="1"/>
      <c r="G588" s="1489" t="s">
        <v>3366</v>
      </c>
      <c r="H588" s="4" t="str">
        <f>'Bid 2b'!B2313</f>
        <v>Belanja Langganan Listrik</v>
      </c>
      <c r="I588" s="73">
        <f>'Bid 2b'!F2314</f>
        <v>30000000</v>
      </c>
      <c r="J588" s="1" t="s">
        <v>1220</v>
      </c>
      <c r="K588" s="4" t="s">
        <v>3599</v>
      </c>
      <c r="L588" s="73">
        <v>2500000</v>
      </c>
      <c r="M588" s="73">
        <v>2500000</v>
      </c>
      <c r="N588" s="73">
        <v>2500000</v>
      </c>
      <c r="O588" s="73">
        <v>2500000</v>
      </c>
      <c r="P588" s="73">
        <v>2500000</v>
      </c>
      <c r="Q588" s="73">
        <v>2500000</v>
      </c>
      <c r="R588" s="73">
        <v>2500000</v>
      </c>
      <c r="S588" s="73">
        <v>2500000</v>
      </c>
      <c r="T588" s="73">
        <v>2500000</v>
      </c>
      <c r="U588" s="73">
        <v>2500000</v>
      </c>
      <c r="V588" s="73">
        <v>2500000</v>
      </c>
      <c r="W588" s="73">
        <v>2500000</v>
      </c>
      <c r="X588" s="1864">
        <f t="shared" si="20"/>
        <v>30000000</v>
      </c>
      <c r="Y588" s="23">
        <f t="shared" si="19"/>
        <v>0</v>
      </c>
    </row>
    <row r="589" spans="1:27" x14ac:dyDescent="0.25">
      <c r="A589" s="1"/>
      <c r="B589" s="1"/>
      <c r="C589" s="1"/>
      <c r="D589" s="1"/>
      <c r="E589" s="1"/>
      <c r="F589" s="1"/>
      <c r="G589" s="1489" t="s">
        <v>3386</v>
      </c>
      <c r="H589" s="4" t="str">
        <f>'Bid 2b'!B2315</f>
        <v>Belanja Langganan Air Bersih</v>
      </c>
      <c r="I589" s="73">
        <f>'Bid 2b'!F2316</f>
        <v>480000</v>
      </c>
      <c r="J589" s="1" t="s">
        <v>1220</v>
      </c>
      <c r="K589" s="4" t="s">
        <v>3599</v>
      </c>
      <c r="L589" s="73">
        <v>40000</v>
      </c>
      <c r="M589" s="73">
        <v>40000</v>
      </c>
      <c r="N589" s="73">
        <v>40000</v>
      </c>
      <c r="O589" s="73">
        <v>40000</v>
      </c>
      <c r="P589" s="73">
        <v>40000</v>
      </c>
      <c r="Q589" s="73">
        <v>40000</v>
      </c>
      <c r="R589" s="73">
        <v>40000</v>
      </c>
      <c r="S589" s="73">
        <v>40000</v>
      </c>
      <c r="T589" s="73">
        <v>40000</v>
      </c>
      <c r="U589" s="73">
        <v>40000</v>
      </c>
      <c r="V589" s="73">
        <v>40000</v>
      </c>
      <c r="W589" s="73">
        <v>40000</v>
      </c>
      <c r="X589" s="1864">
        <f t="shared" si="20"/>
        <v>480000</v>
      </c>
      <c r="Y589" s="23">
        <f t="shared" si="19"/>
        <v>0</v>
      </c>
    </row>
    <row r="590" spans="1:27" x14ac:dyDescent="0.25">
      <c r="A590" s="1"/>
      <c r="B590" s="1"/>
      <c r="C590" s="1"/>
      <c r="D590" s="1">
        <v>5</v>
      </c>
      <c r="E590" s="1">
        <v>2</v>
      </c>
      <c r="F590" s="1">
        <v>6</v>
      </c>
      <c r="G590" s="1"/>
      <c r="H590" s="4" t="str">
        <f>'Bid 2b'!B2317</f>
        <v>Belanja Pemeliharaan</v>
      </c>
      <c r="I590" s="73"/>
      <c r="J590" s="1"/>
      <c r="K590" s="4" t="s">
        <v>3599</v>
      </c>
      <c r="L590" s="73"/>
      <c r="M590" s="73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1864">
        <f t="shared" si="20"/>
        <v>0</v>
      </c>
      <c r="Y590" s="23">
        <f t="shared" si="19"/>
        <v>0</v>
      </c>
    </row>
    <row r="591" spans="1:27" ht="30" x14ac:dyDescent="0.25">
      <c r="A591" s="1"/>
      <c r="B591" s="1"/>
      <c r="C591" s="1"/>
      <c r="D591" s="1"/>
      <c r="E591" s="1"/>
      <c r="F591" s="1"/>
      <c r="G591" s="1489" t="s">
        <v>3366</v>
      </c>
      <c r="H591" s="4" t="str">
        <f>'Bid 2b'!B2318</f>
        <v>Belanja Pemeliharaan Mesin dan alat berat</v>
      </c>
      <c r="I591" s="73">
        <f>SUM('Bid 2b'!F2319:F2321)</f>
        <v>30000000</v>
      </c>
      <c r="J591" s="1" t="s">
        <v>1220</v>
      </c>
      <c r="K591" s="4" t="s">
        <v>3599</v>
      </c>
      <c r="L591" s="73">
        <v>1716475</v>
      </c>
      <c r="M591" s="73">
        <v>1910775</v>
      </c>
      <c r="N591" s="73">
        <v>15507275</v>
      </c>
      <c r="O591" s="68">
        <v>1207275</v>
      </c>
      <c r="P591" s="68">
        <v>1207275</v>
      </c>
      <c r="Q591" s="68">
        <v>1207275</v>
      </c>
      <c r="R591" s="68">
        <v>1207275</v>
      </c>
      <c r="S591" s="68">
        <v>1207275</v>
      </c>
      <c r="T591" s="68">
        <v>1207275</v>
      </c>
      <c r="U591" s="68">
        <v>1207275</v>
      </c>
      <c r="V591" s="68">
        <v>1207275</v>
      </c>
      <c r="W591" s="68">
        <v>1207275</v>
      </c>
      <c r="X591" s="1864">
        <f t="shared" si="20"/>
        <v>30000000</v>
      </c>
      <c r="Y591" s="23">
        <f t="shared" si="19"/>
        <v>0</v>
      </c>
      <c r="Z591" s="68"/>
      <c r="AA591" s="1867"/>
    </row>
    <row r="592" spans="1:27" ht="61.15" customHeight="1" x14ac:dyDescent="0.25">
      <c r="A592" s="865">
        <v>2</v>
      </c>
      <c r="B592" s="865">
        <v>4</v>
      </c>
      <c r="C592" s="1490" t="s">
        <v>3392</v>
      </c>
      <c r="D592" s="865"/>
      <c r="E592" s="865"/>
      <c r="F592" s="865"/>
      <c r="G592" s="865"/>
      <c r="H592" s="1061" t="str">
        <f>'Bid 2b'!B2340</f>
        <v>: Pemeiliharaan Fasilitas Pengelolaan Sampah Desa/ Pemukiman (Operasional Kegiatan Bank Sampah Desa)</v>
      </c>
      <c r="I592" s="1063">
        <f>SUM(I593:I600)</f>
        <v>45256000</v>
      </c>
      <c r="J592" s="865" t="s">
        <v>1220</v>
      </c>
      <c r="K592" s="1061" t="s">
        <v>3599</v>
      </c>
      <c r="L592" s="1063"/>
      <c r="M592" s="1063"/>
      <c r="N592" s="1063"/>
      <c r="O592" s="1063"/>
      <c r="P592" s="1063"/>
      <c r="Q592" s="1063"/>
      <c r="R592" s="1063"/>
      <c r="S592" s="1063"/>
      <c r="T592" s="1063"/>
      <c r="U592" s="1063"/>
      <c r="V592" s="1063"/>
      <c r="W592" s="1063"/>
      <c r="X592" s="1866">
        <f t="shared" si="20"/>
        <v>0</v>
      </c>
      <c r="Y592" s="23">
        <f t="shared" si="19"/>
        <v>-45256000</v>
      </c>
      <c r="AA592" s="68"/>
    </row>
    <row r="593" spans="1:25" x14ac:dyDescent="0.25">
      <c r="A593" s="1"/>
      <c r="B593" s="1"/>
      <c r="C593" s="1"/>
      <c r="D593" s="1">
        <v>5</v>
      </c>
      <c r="E593" s="1">
        <v>2</v>
      </c>
      <c r="F593" s="1"/>
      <c r="G593" s="1"/>
      <c r="H593" s="4" t="str">
        <f>'Bid 2b'!B2345</f>
        <v>Belanja Barang Jasa :</v>
      </c>
      <c r="I593" s="73"/>
      <c r="J593" s="1"/>
      <c r="K593" s="4" t="s">
        <v>3599</v>
      </c>
      <c r="L593" s="73"/>
      <c r="M593" s="73"/>
      <c r="N593" s="73"/>
      <c r="O593" s="73"/>
      <c r="P593" s="73"/>
      <c r="Q593" s="73"/>
      <c r="R593" s="73"/>
      <c r="S593" s="73"/>
      <c r="T593" s="73"/>
      <c r="U593" s="73"/>
      <c r="V593" s="73"/>
      <c r="W593" s="73"/>
      <c r="X593" s="1864"/>
      <c r="Y593" s="23">
        <f t="shared" si="19"/>
        <v>0</v>
      </c>
    </row>
    <row r="594" spans="1:25" ht="30" x14ac:dyDescent="0.25">
      <c r="A594" s="1"/>
      <c r="B594" s="1"/>
      <c r="C594" s="1"/>
      <c r="D594" s="1"/>
      <c r="E594" s="1"/>
      <c r="F594" s="1">
        <v>1</v>
      </c>
      <c r="G594" s="1"/>
      <c r="H594" s="4" t="str">
        <f>'Bid 2b'!B2346</f>
        <v>Belanja barang perlengkapan</v>
      </c>
      <c r="I594" s="73"/>
      <c r="J594" s="1"/>
      <c r="K594" s="4" t="s">
        <v>3599</v>
      </c>
      <c r="L594" s="73"/>
      <c r="M594" s="73"/>
      <c r="N594" s="73"/>
      <c r="O594" s="73"/>
      <c r="P594" s="73"/>
      <c r="Q594" s="73"/>
      <c r="R594" s="73"/>
      <c r="S594" s="73"/>
      <c r="T594" s="73"/>
      <c r="U594" s="73"/>
      <c r="V594" s="73"/>
      <c r="W594" s="73"/>
      <c r="X594" s="1864">
        <f t="shared" si="20"/>
        <v>0</v>
      </c>
      <c r="Y594" s="23">
        <f t="shared" si="19"/>
        <v>0</v>
      </c>
    </row>
    <row r="595" spans="1:25" x14ac:dyDescent="0.25">
      <c r="A595" s="1"/>
      <c r="B595" s="1"/>
      <c r="C595" s="1"/>
      <c r="D595" s="1"/>
      <c r="E595" s="1"/>
      <c r="F595" s="1"/>
      <c r="G595" s="1489" t="s">
        <v>3390</v>
      </c>
      <c r="H595" s="4" t="str">
        <f>'Bid 2b'!B2347</f>
        <v>Belanja perlengkapan Cetak</v>
      </c>
      <c r="I595" s="73">
        <f>SUM('Bid 2b'!F2348:F2351)</f>
        <v>2892000</v>
      </c>
      <c r="J595" s="1" t="s">
        <v>1220</v>
      </c>
      <c r="K595" s="4" t="s">
        <v>3599</v>
      </c>
      <c r="L595" s="73">
        <v>241000</v>
      </c>
      <c r="M595" s="73">
        <v>241000</v>
      </c>
      <c r="N595" s="73">
        <v>241000</v>
      </c>
      <c r="O595" s="73">
        <v>241000</v>
      </c>
      <c r="P595" s="73">
        <v>241000</v>
      </c>
      <c r="Q595" s="73">
        <v>241000</v>
      </c>
      <c r="R595" s="73">
        <v>241000</v>
      </c>
      <c r="S595" s="73">
        <v>241000</v>
      </c>
      <c r="T595" s="73">
        <v>241000</v>
      </c>
      <c r="U595" s="73">
        <v>241000</v>
      </c>
      <c r="V595" s="73">
        <v>241000</v>
      </c>
      <c r="W595" s="73">
        <v>241000</v>
      </c>
      <c r="X595" s="1864">
        <f t="shared" si="20"/>
        <v>2892000</v>
      </c>
      <c r="Y595" s="23">
        <f t="shared" si="19"/>
        <v>0</v>
      </c>
    </row>
    <row r="596" spans="1:25" x14ac:dyDescent="0.25">
      <c r="A596" s="1"/>
      <c r="B596" s="1"/>
      <c r="C596" s="1"/>
      <c r="D596" s="1"/>
      <c r="E596" s="1"/>
      <c r="F596" s="1"/>
      <c r="G596" s="1489" t="s">
        <v>3391</v>
      </c>
      <c r="H596" s="4" t="str">
        <f>'Bid 2b'!B2352</f>
        <v>Belanja Barang Konsumsi</v>
      </c>
      <c r="I596" s="73">
        <f>'Bid 2b'!F2353</f>
        <v>4800000</v>
      </c>
      <c r="J596" s="1" t="s">
        <v>1220</v>
      </c>
      <c r="K596" s="4" t="s">
        <v>3599</v>
      </c>
      <c r="L596" s="73">
        <v>400000</v>
      </c>
      <c r="M596" s="73">
        <v>400000</v>
      </c>
      <c r="N596" s="73">
        <v>400000</v>
      </c>
      <c r="O596" s="73">
        <v>400000</v>
      </c>
      <c r="P596" s="73">
        <v>400000</v>
      </c>
      <c r="Q596" s="73">
        <v>400000</v>
      </c>
      <c r="R596" s="73">
        <v>400000</v>
      </c>
      <c r="S596" s="73">
        <v>400000</v>
      </c>
      <c r="T596" s="73">
        <v>400000</v>
      </c>
      <c r="U596" s="73">
        <v>400000</v>
      </c>
      <c r="V596" s="73">
        <v>400000</v>
      </c>
      <c r="W596" s="73">
        <v>400000</v>
      </c>
      <c r="X596" s="1864">
        <f t="shared" si="20"/>
        <v>4800000</v>
      </c>
      <c r="Y596" s="23">
        <f t="shared" si="19"/>
        <v>0</v>
      </c>
    </row>
    <row r="597" spans="1:25" x14ac:dyDescent="0.25">
      <c r="A597" s="1"/>
      <c r="B597" s="1"/>
      <c r="C597" s="1"/>
      <c r="D597" s="1"/>
      <c r="E597" s="1"/>
      <c r="F597" s="1"/>
      <c r="G597" s="1489" t="s">
        <v>3392</v>
      </c>
      <c r="H597" s="1" t="str">
        <f>'Bid 2b'!B2354</f>
        <v>Belanja Bahan Dan Alat</v>
      </c>
      <c r="I597" s="73">
        <f>SUM('Bid 2b'!F2355:F2365)</f>
        <v>6474000</v>
      </c>
      <c r="J597" s="1" t="s">
        <v>1220</v>
      </c>
      <c r="K597" s="4" t="s">
        <v>3599</v>
      </c>
      <c r="L597" s="73">
        <v>539500</v>
      </c>
      <c r="M597" s="73">
        <v>539500</v>
      </c>
      <c r="N597" s="73">
        <v>539500</v>
      </c>
      <c r="O597" s="73">
        <v>539500</v>
      </c>
      <c r="P597" s="73">
        <v>539500</v>
      </c>
      <c r="Q597" s="73">
        <v>539500</v>
      </c>
      <c r="R597" s="73">
        <v>539500</v>
      </c>
      <c r="S597" s="73">
        <v>539500</v>
      </c>
      <c r="T597" s="73">
        <v>539500</v>
      </c>
      <c r="U597" s="73">
        <v>539500</v>
      </c>
      <c r="V597" s="73">
        <v>539500</v>
      </c>
      <c r="W597" s="73">
        <v>539500</v>
      </c>
      <c r="X597" s="1864">
        <f t="shared" si="20"/>
        <v>6474000</v>
      </c>
      <c r="Y597" s="23">
        <f t="shared" si="19"/>
        <v>0</v>
      </c>
    </row>
    <row r="598" spans="1:25" x14ac:dyDescent="0.25">
      <c r="A598" s="1"/>
      <c r="B598" s="1"/>
      <c r="C598" s="1"/>
      <c r="D598" s="1"/>
      <c r="E598" s="1"/>
      <c r="F598" s="1"/>
      <c r="G598" s="1489" t="s">
        <v>3394</v>
      </c>
      <c r="H598" s="1" t="str">
        <f>'Bid 2b'!B2366</f>
        <v>Belanja Paikaian Seragam</v>
      </c>
      <c r="I598" s="73">
        <f>SUM('Bid 2b'!F2367:F2371)</f>
        <v>7090000</v>
      </c>
      <c r="J598" s="1" t="s">
        <v>1220</v>
      </c>
      <c r="K598" s="4" t="s">
        <v>3599</v>
      </c>
      <c r="L598" s="73"/>
      <c r="M598" s="73"/>
      <c r="N598" s="73">
        <v>7090000</v>
      </c>
      <c r="O598" s="73"/>
      <c r="P598" s="73"/>
      <c r="Q598" s="73"/>
      <c r="R598" s="73"/>
      <c r="S598" s="73"/>
      <c r="T598" s="73"/>
      <c r="U598" s="73"/>
      <c r="V598" s="73"/>
      <c r="W598" s="73"/>
      <c r="X598" s="1864">
        <f t="shared" si="20"/>
        <v>7090000</v>
      </c>
      <c r="Y598" s="23">
        <f t="shared" si="19"/>
        <v>0</v>
      </c>
    </row>
    <row r="599" spans="1:25" x14ac:dyDescent="0.25">
      <c r="A599" s="1"/>
      <c r="B599" s="1"/>
      <c r="C599" s="1"/>
      <c r="D599" s="1">
        <v>5</v>
      </c>
      <c r="E599" s="1">
        <v>2</v>
      </c>
      <c r="F599" s="1">
        <v>2</v>
      </c>
      <c r="G599" s="1"/>
      <c r="H599" s="1" t="str">
        <f>'Bid 2b'!B2372</f>
        <v>Belanja Honorarium</v>
      </c>
      <c r="I599" s="73"/>
      <c r="J599" s="1"/>
      <c r="K599" s="4" t="s">
        <v>3599</v>
      </c>
      <c r="L599" s="73"/>
      <c r="M599" s="73"/>
      <c r="N599" s="73"/>
      <c r="O599" s="73"/>
      <c r="P599" s="73"/>
      <c r="Q599" s="73"/>
      <c r="R599" s="73"/>
      <c r="S599" s="73"/>
      <c r="T599" s="73"/>
      <c r="U599" s="73"/>
      <c r="V599" s="73"/>
      <c r="W599" s="73"/>
      <c r="X599" s="1864">
        <f t="shared" si="20"/>
        <v>0</v>
      </c>
      <c r="Y599" s="23">
        <f t="shared" si="19"/>
        <v>0</v>
      </c>
    </row>
    <row r="600" spans="1:25" x14ac:dyDescent="0.25">
      <c r="A600" s="1"/>
      <c r="B600" s="1"/>
      <c r="C600" s="1"/>
      <c r="D600" s="1"/>
      <c r="E600" s="1"/>
      <c r="F600" s="1"/>
      <c r="G600" s="1489" t="s">
        <v>3420</v>
      </c>
      <c r="H600" s="1" t="str">
        <f>'Bid 2b'!B2373</f>
        <v>Belanja Upah</v>
      </c>
      <c r="I600" s="73">
        <f>'Bid 2b'!F2374</f>
        <v>24000000</v>
      </c>
      <c r="J600" s="1" t="s">
        <v>1220</v>
      </c>
      <c r="K600" s="4" t="s">
        <v>3599</v>
      </c>
      <c r="L600" s="73">
        <v>2000000</v>
      </c>
      <c r="M600" s="73">
        <v>2000000</v>
      </c>
      <c r="N600" s="73">
        <v>2000000</v>
      </c>
      <c r="O600" s="73">
        <v>2000000</v>
      </c>
      <c r="P600" s="73">
        <v>2000000</v>
      </c>
      <c r="Q600" s="73">
        <v>2000000</v>
      </c>
      <c r="R600" s="73">
        <v>2000000</v>
      </c>
      <c r="S600" s="73">
        <v>2000000</v>
      </c>
      <c r="T600" s="73">
        <v>2000000</v>
      </c>
      <c r="U600" s="73">
        <v>2000000</v>
      </c>
      <c r="V600" s="73">
        <v>2000000</v>
      </c>
      <c r="W600" s="73">
        <v>2000000</v>
      </c>
      <c r="X600" s="1864">
        <f t="shared" si="20"/>
        <v>24000000</v>
      </c>
      <c r="Y600" s="23">
        <f t="shared" si="19"/>
        <v>0</v>
      </c>
    </row>
    <row r="601" spans="1:25" ht="30" x14ac:dyDescent="0.25">
      <c r="A601" s="865">
        <v>2</v>
      </c>
      <c r="B601" s="865">
        <v>4</v>
      </c>
      <c r="C601" s="1490" t="s">
        <v>3392</v>
      </c>
      <c r="D601" s="865"/>
      <c r="E601" s="865"/>
      <c r="F601" s="865"/>
      <c r="G601" s="865"/>
      <c r="H601" s="1061" t="str">
        <f>'Bid 2b'!B2389</f>
        <v>: Operasional Tim Kebersihan Lingkungan</v>
      </c>
      <c r="I601" s="1063">
        <f>SUM(I602:I611)</f>
        <v>111982000</v>
      </c>
      <c r="J601" s="865"/>
      <c r="K601" s="1061" t="s">
        <v>3599</v>
      </c>
      <c r="L601" s="1063"/>
      <c r="M601" s="1063"/>
      <c r="N601" s="1063"/>
      <c r="O601" s="1063"/>
      <c r="P601" s="1063"/>
      <c r="Q601" s="1063"/>
      <c r="R601" s="1063"/>
      <c r="S601" s="1063"/>
      <c r="T601" s="1063"/>
      <c r="U601" s="1063"/>
      <c r="V601" s="1063"/>
      <c r="W601" s="1063"/>
      <c r="X601" s="1866">
        <f t="shared" si="20"/>
        <v>0</v>
      </c>
      <c r="Y601" s="23">
        <f t="shared" si="19"/>
        <v>-111982000</v>
      </c>
    </row>
    <row r="602" spans="1:25" x14ac:dyDescent="0.25">
      <c r="A602" s="1"/>
      <c r="B602" s="1"/>
      <c r="C602" s="1"/>
      <c r="D602" s="1">
        <v>5</v>
      </c>
      <c r="E602" s="1">
        <v>2</v>
      </c>
      <c r="F602" s="1"/>
      <c r="G602" s="1"/>
      <c r="H602" s="4" t="str">
        <f>'Bid 2b'!B2393</f>
        <v>Belanja Barang dan Jasa :</v>
      </c>
      <c r="I602" s="73"/>
      <c r="J602" s="1"/>
      <c r="K602" s="4" t="s">
        <v>3599</v>
      </c>
      <c r="L602" s="73"/>
      <c r="M602" s="73"/>
      <c r="N602" s="73"/>
      <c r="O602" s="73"/>
      <c r="P602" s="73"/>
      <c r="Q602" s="73"/>
      <c r="R602" s="73"/>
      <c r="S602" s="73"/>
      <c r="T602" s="73"/>
      <c r="U602" s="73"/>
      <c r="V602" s="73"/>
      <c r="W602" s="73"/>
      <c r="X602" s="1864">
        <f t="shared" si="20"/>
        <v>0</v>
      </c>
      <c r="Y602" s="23">
        <f t="shared" si="19"/>
        <v>0</v>
      </c>
    </row>
    <row r="603" spans="1:25" ht="30" x14ac:dyDescent="0.25">
      <c r="A603" s="1"/>
      <c r="B603" s="1"/>
      <c r="C603" s="1"/>
      <c r="D603" s="1"/>
      <c r="E603" s="1"/>
      <c r="F603" s="1">
        <v>1</v>
      </c>
      <c r="G603" s="1"/>
      <c r="H603" s="4" t="str">
        <f>'Bid 2b'!B2394</f>
        <v>Belanja Barang Perlengkapan</v>
      </c>
      <c r="I603" s="73"/>
      <c r="J603" s="1"/>
      <c r="K603" s="4" t="s">
        <v>3599</v>
      </c>
      <c r="L603" s="73"/>
      <c r="M603" s="73"/>
      <c r="N603" s="73"/>
      <c r="O603" s="73"/>
      <c r="P603" s="73"/>
      <c r="Q603" s="73"/>
      <c r="R603" s="73"/>
      <c r="S603" s="73"/>
      <c r="T603" s="73"/>
      <c r="U603" s="73"/>
      <c r="V603" s="73"/>
      <c r="W603" s="73"/>
      <c r="X603" s="1864">
        <f t="shared" si="20"/>
        <v>0</v>
      </c>
      <c r="Y603" s="23">
        <f t="shared" si="19"/>
        <v>0</v>
      </c>
    </row>
    <row r="604" spans="1:25" ht="45" x14ac:dyDescent="0.25">
      <c r="A604" s="1"/>
      <c r="B604" s="1"/>
      <c r="C604" s="1"/>
      <c r="D604" s="1"/>
      <c r="E604" s="1"/>
      <c r="F604" s="1"/>
      <c r="G604" s="1489" t="s">
        <v>3389</v>
      </c>
      <c r="H604" s="4" t="str">
        <f>'Bid 2b'!B2395</f>
        <v>Belanja Bahan Bakar Minyak/Gas/Isi Ulang Tabung Pemadam Kebakaran</v>
      </c>
      <c r="I604" s="73">
        <f>'Bid 2b'!F2396</f>
        <v>3600000</v>
      </c>
      <c r="J604" s="1" t="s">
        <v>1220</v>
      </c>
      <c r="K604" s="4" t="s">
        <v>3599</v>
      </c>
      <c r="L604" s="73">
        <v>300000</v>
      </c>
      <c r="M604" s="73">
        <v>300000</v>
      </c>
      <c r="N604" s="73">
        <v>300000</v>
      </c>
      <c r="O604" s="73">
        <v>300000</v>
      </c>
      <c r="P604" s="73">
        <v>300000</v>
      </c>
      <c r="Q604" s="73">
        <v>300000</v>
      </c>
      <c r="R604" s="73">
        <v>300000</v>
      </c>
      <c r="S604" s="73">
        <v>300000</v>
      </c>
      <c r="T604" s="73">
        <v>300000</v>
      </c>
      <c r="U604" s="73">
        <v>300000</v>
      </c>
      <c r="V604" s="73">
        <v>300000</v>
      </c>
      <c r="W604" s="73">
        <v>300000</v>
      </c>
      <c r="X604" s="1864">
        <f t="shared" si="20"/>
        <v>3600000</v>
      </c>
      <c r="Y604" s="23">
        <f t="shared" si="19"/>
        <v>0</v>
      </c>
    </row>
    <row r="605" spans="1:25" x14ac:dyDescent="0.25">
      <c r="A605" s="1"/>
      <c r="B605" s="1"/>
      <c r="C605" s="1"/>
      <c r="D605" s="1"/>
      <c r="E605" s="1"/>
      <c r="F605" s="1"/>
      <c r="G605" s="1489" t="s">
        <v>3392</v>
      </c>
      <c r="H605" s="1" t="str">
        <f>'Bid 2b'!B2397</f>
        <v>Belanja Bahan Dan Alat</v>
      </c>
      <c r="I605" s="73">
        <f>SUM('Bid 2b'!F2398:F2401)</f>
        <v>5721000</v>
      </c>
      <c r="J605" s="1" t="s">
        <v>1220</v>
      </c>
      <c r="K605" s="4" t="s">
        <v>3599</v>
      </c>
      <c r="L605" s="73"/>
      <c r="M605" s="73">
        <v>5481833</v>
      </c>
      <c r="N605" s="68">
        <v>239167</v>
      </c>
      <c r="O605" s="73"/>
      <c r="P605" s="73"/>
      <c r="Q605" s="73"/>
      <c r="R605" s="73"/>
      <c r="S605" s="73"/>
      <c r="T605" s="73"/>
      <c r="U605" s="73"/>
      <c r="V605" s="73"/>
      <c r="W605" s="73"/>
      <c r="X605" s="1864">
        <f t="shared" si="20"/>
        <v>5721000</v>
      </c>
      <c r="Y605" s="23">
        <f t="shared" si="19"/>
        <v>0</v>
      </c>
    </row>
    <row r="606" spans="1:25" x14ac:dyDescent="0.25">
      <c r="A606" s="1"/>
      <c r="B606" s="1"/>
      <c r="C606" s="1"/>
      <c r="D606" s="1"/>
      <c r="E606" s="1"/>
      <c r="F606" s="1"/>
      <c r="G606" s="1489" t="s">
        <v>3394</v>
      </c>
      <c r="H606" s="1" t="str">
        <f>'Bid 2b'!B2402</f>
        <v>Belanja Atribut Pakaian</v>
      </c>
      <c r="I606" s="73">
        <f>SUM('Bid 2b'!F2403:F2408)</f>
        <v>2781000</v>
      </c>
      <c r="J606" s="1" t="s">
        <v>1220</v>
      </c>
      <c r="K606" s="4" t="s">
        <v>3599</v>
      </c>
      <c r="L606" s="73">
        <v>2781000</v>
      </c>
      <c r="M606" s="73"/>
      <c r="N606" s="73"/>
      <c r="O606" s="73"/>
      <c r="P606" s="73"/>
      <c r="Q606" s="73"/>
      <c r="R606" s="73"/>
      <c r="S606" s="73"/>
      <c r="T606" s="73"/>
      <c r="U606" s="73"/>
      <c r="V606" s="73"/>
      <c r="W606" s="73"/>
      <c r="X606" s="1864">
        <f t="shared" si="20"/>
        <v>2781000</v>
      </c>
      <c r="Y606" s="23">
        <f t="shared" si="19"/>
        <v>0</v>
      </c>
    </row>
    <row r="607" spans="1:25" x14ac:dyDescent="0.25">
      <c r="A607" s="1"/>
      <c r="B607" s="1"/>
      <c r="C607" s="1"/>
      <c r="D607" s="1">
        <v>5</v>
      </c>
      <c r="E607" s="1">
        <v>2</v>
      </c>
      <c r="F607" s="1">
        <v>2</v>
      </c>
      <c r="G607" s="1"/>
      <c r="H607" s="1" t="str">
        <f>'Bid 2b'!B2409</f>
        <v>Belanja Jasa Honor</v>
      </c>
      <c r="I607" s="73"/>
      <c r="J607" s="1"/>
      <c r="K607" s="4" t="s">
        <v>3599</v>
      </c>
      <c r="L607" s="73"/>
      <c r="M607" s="73"/>
      <c r="N607" s="73"/>
      <c r="O607" s="73"/>
      <c r="P607" s="73"/>
      <c r="Q607" s="73"/>
      <c r="R607" s="73"/>
      <c r="S607" s="73"/>
      <c r="T607" s="73"/>
      <c r="U607" s="73"/>
      <c r="V607" s="73"/>
      <c r="W607" s="73"/>
      <c r="X607" s="1864">
        <f t="shared" si="20"/>
        <v>0</v>
      </c>
      <c r="Y607" s="23">
        <f t="shared" si="19"/>
        <v>0</v>
      </c>
    </row>
    <row r="608" spans="1:25" ht="30" x14ac:dyDescent="0.25">
      <c r="A608" s="1"/>
      <c r="B608" s="1"/>
      <c r="C608" s="1"/>
      <c r="D608" s="1"/>
      <c r="E608" s="1"/>
      <c r="F608" s="1"/>
      <c r="G608" s="1489" t="s">
        <v>3420</v>
      </c>
      <c r="H608" s="1" t="str">
        <f>'Bid 2b'!B2410</f>
        <v>Belanja Upah</v>
      </c>
      <c r="I608" s="73">
        <f>'Bid 2b'!F2411+'Bid 2b'!F2413</f>
        <v>16200000</v>
      </c>
      <c r="J608" s="4" t="s">
        <v>1777</v>
      </c>
      <c r="K608" s="4" t="s">
        <v>3599</v>
      </c>
      <c r="L608" s="73">
        <v>5400000</v>
      </c>
      <c r="M608" s="73">
        <v>5400000</v>
      </c>
      <c r="N608" s="73">
        <v>5400000</v>
      </c>
      <c r="O608" s="73"/>
      <c r="P608" s="73"/>
      <c r="Q608" s="73"/>
      <c r="R608" s="73"/>
      <c r="S608" s="73"/>
      <c r="T608" s="73"/>
      <c r="U608" s="73"/>
      <c r="V608" s="73"/>
      <c r="W608" s="73"/>
      <c r="X608" s="1864">
        <f t="shared" si="20"/>
        <v>16200000</v>
      </c>
      <c r="Y608" s="23">
        <f t="shared" si="19"/>
        <v>0</v>
      </c>
    </row>
    <row r="609" spans="1:27" x14ac:dyDescent="0.25">
      <c r="A609" s="1"/>
      <c r="B609" s="1"/>
      <c r="C609" s="1"/>
      <c r="D609" s="1"/>
      <c r="E609" s="1"/>
      <c r="F609" s="1"/>
      <c r="G609" s="1">
        <v>91</v>
      </c>
      <c r="H609" s="1" t="str">
        <f>'Bid 2b'!B2410</f>
        <v>Belanja Upah</v>
      </c>
      <c r="I609" s="73">
        <f>'Bid 2b'!F2412+'Bid 2b'!F2414+'Bid 2b'!F2415</f>
        <v>75800000</v>
      </c>
      <c r="J609" s="1" t="s">
        <v>1220</v>
      </c>
      <c r="K609" s="4" t="s">
        <v>3599</v>
      </c>
      <c r="L609" s="73">
        <v>2200000</v>
      </c>
      <c r="M609" s="73">
        <v>2200000</v>
      </c>
      <c r="N609" s="73">
        <v>2200000</v>
      </c>
      <c r="O609" s="73">
        <v>7600000</v>
      </c>
      <c r="P609" s="73">
        <v>7600000</v>
      </c>
      <c r="Q609" s="73">
        <v>7600000</v>
      </c>
      <c r="R609" s="73">
        <v>7600000</v>
      </c>
      <c r="S609" s="73">
        <v>7600000</v>
      </c>
      <c r="T609" s="73">
        <v>7600000</v>
      </c>
      <c r="U609" s="73">
        <v>7600000</v>
      </c>
      <c r="V609" s="73">
        <v>7600000</v>
      </c>
      <c r="W609" s="73">
        <v>8400000</v>
      </c>
      <c r="X609" s="1864">
        <f t="shared" si="20"/>
        <v>75800000</v>
      </c>
      <c r="Y609" s="23">
        <f t="shared" si="19"/>
        <v>0</v>
      </c>
      <c r="Z609" s="23"/>
      <c r="AA609" s="23"/>
    </row>
    <row r="610" spans="1:27" x14ac:dyDescent="0.25">
      <c r="A610" s="1"/>
      <c r="B610" s="1"/>
      <c r="C610" s="1"/>
      <c r="D610" s="1">
        <v>5</v>
      </c>
      <c r="E610" s="1">
        <v>2</v>
      </c>
      <c r="F610" s="1">
        <v>6</v>
      </c>
      <c r="G610" s="1"/>
      <c r="H610" s="1" t="str">
        <f>'Bid 2b'!B2417</f>
        <v>Belanja Pemeliharaan</v>
      </c>
      <c r="I610" s="73"/>
      <c r="J610" s="1"/>
      <c r="K610" s="4" t="s">
        <v>3599</v>
      </c>
      <c r="L610" s="73"/>
      <c r="M610" s="73"/>
      <c r="N610" s="73"/>
      <c r="O610" s="73"/>
      <c r="P610" s="73"/>
      <c r="Q610" s="73"/>
      <c r="R610" s="73"/>
      <c r="S610" s="73"/>
      <c r="T610" s="73"/>
      <c r="U610" s="73"/>
      <c r="V610" s="73"/>
      <c r="W610" s="73"/>
      <c r="X610" s="1864">
        <f t="shared" si="20"/>
        <v>0</v>
      </c>
      <c r="Y610" s="23">
        <f t="shared" si="19"/>
        <v>0</v>
      </c>
    </row>
    <row r="611" spans="1:27" ht="30" x14ac:dyDescent="0.25">
      <c r="A611" s="1"/>
      <c r="B611" s="1"/>
      <c r="C611" s="1"/>
      <c r="D611" s="1"/>
      <c r="E611" s="1"/>
      <c r="F611" s="1"/>
      <c r="G611" s="1489" t="s">
        <v>3366</v>
      </c>
      <c r="H611" s="4" t="str">
        <f>'Bid 2b'!B2418</f>
        <v>Belanja Pemeliharaan Peralatan</v>
      </c>
      <c r="I611" s="73">
        <f>SUM('Bid 2b'!F2419:F2421)</f>
        <v>7880000</v>
      </c>
      <c r="J611" s="1" t="s">
        <v>1220</v>
      </c>
      <c r="K611" s="4" t="s">
        <v>3599</v>
      </c>
      <c r="L611" s="73">
        <v>2700833</v>
      </c>
      <c r="M611" s="73"/>
      <c r="N611" s="68">
        <v>5179167</v>
      </c>
      <c r="O611" s="73"/>
      <c r="P611" s="73"/>
      <c r="Q611" s="73"/>
      <c r="R611" s="73"/>
      <c r="S611" s="73"/>
      <c r="T611" s="73"/>
      <c r="U611" s="73"/>
      <c r="V611" s="73"/>
      <c r="W611" s="73"/>
      <c r="X611" s="1864">
        <f t="shared" si="20"/>
        <v>7880000</v>
      </c>
      <c r="Y611" s="23">
        <f t="shared" si="19"/>
        <v>0</v>
      </c>
      <c r="Z611" s="68"/>
    </row>
    <row r="612" spans="1:27" x14ac:dyDescent="0.25">
      <c r="A612" s="865">
        <v>2</v>
      </c>
      <c r="B612" s="865">
        <v>4</v>
      </c>
      <c r="C612" s="1490" t="s">
        <v>3392</v>
      </c>
      <c r="D612" s="865"/>
      <c r="E612" s="865"/>
      <c r="F612" s="865"/>
      <c r="G612" s="865"/>
      <c r="H612" s="865" t="str">
        <f>'Bid 2b'!B2441</f>
        <v>: TIM KEBERSIHAN SUNGAI</v>
      </c>
      <c r="I612" s="1063">
        <f>SUM(I613:I618)</f>
        <v>122284000</v>
      </c>
      <c r="J612" s="865" t="s">
        <v>1506</v>
      </c>
      <c r="K612" s="1061" t="s">
        <v>3599</v>
      </c>
      <c r="L612" s="1063"/>
      <c r="M612" s="1063"/>
      <c r="N612" s="1063"/>
      <c r="O612" s="1063"/>
      <c r="P612" s="1063"/>
      <c r="Q612" s="1063"/>
      <c r="R612" s="1063"/>
      <c r="S612" s="1063"/>
      <c r="T612" s="1063"/>
      <c r="U612" s="1063"/>
      <c r="V612" s="1063"/>
      <c r="W612" s="1063"/>
      <c r="X612" s="1866">
        <f t="shared" si="20"/>
        <v>0</v>
      </c>
      <c r="Y612" s="23">
        <f t="shared" si="19"/>
        <v>-122284000</v>
      </c>
    </row>
    <row r="613" spans="1:27" x14ac:dyDescent="0.25">
      <c r="A613" s="1"/>
      <c r="B613" s="1"/>
      <c r="C613" s="1"/>
      <c r="D613" s="1">
        <v>5</v>
      </c>
      <c r="E613" s="1">
        <v>2</v>
      </c>
      <c r="F613" s="1"/>
      <c r="G613" s="1"/>
      <c r="H613" s="1" t="str">
        <f>'Bid 2b'!B2446</f>
        <v>Belanja Barang dan Jasa :</v>
      </c>
      <c r="I613" s="73"/>
      <c r="J613" s="1"/>
      <c r="K613" s="4" t="s">
        <v>3599</v>
      </c>
      <c r="L613" s="73"/>
      <c r="M613" s="73"/>
      <c r="N613" s="73"/>
      <c r="O613" s="73"/>
      <c r="P613" s="73"/>
      <c r="Q613" s="73"/>
      <c r="R613" s="73"/>
      <c r="S613" s="73"/>
      <c r="T613" s="73"/>
      <c r="U613" s="73"/>
      <c r="V613" s="73"/>
      <c r="W613" s="73"/>
      <c r="X613" s="1864">
        <f t="shared" si="20"/>
        <v>0</v>
      </c>
      <c r="Y613" s="23">
        <f t="shared" si="19"/>
        <v>0</v>
      </c>
    </row>
    <row r="614" spans="1:27" x14ac:dyDescent="0.25">
      <c r="A614" s="1"/>
      <c r="B614" s="1"/>
      <c r="C614" s="1"/>
      <c r="D614" s="1"/>
      <c r="E614" s="1"/>
      <c r="F614" s="1">
        <v>1</v>
      </c>
      <c r="G614" s="1"/>
      <c r="H614" s="1" t="str">
        <f>'Bid 2b'!B2447</f>
        <v>Belanja Barang Perlengkapan</v>
      </c>
      <c r="I614" s="73"/>
      <c r="J614" s="1"/>
      <c r="K614" s="4" t="s">
        <v>3599</v>
      </c>
      <c r="L614" s="73"/>
      <c r="M614" s="73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1864">
        <f t="shared" si="20"/>
        <v>0</v>
      </c>
      <c r="Y614" s="23">
        <f t="shared" si="19"/>
        <v>0</v>
      </c>
    </row>
    <row r="615" spans="1:27" x14ac:dyDescent="0.25">
      <c r="A615" s="1"/>
      <c r="B615" s="1"/>
      <c r="C615" s="1"/>
      <c r="D615" s="1"/>
      <c r="E615" s="1"/>
      <c r="F615" s="1"/>
      <c r="G615" s="1489" t="s">
        <v>3392</v>
      </c>
      <c r="H615" s="1" t="str">
        <f>'Bid 2b'!B2448</f>
        <v>Belanja Bahan Dan Alat</v>
      </c>
      <c r="I615" s="73">
        <f>SUM('Bid 2b'!F2449:F2453)</f>
        <v>3634000</v>
      </c>
      <c r="J615" s="1" t="s">
        <v>1506</v>
      </c>
      <c r="K615" s="4" t="s">
        <v>3599</v>
      </c>
      <c r="L615" s="73"/>
      <c r="M615" s="73">
        <f>I615</f>
        <v>3634000</v>
      </c>
      <c r="N615" s="73"/>
      <c r="O615" s="73"/>
      <c r="P615" s="73"/>
      <c r="Q615" s="73"/>
      <c r="R615" s="73"/>
      <c r="S615" s="73"/>
      <c r="T615" s="73"/>
      <c r="U615" s="73"/>
      <c r="V615" s="73"/>
      <c r="W615" s="73"/>
      <c r="X615" s="1864">
        <f t="shared" si="20"/>
        <v>3634000</v>
      </c>
      <c r="Y615" s="23">
        <f t="shared" si="19"/>
        <v>0</v>
      </c>
    </row>
    <row r="616" spans="1:27" x14ac:dyDescent="0.25">
      <c r="A616" s="1"/>
      <c r="B616" s="1"/>
      <c r="C616" s="1"/>
      <c r="D616" s="1"/>
      <c r="E616" s="1"/>
      <c r="F616" s="1"/>
      <c r="G616" s="1489" t="s">
        <v>3392</v>
      </c>
      <c r="H616" s="1" t="str">
        <f>'Bid 2b'!B2454</f>
        <v>Belanja Atribut Pakaian</v>
      </c>
      <c r="I616" s="73">
        <f>SUM('Bid 2b'!F2455:F2458)</f>
        <v>6650000</v>
      </c>
      <c r="J616" s="1" t="s">
        <v>1506</v>
      </c>
      <c r="K616" s="4" t="s">
        <v>3599</v>
      </c>
      <c r="L616" s="73"/>
      <c r="M616" s="73">
        <f>I616</f>
        <v>6650000</v>
      </c>
      <c r="N616" s="73"/>
      <c r="O616" s="73"/>
      <c r="P616" s="73"/>
      <c r="Q616" s="73"/>
      <c r="R616" s="73"/>
      <c r="S616" s="73"/>
      <c r="T616" s="73"/>
      <c r="U616" s="73"/>
      <c r="V616" s="73"/>
      <c r="W616" s="73"/>
      <c r="X616" s="1864">
        <f t="shared" si="20"/>
        <v>6650000</v>
      </c>
      <c r="Y616" s="23">
        <f t="shared" si="19"/>
        <v>0</v>
      </c>
    </row>
    <row r="617" spans="1:27" x14ac:dyDescent="0.25">
      <c r="A617" s="1"/>
      <c r="B617" s="1"/>
      <c r="C617" s="1"/>
      <c r="D617" s="1">
        <v>5</v>
      </c>
      <c r="E617" s="1">
        <v>2</v>
      </c>
      <c r="F617" s="1">
        <v>2</v>
      </c>
      <c r="G617" s="1"/>
      <c r="H617" s="1" t="str">
        <f>'Bid 2b'!B2459</f>
        <v>Belanja Jasa Honor</v>
      </c>
      <c r="I617" s="73"/>
      <c r="J617" s="1"/>
      <c r="K617" s="4" t="s">
        <v>3599</v>
      </c>
      <c r="L617" s="73"/>
      <c r="M617" s="73"/>
      <c r="N617" s="73"/>
      <c r="O617" s="73"/>
      <c r="P617" s="73"/>
      <c r="Q617" s="73"/>
      <c r="R617" s="73"/>
      <c r="S617" s="73"/>
      <c r="T617" s="73"/>
      <c r="U617" s="73"/>
      <c r="V617" s="73"/>
      <c r="W617" s="73"/>
      <c r="X617" s="1864">
        <f t="shared" si="20"/>
        <v>0</v>
      </c>
      <c r="Y617" s="23">
        <f t="shared" si="19"/>
        <v>0</v>
      </c>
    </row>
    <row r="618" spans="1:27" s="1903" customFormat="1" x14ac:dyDescent="0.25">
      <c r="A618" s="1898"/>
      <c r="B618" s="1898"/>
      <c r="C618" s="1898"/>
      <c r="D618" s="1898"/>
      <c r="E618" s="1898"/>
      <c r="F618" s="1898"/>
      <c r="G618" s="1904" t="s">
        <v>3420</v>
      </c>
      <c r="H618" s="1898" t="str">
        <f>'Bid 2b'!B2460</f>
        <v>Belanja Upah</v>
      </c>
      <c r="I618" s="1900">
        <f>'Bid 2b'!F2461</f>
        <v>112000000</v>
      </c>
      <c r="J618" s="1898" t="s">
        <v>1506</v>
      </c>
      <c r="K618" s="1899" t="s">
        <v>3599</v>
      </c>
      <c r="L618" s="1900">
        <v>9400000</v>
      </c>
      <c r="M618" s="1900">
        <v>8600000</v>
      </c>
      <c r="N618" s="1900">
        <v>9400000</v>
      </c>
      <c r="O618" s="1900">
        <v>9400000</v>
      </c>
      <c r="P618" s="1900">
        <v>9400000</v>
      </c>
      <c r="Q618" s="1900">
        <v>9400000</v>
      </c>
      <c r="R618" s="1900">
        <v>9400000</v>
      </c>
      <c r="S618" s="1900">
        <v>9400000</v>
      </c>
      <c r="T618" s="1900">
        <v>9400000</v>
      </c>
      <c r="U618" s="1900">
        <v>9400000</v>
      </c>
      <c r="V618" s="1900">
        <v>9400000</v>
      </c>
      <c r="W618" s="1900">
        <v>9400000</v>
      </c>
      <c r="X618" s="1901">
        <f t="shared" si="20"/>
        <v>112000000</v>
      </c>
      <c r="Y618" s="1902">
        <f t="shared" si="19"/>
        <v>0</v>
      </c>
    </row>
    <row r="619" spans="1:27" ht="61.15" customHeight="1" x14ac:dyDescent="0.25">
      <c r="A619" s="865">
        <v>2</v>
      </c>
      <c r="B619" s="865">
        <v>4</v>
      </c>
      <c r="C619" s="1490">
        <v>10</v>
      </c>
      <c r="D619" s="865"/>
      <c r="E619" s="865"/>
      <c r="F619" s="865"/>
      <c r="G619" s="865"/>
      <c r="H619" s="1061" t="str">
        <f>'Bid 2b'!B2477</f>
        <v>: Pembangunan/Rehabilitasi/Peningkatan Sumur Resapan (Teba Moderen dan Tong Komposter)</v>
      </c>
      <c r="I619" s="1063">
        <f>SUM(I620:I623)</f>
        <v>379000000</v>
      </c>
      <c r="J619" s="865" t="s">
        <v>1506</v>
      </c>
      <c r="K619" s="1061" t="s">
        <v>3596</v>
      </c>
      <c r="L619" s="1063"/>
      <c r="M619" s="1063"/>
      <c r="N619" s="1063"/>
      <c r="O619" s="1063"/>
      <c r="P619" s="1063"/>
      <c r="Q619" s="1063"/>
      <c r="R619" s="1063"/>
      <c r="S619" s="1063"/>
      <c r="T619" s="1063"/>
      <c r="U619" s="1063"/>
      <c r="V619" s="1063"/>
      <c r="W619" s="1063"/>
      <c r="X619" s="1866">
        <f t="shared" si="20"/>
        <v>0</v>
      </c>
      <c r="Y619" s="23">
        <f t="shared" si="19"/>
        <v>-379000000</v>
      </c>
    </row>
    <row r="620" spans="1:27" x14ac:dyDescent="0.25">
      <c r="A620" s="1"/>
      <c r="B620" s="1"/>
      <c r="C620" s="1"/>
      <c r="D620" s="1">
        <v>5</v>
      </c>
      <c r="E620" s="1">
        <v>2</v>
      </c>
      <c r="F620" s="1"/>
      <c r="G620" s="1"/>
      <c r="H620" s="4" t="str">
        <f>'Bid 2b'!B2481</f>
        <v>Belanja Barang Jasa</v>
      </c>
      <c r="I620" s="98"/>
      <c r="J620" s="1"/>
      <c r="K620" s="4" t="s">
        <v>3596</v>
      </c>
      <c r="L620" s="73"/>
      <c r="M620" s="73"/>
      <c r="N620" s="73"/>
      <c r="O620" s="73"/>
      <c r="P620" s="73"/>
      <c r="Q620" s="73"/>
      <c r="R620" s="73"/>
      <c r="S620" s="73"/>
      <c r="T620" s="73"/>
      <c r="U620" s="73"/>
      <c r="V620" s="73"/>
      <c r="W620" s="73"/>
      <c r="X620" s="1864">
        <f t="shared" si="20"/>
        <v>0</v>
      </c>
      <c r="Y620" s="23">
        <f t="shared" ref="Y620:Y683" si="21">X620-I620</f>
        <v>0</v>
      </c>
    </row>
    <row r="621" spans="1:27" ht="45" x14ac:dyDescent="0.25">
      <c r="A621" s="1"/>
      <c r="B621" s="1"/>
      <c r="C621" s="1"/>
      <c r="D621" s="1"/>
      <c r="E621" s="1"/>
      <c r="F621" s="1">
        <v>7</v>
      </c>
      <c r="G621" s="1"/>
      <c r="H621" s="4" t="str">
        <f>'Bid 2b'!B2482</f>
        <v>Belanja Barang dan Jasa Yang Diserhakan Kepada Masyarakat</v>
      </c>
      <c r="I621" s="73"/>
      <c r="J621" s="1"/>
      <c r="K621" s="4" t="s">
        <v>3596</v>
      </c>
      <c r="L621" s="73"/>
      <c r="M621" s="73"/>
      <c r="N621" s="73"/>
      <c r="O621" s="73"/>
      <c r="P621" s="73"/>
      <c r="Q621" s="73"/>
      <c r="R621" s="73"/>
      <c r="S621" s="73"/>
      <c r="T621" s="73"/>
      <c r="U621" s="73"/>
      <c r="V621" s="73"/>
      <c r="W621" s="73"/>
      <c r="X621" s="1864">
        <f t="shared" si="20"/>
        <v>0</v>
      </c>
      <c r="Y621" s="23">
        <f t="shared" si="21"/>
        <v>0</v>
      </c>
    </row>
    <row r="622" spans="1:27" s="1903" customFormat="1" ht="60" x14ac:dyDescent="0.25">
      <c r="A622" s="1898"/>
      <c r="B622" s="1898"/>
      <c r="C622" s="1898"/>
      <c r="D622" s="1898"/>
      <c r="E622" s="1898"/>
      <c r="F622" s="1898"/>
      <c r="G622" s="1904" t="s">
        <v>3366</v>
      </c>
      <c r="H622" s="1899" t="str">
        <f>'Bid 2b'!B2483</f>
        <v xml:space="preserve">Belanja Bahan Perlengkapan untuk Diserahkan kepada Masyarakat
</v>
      </c>
      <c r="I622" s="1900">
        <f>SUM('Bid 2b'!F2484:F2485)</f>
        <v>254000000</v>
      </c>
      <c r="J622" s="1898" t="s">
        <v>1506</v>
      </c>
      <c r="K622" s="1899" t="s">
        <v>3596</v>
      </c>
      <c r="L622" s="1900"/>
      <c r="M622" s="1900"/>
      <c r="N622" s="1900"/>
      <c r="O622" s="1900"/>
      <c r="P622" s="1900">
        <v>7737148</v>
      </c>
      <c r="Q622" s="1900">
        <v>7737148</v>
      </c>
      <c r="R622" s="1900">
        <v>7737148</v>
      </c>
      <c r="S622" s="1900">
        <v>7737148</v>
      </c>
      <c r="T622" s="1900">
        <v>7737148</v>
      </c>
      <c r="U622" s="1900">
        <v>137205142.16</v>
      </c>
      <c r="V622" s="1900"/>
      <c r="W622" s="1900">
        <v>78109117.840000004</v>
      </c>
      <c r="X622" s="1901">
        <f t="shared" si="20"/>
        <v>254000000</v>
      </c>
      <c r="Y622" s="1902">
        <f>X622-I622</f>
        <v>0</v>
      </c>
    </row>
    <row r="623" spans="1:27" s="1903" customFormat="1" ht="45" x14ac:dyDescent="0.25">
      <c r="A623" s="1898"/>
      <c r="B623" s="1898"/>
      <c r="C623" s="1898"/>
      <c r="D623" s="1898"/>
      <c r="E623" s="1898"/>
      <c r="F623" s="1898"/>
      <c r="G623" s="1904" t="s">
        <v>3388</v>
      </c>
      <c r="H623" s="1899" t="str">
        <f>'Bid 2b'!B2486</f>
        <v>Belanja Mantuan Bangunan Yang Di Serahkan Kepada Masyarakat</v>
      </c>
      <c r="I623" s="1900">
        <f>'Bid 2b'!F2487</f>
        <v>125000000</v>
      </c>
      <c r="J623" s="1898" t="s">
        <v>1506</v>
      </c>
      <c r="K623" s="1899" t="s">
        <v>3596</v>
      </c>
      <c r="L623" s="1900"/>
      <c r="M623" s="1900"/>
      <c r="N623" s="1900"/>
      <c r="O623" s="1900"/>
      <c r="P623" s="1900"/>
      <c r="Q623" s="1900"/>
      <c r="R623" s="1900"/>
      <c r="S623" s="1900"/>
      <c r="T623" s="1900"/>
      <c r="U623" s="1900"/>
      <c r="V623" s="1900">
        <v>106437891</v>
      </c>
      <c r="W623" s="1900">
        <v>18562109</v>
      </c>
      <c r="X623" s="1901">
        <f t="shared" si="20"/>
        <v>125000000</v>
      </c>
      <c r="Y623" s="1902">
        <f>X623-I623</f>
        <v>0</v>
      </c>
      <c r="Z623" s="1902">
        <f>Y623/2</f>
        <v>0</v>
      </c>
    </row>
    <row r="624" spans="1:27" ht="30" x14ac:dyDescent="0.25">
      <c r="A624" s="865">
        <v>5</v>
      </c>
      <c r="B624" s="865">
        <v>2</v>
      </c>
      <c r="C624" s="865"/>
      <c r="D624" s="865"/>
      <c r="E624" s="865"/>
      <c r="F624" s="865"/>
      <c r="G624" s="1490"/>
      <c r="H624" s="1061" t="s">
        <v>3421</v>
      </c>
      <c r="I624" s="1063"/>
      <c r="J624" s="865"/>
      <c r="K624" s="1061" t="s">
        <v>3596</v>
      </c>
      <c r="L624" s="1063"/>
      <c r="M624" s="1063"/>
      <c r="N624" s="1063"/>
      <c r="O624" s="1063"/>
      <c r="P624" s="1063"/>
      <c r="Q624" s="1063"/>
      <c r="R624" s="1063"/>
      <c r="S624" s="1063"/>
      <c r="T624" s="1063"/>
      <c r="U624" s="1063"/>
      <c r="V624" s="1063"/>
      <c r="W624" s="1063"/>
      <c r="X624" s="1866">
        <f t="shared" si="20"/>
        <v>0</v>
      </c>
      <c r="Y624" s="23">
        <f t="shared" si="21"/>
        <v>0</v>
      </c>
    </row>
    <row r="625" spans="1:25" ht="73.150000000000006" customHeight="1" x14ac:dyDescent="0.25">
      <c r="A625" s="1490" t="s">
        <v>3601</v>
      </c>
      <c r="B625" s="865">
        <v>5</v>
      </c>
      <c r="C625" s="1490" t="s">
        <v>3388</v>
      </c>
      <c r="D625" s="865"/>
      <c r="E625" s="865"/>
      <c r="F625" s="865"/>
      <c r="G625" s="865"/>
      <c r="H625" s="1061" t="str">
        <f>'Bid 2b'!B2506</f>
        <v>: Sosialisasi tentang Lingkungan Hidup dan Kehutanan (Sosialisasi Pemilihan Sampah Rumah Tangga)</v>
      </c>
      <c r="I625" s="1063">
        <f>SUM(I626:I637)</f>
        <v>50115000</v>
      </c>
      <c r="J625" s="865" t="s">
        <v>1220</v>
      </c>
      <c r="K625" s="1061" t="s">
        <v>3596</v>
      </c>
      <c r="L625" s="1063"/>
      <c r="M625" s="1063"/>
      <c r="N625" s="1063"/>
      <c r="O625" s="1063"/>
      <c r="P625" s="1063"/>
      <c r="Q625" s="1063"/>
      <c r="R625" s="1063"/>
      <c r="S625" s="1063"/>
      <c r="T625" s="1063"/>
      <c r="U625" s="1063"/>
      <c r="V625" s="1063"/>
      <c r="W625" s="1063"/>
      <c r="X625" s="1866">
        <f>SUM(L625:W625)</f>
        <v>0</v>
      </c>
      <c r="Y625" s="23">
        <f t="shared" si="21"/>
        <v>-50115000</v>
      </c>
    </row>
    <row r="626" spans="1:25" x14ac:dyDescent="0.25">
      <c r="A626" s="1"/>
      <c r="B626" s="1"/>
      <c r="C626" s="1"/>
      <c r="D626" s="1">
        <v>5</v>
      </c>
      <c r="E626" s="1">
        <v>2</v>
      </c>
      <c r="F626" s="1"/>
      <c r="G626" s="1"/>
      <c r="H626" s="4" t="str">
        <f>'Bid 2b'!B2512</f>
        <v>Belanja Barang Dan Jasa</v>
      </c>
      <c r="I626" s="73"/>
      <c r="J626" s="1"/>
      <c r="K626" s="4" t="s">
        <v>3596</v>
      </c>
      <c r="L626" s="73"/>
      <c r="M626" s="73"/>
      <c r="N626" s="73"/>
      <c r="O626" s="73"/>
      <c r="P626" s="73"/>
      <c r="Q626" s="73"/>
      <c r="R626" s="73"/>
      <c r="S626" s="73"/>
      <c r="T626" s="73"/>
      <c r="U626" s="73"/>
      <c r="V626" s="73"/>
      <c r="W626" s="73"/>
      <c r="X626" s="1864">
        <f t="shared" si="20"/>
        <v>0</v>
      </c>
      <c r="Y626" s="23">
        <f t="shared" si="21"/>
        <v>0</v>
      </c>
    </row>
    <row r="627" spans="1:25" ht="30" x14ac:dyDescent="0.25">
      <c r="A627" s="1"/>
      <c r="B627" s="1"/>
      <c r="C627" s="1"/>
      <c r="D627" s="1"/>
      <c r="E627" s="1"/>
      <c r="F627" s="1">
        <v>1</v>
      </c>
      <c r="G627" s="1"/>
      <c r="H627" s="4" t="str">
        <f>'Bid 2b'!B2513</f>
        <v>Belanja Barang Perlengkapan</v>
      </c>
      <c r="I627" s="73"/>
      <c r="J627" s="1"/>
      <c r="K627" s="4" t="s">
        <v>3596</v>
      </c>
      <c r="L627" s="73"/>
      <c r="M627" s="73"/>
      <c r="N627" s="73"/>
      <c r="O627" s="73"/>
      <c r="P627" s="73"/>
      <c r="Q627" s="73"/>
      <c r="R627" s="73"/>
      <c r="S627" s="73"/>
      <c r="T627" s="73"/>
      <c r="U627" s="73"/>
      <c r="V627" s="73"/>
      <c r="W627" s="73"/>
      <c r="X627" s="1864">
        <f t="shared" si="20"/>
        <v>0</v>
      </c>
      <c r="Y627" s="23">
        <f t="shared" si="21"/>
        <v>0</v>
      </c>
    </row>
    <row r="628" spans="1:25" ht="30" x14ac:dyDescent="0.25">
      <c r="A628" s="1"/>
      <c r="B628" s="1"/>
      <c r="C628" s="1"/>
      <c r="D628" s="1"/>
      <c r="E628" s="1"/>
      <c r="F628" s="1"/>
      <c r="G628" s="1489" t="s">
        <v>3391</v>
      </c>
      <c r="H628" s="4" t="str">
        <f>'Bid 2b'!B2514</f>
        <v>Belanja Perlengkapan Barang Konsumsi</v>
      </c>
      <c r="I628" s="73">
        <f>SUM('Bid 2b'!F2515)</f>
        <v>26000000</v>
      </c>
      <c r="J628" s="4" t="s">
        <v>1220</v>
      </c>
      <c r="K628" s="4" t="s">
        <v>3596</v>
      </c>
      <c r="L628" s="73"/>
      <c r="M628" s="73"/>
      <c r="N628" s="73"/>
      <c r="O628" s="73">
        <v>26000000</v>
      </c>
      <c r="P628" s="73"/>
      <c r="Q628" s="73"/>
      <c r="R628" s="73"/>
      <c r="S628" s="73"/>
      <c r="T628" s="73"/>
      <c r="U628" s="73"/>
      <c r="V628" s="73"/>
      <c r="W628" s="73"/>
      <c r="X628" s="1864">
        <f t="shared" ref="X628:X691" si="22">SUM(L628:W628)</f>
        <v>26000000</v>
      </c>
      <c r="Y628" s="23">
        <f t="shared" si="21"/>
        <v>0</v>
      </c>
    </row>
    <row r="629" spans="1:25" x14ac:dyDescent="0.25">
      <c r="A629" s="1"/>
      <c r="B629" s="1"/>
      <c r="C629" s="1"/>
      <c r="D629" s="1"/>
      <c r="E629" s="1"/>
      <c r="F629" s="1"/>
      <c r="G629" s="1489" t="s">
        <v>3393</v>
      </c>
      <c r="H629" s="1" t="str">
        <f>'Bid 2b'!B2516</f>
        <v>Belanja Bendera/ Umbul-umbul/ Spanduk</v>
      </c>
      <c r="I629" s="73">
        <f>'Bid 2b'!F2517</f>
        <v>90000</v>
      </c>
      <c r="J629" s="4" t="s">
        <v>1220</v>
      </c>
      <c r="K629" s="4" t="s">
        <v>3596</v>
      </c>
      <c r="L629" s="73"/>
      <c r="M629" s="73"/>
      <c r="N629" s="73"/>
      <c r="O629" s="73">
        <v>90000</v>
      </c>
      <c r="P629" s="73"/>
      <c r="Q629" s="73"/>
      <c r="R629" s="73"/>
      <c r="S629" s="73"/>
      <c r="T629" s="73"/>
      <c r="U629" s="73"/>
      <c r="V629" s="73"/>
      <c r="W629" s="73"/>
      <c r="X629" s="1864">
        <f t="shared" si="22"/>
        <v>90000</v>
      </c>
      <c r="Y629" s="23">
        <f t="shared" si="21"/>
        <v>0</v>
      </c>
    </row>
    <row r="630" spans="1:25" x14ac:dyDescent="0.25">
      <c r="A630" s="1"/>
      <c r="B630" s="1"/>
      <c r="C630" s="1"/>
      <c r="D630" s="1"/>
      <c r="E630" s="1"/>
      <c r="F630" s="1"/>
      <c r="G630" s="1489" t="s">
        <v>3394</v>
      </c>
      <c r="H630" s="1" t="str">
        <f>'Bid 2b'!B2518</f>
        <v>Belanja Upakara, Upacara dan Aci</v>
      </c>
      <c r="I630" s="73">
        <f>SUM('Bid 2b'!F2519:F2521)</f>
        <v>75000</v>
      </c>
      <c r="J630" s="4" t="s">
        <v>1220</v>
      </c>
      <c r="K630" s="4" t="s">
        <v>3596</v>
      </c>
      <c r="L630" s="73"/>
      <c r="M630" s="73"/>
      <c r="N630" s="73"/>
      <c r="O630" s="73">
        <v>75000</v>
      </c>
      <c r="P630" s="73"/>
      <c r="Q630" s="73"/>
      <c r="R630" s="73"/>
      <c r="S630" s="73"/>
      <c r="T630" s="73"/>
      <c r="U630" s="73"/>
      <c r="V630" s="73"/>
      <c r="W630" s="73"/>
      <c r="X630" s="1864">
        <f t="shared" si="22"/>
        <v>75000</v>
      </c>
      <c r="Y630" s="23">
        <f t="shared" si="21"/>
        <v>0</v>
      </c>
    </row>
    <row r="631" spans="1:25" x14ac:dyDescent="0.25">
      <c r="A631" s="1"/>
      <c r="B631" s="1"/>
      <c r="C631" s="1"/>
      <c r="D631" s="1">
        <v>5</v>
      </c>
      <c r="E631" s="1">
        <v>2</v>
      </c>
      <c r="F631" s="1">
        <v>2</v>
      </c>
      <c r="G631" s="1"/>
      <c r="H631" s="4" t="str">
        <f>'Bid 2b'!B2522</f>
        <v>Belanja Jasa Honorarium</v>
      </c>
      <c r="I631" s="73"/>
      <c r="J631" s="4"/>
      <c r="K631" s="4" t="s">
        <v>3596</v>
      </c>
      <c r="L631" s="73"/>
      <c r="M631" s="73"/>
      <c r="N631" s="73"/>
      <c r="O631" s="73"/>
      <c r="P631" s="73"/>
      <c r="Q631" s="73"/>
      <c r="R631" s="73"/>
      <c r="S631" s="73"/>
      <c r="T631" s="73"/>
      <c r="U631" s="73"/>
      <c r="V631" s="73"/>
      <c r="W631" s="73"/>
      <c r="X631" s="1864">
        <f t="shared" si="22"/>
        <v>0</v>
      </c>
      <c r="Y631" s="23">
        <f t="shared" si="21"/>
        <v>0</v>
      </c>
    </row>
    <row r="632" spans="1:25" ht="30" x14ac:dyDescent="0.25">
      <c r="A632" s="1"/>
      <c r="B632" s="1"/>
      <c r="C632" s="1"/>
      <c r="D632" s="1"/>
      <c r="E632" s="1"/>
      <c r="F632" s="1"/>
      <c r="G632" s="1489" t="s">
        <v>3366</v>
      </c>
      <c r="H632" s="4" t="str">
        <f>'Bid 2b'!B2523</f>
        <v>Belanja Jasa Honorarium Tim Yang Melaksanakan Kegiatan</v>
      </c>
      <c r="I632" s="73">
        <f>SUM('Bid 2b'!F2524:F2526)</f>
        <v>1150000</v>
      </c>
      <c r="J632" s="4" t="s">
        <v>1220</v>
      </c>
      <c r="K632" s="4" t="s">
        <v>3596</v>
      </c>
      <c r="L632" s="73"/>
      <c r="M632" s="73"/>
      <c r="N632" s="73"/>
      <c r="O632" s="73">
        <v>1150000</v>
      </c>
      <c r="P632" s="73"/>
      <c r="Q632" s="73"/>
      <c r="R632" s="73"/>
      <c r="S632" s="73"/>
      <c r="T632" s="73"/>
      <c r="U632" s="73"/>
      <c r="V632" s="73"/>
      <c r="W632" s="73"/>
      <c r="X632" s="1864">
        <f t="shared" si="22"/>
        <v>1150000</v>
      </c>
      <c r="Y632" s="23">
        <f t="shared" si="21"/>
        <v>0</v>
      </c>
    </row>
    <row r="633" spans="1:25" ht="45" x14ac:dyDescent="0.25">
      <c r="A633" s="1"/>
      <c r="B633" s="1"/>
      <c r="C633" s="1"/>
      <c r="D633" s="1"/>
      <c r="E633" s="1"/>
      <c r="F633" s="1"/>
      <c r="G633" s="1489" t="s">
        <v>3389</v>
      </c>
      <c r="H633" s="4" t="str">
        <f>'Bid 2b'!B2527</f>
        <v>Belanja Jasa Honorarium Ahli/Profesi/Konsultan/Narasumber</v>
      </c>
      <c r="I633" s="73">
        <f>'Bid 2b'!F2528</f>
        <v>1800000</v>
      </c>
      <c r="J633" s="4" t="s">
        <v>1220</v>
      </c>
      <c r="K633" s="4" t="s">
        <v>3596</v>
      </c>
      <c r="L633" s="73"/>
      <c r="M633" s="73"/>
      <c r="N633" s="73"/>
      <c r="O633" s="73">
        <v>1800000</v>
      </c>
      <c r="P633" s="73"/>
      <c r="Q633" s="73"/>
      <c r="R633" s="73"/>
      <c r="S633" s="73"/>
      <c r="T633" s="73"/>
      <c r="U633" s="73"/>
      <c r="V633" s="73"/>
      <c r="W633" s="73"/>
      <c r="X633" s="1864">
        <f t="shared" si="22"/>
        <v>1800000</v>
      </c>
      <c r="Y633" s="23">
        <f t="shared" si="21"/>
        <v>0</v>
      </c>
    </row>
    <row r="634" spans="1:25" ht="30" x14ac:dyDescent="0.25">
      <c r="A634" s="1"/>
      <c r="B634" s="1"/>
      <c r="C634" s="1"/>
      <c r="D634" s="1"/>
      <c r="E634" s="1"/>
      <c r="F634" s="1"/>
      <c r="G634" s="1489" t="s">
        <v>3390</v>
      </c>
      <c r="H634" s="4" t="str">
        <f>'Bid 2b'!B2529</f>
        <v>Belanja Jasa Honorarium Petugas</v>
      </c>
      <c r="I634" s="73">
        <f>'Bid 2b'!F2530</f>
        <v>300000</v>
      </c>
      <c r="J634" s="4" t="s">
        <v>1220</v>
      </c>
      <c r="K634" s="4" t="s">
        <v>3596</v>
      </c>
      <c r="L634" s="73"/>
      <c r="M634" s="73"/>
      <c r="N634" s="73"/>
      <c r="O634" s="73">
        <v>300000</v>
      </c>
      <c r="P634" s="73"/>
      <c r="Q634" s="73"/>
      <c r="R634" s="73"/>
      <c r="S634" s="73"/>
      <c r="T634" s="73"/>
      <c r="U634" s="73"/>
      <c r="V634" s="73"/>
      <c r="W634" s="73"/>
      <c r="X634" s="1864">
        <f t="shared" si="22"/>
        <v>300000</v>
      </c>
      <c r="Y634" s="23">
        <f t="shared" si="21"/>
        <v>0</v>
      </c>
    </row>
    <row r="635" spans="1:25" x14ac:dyDescent="0.25">
      <c r="A635" s="1"/>
      <c r="B635" s="1"/>
      <c r="C635" s="1"/>
      <c r="D635" s="1">
        <v>5</v>
      </c>
      <c r="E635" s="1">
        <v>2</v>
      </c>
      <c r="F635" s="1">
        <v>4</v>
      </c>
      <c r="G635" s="1"/>
      <c r="H635" s="1" t="str">
        <f>'Bid 2b'!B2531</f>
        <v>Belanja Jasa Sewa</v>
      </c>
      <c r="I635" s="73"/>
      <c r="J635" s="4"/>
      <c r="K635" s="4" t="s">
        <v>3596</v>
      </c>
      <c r="L635" s="73"/>
      <c r="M635" s="73"/>
      <c r="N635" s="73"/>
      <c r="O635" s="73"/>
      <c r="P635" s="73"/>
      <c r="Q635" s="73"/>
      <c r="R635" s="73"/>
      <c r="S635" s="73"/>
      <c r="T635" s="73"/>
      <c r="U635" s="73"/>
      <c r="V635" s="73"/>
      <c r="W635" s="73"/>
      <c r="X635" s="1864">
        <f t="shared" si="22"/>
        <v>0</v>
      </c>
      <c r="Y635" s="23">
        <f t="shared" si="21"/>
        <v>0</v>
      </c>
    </row>
    <row r="636" spans="1:25" x14ac:dyDescent="0.25">
      <c r="A636" s="1"/>
      <c r="B636" s="1"/>
      <c r="C636" s="1"/>
      <c r="D636" s="1"/>
      <c r="E636" s="1"/>
      <c r="F636" s="1"/>
      <c r="G636" s="1489" t="s">
        <v>3366</v>
      </c>
      <c r="H636" s="1" t="str">
        <f>'Bid 2b'!B2532</f>
        <v>Belanja Sewa Gedung</v>
      </c>
      <c r="I636" s="73">
        <f>'Bid 2b'!F2533</f>
        <v>1000000</v>
      </c>
      <c r="J636" s="4" t="s">
        <v>1220</v>
      </c>
      <c r="K636" s="4" t="s">
        <v>3596</v>
      </c>
      <c r="L636" s="73"/>
      <c r="M636" s="73"/>
      <c r="N636" s="73"/>
      <c r="O636" s="73">
        <v>1000000</v>
      </c>
      <c r="P636" s="73"/>
      <c r="Q636" s="73"/>
      <c r="R636" s="73"/>
      <c r="S636" s="73"/>
      <c r="T636" s="73"/>
      <c r="U636" s="73"/>
      <c r="V636" s="73"/>
      <c r="W636" s="73"/>
      <c r="X636" s="1864">
        <f t="shared" si="22"/>
        <v>1000000</v>
      </c>
      <c r="Y636" s="23">
        <f t="shared" si="21"/>
        <v>0</v>
      </c>
    </row>
    <row r="637" spans="1:25" x14ac:dyDescent="0.25">
      <c r="A637" s="1"/>
      <c r="B637" s="1"/>
      <c r="C637" s="1"/>
      <c r="D637" s="1"/>
      <c r="E637" s="1"/>
      <c r="F637" s="1"/>
      <c r="G637" s="1489" t="s">
        <v>3386</v>
      </c>
      <c r="H637" s="4" t="str">
        <f>'Bid 2b'!B2534</f>
        <v>Belanaj Jasa Sewa Peralatan</v>
      </c>
      <c r="I637" s="73">
        <f>SUM('Bid 2b'!F2535:F2537)</f>
        <v>19700000</v>
      </c>
      <c r="J637" s="4" t="s">
        <v>1220</v>
      </c>
      <c r="K637" s="4" t="s">
        <v>3596</v>
      </c>
      <c r="L637" s="73"/>
      <c r="M637" s="73"/>
      <c r="N637" s="73"/>
      <c r="O637" s="73">
        <v>19700000</v>
      </c>
      <c r="P637" s="73"/>
      <c r="Q637" s="73"/>
      <c r="R637" s="73"/>
      <c r="S637" s="73"/>
      <c r="T637" s="73"/>
      <c r="U637" s="73"/>
      <c r="V637" s="73"/>
      <c r="W637" s="73"/>
      <c r="X637" s="1864">
        <f t="shared" si="22"/>
        <v>19700000</v>
      </c>
      <c r="Y637" s="23">
        <f t="shared" si="21"/>
        <v>0</v>
      </c>
    </row>
    <row r="638" spans="1:25" ht="30" x14ac:dyDescent="0.25">
      <c r="A638" s="865">
        <v>2</v>
      </c>
      <c r="B638" s="865">
        <v>6</v>
      </c>
      <c r="C638" s="865"/>
      <c r="D638" s="865"/>
      <c r="E638" s="865"/>
      <c r="F638" s="865"/>
      <c r="G638" s="1490"/>
      <c r="H638" s="1061" t="s">
        <v>3422</v>
      </c>
      <c r="I638" s="1063"/>
      <c r="J638" s="1061"/>
      <c r="K638" s="1061"/>
      <c r="L638" s="1063"/>
      <c r="M638" s="1063"/>
      <c r="N638" s="1063"/>
      <c r="O638" s="1063"/>
      <c r="P638" s="1063"/>
      <c r="Q638" s="1063"/>
      <c r="R638" s="1063"/>
      <c r="S638" s="1063"/>
      <c r="T638" s="1063"/>
      <c r="U638" s="1063"/>
      <c r="V638" s="1063"/>
      <c r="W638" s="1063"/>
      <c r="X638" s="1866">
        <f t="shared" si="22"/>
        <v>0</v>
      </c>
      <c r="Y638" s="23">
        <f t="shared" si="21"/>
        <v>0</v>
      </c>
    </row>
    <row r="639" spans="1:25" ht="45.6" customHeight="1" x14ac:dyDescent="0.25">
      <c r="A639" s="865">
        <v>2</v>
      </c>
      <c r="B639" s="865">
        <v>6</v>
      </c>
      <c r="C639" s="1490" t="s">
        <v>3386</v>
      </c>
      <c r="D639" s="865"/>
      <c r="E639" s="865"/>
      <c r="F639" s="865"/>
      <c r="G639" s="865"/>
      <c r="H639" s="1061" t="str">
        <f>'Bid 2b'!B2551</f>
        <v>: Penyelenggaraan Informasi Publik Desa ( Pembuatan dan Pemasangan Baliho APBDesa )</v>
      </c>
      <c r="I639" s="1063">
        <f>I642</f>
        <v>4986000</v>
      </c>
      <c r="J639" s="865" t="s">
        <v>1506</v>
      </c>
      <c r="K639" s="1061" t="s">
        <v>3597</v>
      </c>
      <c r="L639" s="1063"/>
      <c r="M639" s="1063"/>
      <c r="N639" s="1063"/>
      <c r="O639" s="1063"/>
      <c r="P639" s="1063"/>
      <c r="Q639" s="1063"/>
      <c r="R639" s="1063"/>
      <c r="S639" s="1063"/>
      <c r="T639" s="1063"/>
      <c r="U639" s="1063"/>
      <c r="V639" s="1063"/>
      <c r="W639" s="1063"/>
      <c r="X639" s="1866">
        <f t="shared" si="22"/>
        <v>0</v>
      </c>
      <c r="Y639" s="23">
        <f t="shared" si="21"/>
        <v>-4986000</v>
      </c>
    </row>
    <row r="640" spans="1:25" x14ac:dyDescent="0.25">
      <c r="A640" s="1"/>
      <c r="B640" s="1"/>
      <c r="C640" s="1"/>
      <c r="D640" s="1">
        <v>5</v>
      </c>
      <c r="E640" s="1">
        <v>2</v>
      </c>
      <c r="F640" s="1"/>
      <c r="G640" s="1"/>
      <c r="H640" s="4" t="str">
        <f>'Bid 2b'!B2557</f>
        <v>Belanja Barang Jasa</v>
      </c>
      <c r="I640" s="73"/>
      <c r="J640" s="1"/>
      <c r="K640" s="4" t="s">
        <v>3597</v>
      </c>
      <c r="L640" s="73"/>
      <c r="M640" s="73"/>
      <c r="N640" s="73"/>
      <c r="O640" s="73"/>
      <c r="P640" s="73"/>
      <c r="Q640" s="73"/>
      <c r="R640" s="73"/>
      <c r="S640" s="73"/>
      <c r="T640" s="73"/>
      <c r="U640" s="73"/>
      <c r="V640" s="73"/>
      <c r="W640" s="73"/>
      <c r="X640" s="1864">
        <f t="shared" si="22"/>
        <v>0</v>
      </c>
      <c r="Y640" s="23">
        <f t="shared" si="21"/>
        <v>0</v>
      </c>
    </row>
    <row r="641" spans="1:25" ht="30" x14ac:dyDescent="0.25">
      <c r="A641" s="1"/>
      <c r="B641" s="1"/>
      <c r="C641" s="1"/>
      <c r="D641" s="1"/>
      <c r="E641" s="1"/>
      <c r="F641" s="1">
        <v>1</v>
      </c>
      <c r="G641" s="1"/>
      <c r="H641" s="4" t="str">
        <f>'Bid 2b'!B2558</f>
        <v>Belanaj Barang Perlengkapan</v>
      </c>
      <c r="I641" s="73"/>
      <c r="J641" s="1"/>
      <c r="K641" s="4" t="s">
        <v>3597</v>
      </c>
      <c r="L641" s="73"/>
      <c r="M641" s="73"/>
      <c r="N641" s="73"/>
      <c r="O641" s="73"/>
      <c r="P641" s="73"/>
      <c r="Q641" s="73"/>
      <c r="R641" s="73"/>
      <c r="S641" s="73"/>
      <c r="T641" s="73"/>
      <c r="U641" s="73"/>
      <c r="V641" s="73"/>
      <c r="W641" s="73"/>
      <c r="X641" s="1864">
        <f t="shared" si="22"/>
        <v>0</v>
      </c>
      <c r="Y641" s="23">
        <f t="shared" si="21"/>
        <v>0</v>
      </c>
    </row>
    <row r="642" spans="1:25" ht="30" x14ac:dyDescent="0.25">
      <c r="A642" s="1"/>
      <c r="B642" s="1"/>
      <c r="C642" s="1"/>
      <c r="D642" s="1"/>
      <c r="E642" s="1"/>
      <c r="F642" s="1"/>
      <c r="G642" s="1489" t="s">
        <v>3390</v>
      </c>
      <c r="H642" s="4" t="str">
        <f>'Bid 2b'!B2559</f>
        <v>Belanja perlengkapan cetak/ pengadaan (Baliho APBDes)</v>
      </c>
      <c r="I642" s="73">
        <f>'Bid 2b'!F2561</f>
        <v>4986000</v>
      </c>
      <c r="J642" s="1" t="s">
        <v>1506</v>
      </c>
      <c r="K642" s="4" t="s">
        <v>3597</v>
      </c>
      <c r="L642" s="73">
        <v>4986000</v>
      </c>
      <c r="M642" s="73"/>
      <c r="N642" s="73"/>
      <c r="O642" s="73"/>
      <c r="P642" s="73"/>
      <c r="Q642" s="73"/>
      <c r="R642" s="73"/>
      <c r="S642" s="73"/>
      <c r="T642" s="73"/>
      <c r="U642" s="73"/>
      <c r="V642" s="73"/>
      <c r="W642" s="73"/>
      <c r="X642" s="1864">
        <f t="shared" si="22"/>
        <v>4986000</v>
      </c>
      <c r="Y642" s="23">
        <f t="shared" si="21"/>
        <v>0</v>
      </c>
    </row>
    <row r="643" spans="1:25" x14ac:dyDescent="0.25">
      <c r="A643" s="865">
        <v>2</v>
      </c>
      <c r="B643" s="865">
        <v>8</v>
      </c>
      <c r="C643" s="865"/>
      <c r="D643" s="865"/>
      <c r="E643" s="865"/>
      <c r="F643" s="865"/>
      <c r="G643" s="1490"/>
      <c r="H643" s="1061"/>
      <c r="I643" s="1063"/>
      <c r="J643" s="865"/>
      <c r="K643" s="1061" t="s">
        <v>3597</v>
      </c>
      <c r="L643" s="1063"/>
      <c r="M643" s="1063"/>
      <c r="N643" s="1063"/>
      <c r="O643" s="1063"/>
      <c r="P643" s="1063"/>
      <c r="Q643" s="1063"/>
      <c r="R643" s="1063"/>
      <c r="S643" s="1063"/>
      <c r="T643" s="1063"/>
      <c r="U643" s="1063"/>
      <c r="V643" s="1063"/>
      <c r="W643" s="1063"/>
      <c r="X643" s="1866">
        <f t="shared" si="22"/>
        <v>0</v>
      </c>
      <c r="Y643" s="23">
        <f t="shared" si="21"/>
        <v>0</v>
      </c>
    </row>
    <row r="644" spans="1:25" ht="45" x14ac:dyDescent="0.25">
      <c r="A644" s="865">
        <v>2</v>
      </c>
      <c r="B644" s="865">
        <v>8</v>
      </c>
      <c r="C644" s="1490" t="s">
        <v>3388</v>
      </c>
      <c r="D644" s="865"/>
      <c r="E644" s="865"/>
      <c r="F644" s="865"/>
      <c r="G644" s="865"/>
      <c r="H644" s="1061" t="str">
        <f>'Bid 2b'!B2575</f>
        <v>: Pengembangan Pariwisata Tingkat Desa (Pelatihan POKDARWIS)</v>
      </c>
      <c r="I644" s="1063">
        <f>SUM(I645:I655)</f>
        <v>62892000</v>
      </c>
      <c r="J644" s="865" t="s">
        <v>1220</v>
      </c>
      <c r="K644" s="1061" t="s">
        <v>3597</v>
      </c>
      <c r="L644" s="1063"/>
      <c r="M644" s="1063"/>
      <c r="N644" s="1063"/>
      <c r="O644" s="1063"/>
      <c r="P644" s="1063"/>
      <c r="Q644" s="1063"/>
      <c r="R644" s="1063"/>
      <c r="S644" s="1063"/>
      <c r="T644" s="1063"/>
      <c r="U644" s="1063"/>
      <c r="V644" s="1063"/>
      <c r="W644" s="1063"/>
      <c r="X644" s="1866"/>
      <c r="Y644" s="23">
        <f t="shared" si="21"/>
        <v>-62892000</v>
      </c>
    </row>
    <row r="645" spans="1:25" x14ac:dyDescent="0.25">
      <c r="A645" s="1"/>
      <c r="B645" s="1"/>
      <c r="C645" s="1"/>
      <c r="D645" s="1">
        <v>5</v>
      </c>
      <c r="E645" s="1">
        <v>2</v>
      </c>
      <c r="F645" s="1"/>
      <c r="G645" s="1"/>
      <c r="H645" s="4" t="str">
        <f>'Bid 2b'!B2581</f>
        <v>Belanja Barang Dan Jasa</v>
      </c>
      <c r="I645" s="73"/>
      <c r="J645" s="1"/>
      <c r="K645" s="4" t="s">
        <v>3597</v>
      </c>
      <c r="L645" s="73"/>
      <c r="M645" s="73"/>
      <c r="N645" s="73"/>
      <c r="O645" s="73"/>
      <c r="P645" s="73"/>
      <c r="Q645" s="73"/>
      <c r="R645" s="73"/>
      <c r="S645" s="73"/>
      <c r="T645" s="73"/>
      <c r="U645" s="73"/>
      <c r="V645" s="73"/>
      <c r="W645" s="73"/>
      <c r="X645" s="1864"/>
      <c r="Y645" s="23">
        <f t="shared" si="21"/>
        <v>0</v>
      </c>
    </row>
    <row r="646" spans="1:25" ht="30" x14ac:dyDescent="0.25">
      <c r="A646" s="1"/>
      <c r="B646" s="1"/>
      <c r="C646" s="1"/>
      <c r="D646" s="1"/>
      <c r="E646" s="1"/>
      <c r="F646" s="1">
        <v>1</v>
      </c>
      <c r="G646" s="1"/>
      <c r="H646" s="4" t="str">
        <f>'Bid 2b'!B2582</f>
        <v>Belanja Barang Perlengkapan</v>
      </c>
      <c r="I646" s="73"/>
      <c r="J646" s="1"/>
      <c r="K646" s="4" t="s">
        <v>3597</v>
      </c>
      <c r="L646" s="73"/>
      <c r="M646" s="73"/>
      <c r="N646" s="73"/>
      <c r="O646" s="73"/>
      <c r="P646" s="73"/>
      <c r="Q646" s="73"/>
      <c r="R646" s="73"/>
      <c r="S646" s="73"/>
      <c r="T646" s="73"/>
      <c r="U646" s="73"/>
      <c r="V646" s="73"/>
      <c r="W646" s="73"/>
      <c r="X646" s="1864">
        <f t="shared" si="22"/>
        <v>0</v>
      </c>
      <c r="Y646" s="23">
        <f t="shared" si="21"/>
        <v>0</v>
      </c>
    </row>
    <row r="647" spans="1:25" ht="30" x14ac:dyDescent="0.25">
      <c r="A647" s="1"/>
      <c r="B647" s="1"/>
      <c r="C647" s="1"/>
      <c r="D647" s="1"/>
      <c r="E647" s="1"/>
      <c r="F647" s="1"/>
      <c r="G647" s="1489" t="s">
        <v>3391</v>
      </c>
      <c r="H647" s="4" t="str">
        <f>'Bid 2b'!B2583</f>
        <v>Belanja Perlengkapan Barang Konsumsi</v>
      </c>
      <c r="I647" s="73">
        <f>'Bid 2b'!F2584</f>
        <v>1400000</v>
      </c>
      <c r="J647" s="1" t="s">
        <v>1220</v>
      </c>
      <c r="K647" s="4" t="s">
        <v>3597</v>
      </c>
      <c r="L647" s="73"/>
      <c r="M647" s="73"/>
      <c r="N647" s="73"/>
      <c r="O647" s="73"/>
      <c r="P647" s="73"/>
      <c r="Q647" s="73"/>
      <c r="R647" s="73"/>
      <c r="S647" s="73"/>
      <c r="T647" s="73"/>
      <c r="U647" s="73"/>
      <c r="V647" s="73"/>
      <c r="W647" s="73">
        <v>1400000</v>
      </c>
      <c r="X647" s="1864">
        <f t="shared" si="22"/>
        <v>1400000</v>
      </c>
      <c r="Y647" s="23">
        <f t="shared" si="21"/>
        <v>0</v>
      </c>
    </row>
    <row r="648" spans="1:25" ht="30" x14ac:dyDescent="0.25">
      <c r="A648" s="1"/>
      <c r="B648" s="1"/>
      <c r="C648" s="1"/>
      <c r="D648" s="1"/>
      <c r="E648" s="1"/>
      <c r="F648" s="1"/>
      <c r="G648" s="1489" t="s">
        <v>3366</v>
      </c>
      <c r="H648" s="4" t="str">
        <f>'Bid 2b'!B2586</f>
        <v>Belanja Alat Tulis Kantor dan Benda Pos</v>
      </c>
      <c r="I648" s="73">
        <f>SUM('Bid 2b'!F2587:F2592)</f>
        <v>3887000</v>
      </c>
      <c r="J648" s="1" t="s">
        <v>1220</v>
      </c>
      <c r="K648" s="4" t="s">
        <v>3597</v>
      </c>
      <c r="L648" s="73"/>
      <c r="M648" s="73"/>
      <c r="N648" s="73"/>
      <c r="O648" s="73"/>
      <c r="P648" s="73"/>
      <c r="Q648" s="73"/>
      <c r="R648" s="73"/>
      <c r="S648" s="73"/>
      <c r="T648" s="73"/>
      <c r="U648" s="73"/>
      <c r="V648" s="73"/>
      <c r="W648" s="73">
        <v>3887000</v>
      </c>
      <c r="X648" s="1864">
        <f t="shared" si="22"/>
        <v>3887000</v>
      </c>
      <c r="Y648" s="23">
        <f t="shared" si="21"/>
        <v>0</v>
      </c>
    </row>
    <row r="649" spans="1:25" ht="30" x14ac:dyDescent="0.25">
      <c r="A649" s="1"/>
      <c r="B649" s="1"/>
      <c r="C649" s="1"/>
      <c r="D649" s="1"/>
      <c r="E649" s="1"/>
      <c r="F649" s="1"/>
      <c r="G649" s="1489" t="s">
        <v>3393</v>
      </c>
      <c r="H649" s="4" t="str">
        <f>'Bid 2b'!B2594</f>
        <v>Belanja Bendera/ Umbul-umbul/ Spanduk</v>
      </c>
      <c r="I649" s="73">
        <f>'Bid 2b'!F2595</f>
        <v>900000</v>
      </c>
      <c r="J649" s="1" t="s">
        <v>1220</v>
      </c>
      <c r="K649" s="4" t="s">
        <v>3597</v>
      </c>
      <c r="L649" s="73"/>
      <c r="M649" s="73"/>
      <c r="N649" s="73"/>
      <c r="O649" s="73"/>
      <c r="P649" s="73"/>
      <c r="Q649" s="73"/>
      <c r="R649" s="73"/>
      <c r="S649" s="73"/>
      <c r="T649" s="73"/>
      <c r="U649" s="73"/>
      <c r="V649" s="73"/>
      <c r="W649" s="73">
        <v>900000</v>
      </c>
      <c r="X649" s="1864">
        <f t="shared" si="22"/>
        <v>900000</v>
      </c>
      <c r="Y649" s="23">
        <f t="shared" si="21"/>
        <v>0</v>
      </c>
    </row>
    <row r="650" spans="1:25" x14ac:dyDescent="0.25">
      <c r="A650" s="1"/>
      <c r="B650" s="1"/>
      <c r="C650" s="1"/>
      <c r="D650" s="1"/>
      <c r="E650" s="1"/>
      <c r="F650" s="1"/>
      <c r="G650" s="1489" t="s">
        <v>3417</v>
      </c>
      <c r="H650" s="1" t="str">
        <f>'Bid 2b'!B2597</f>
        <v>Belanja Bahan/Material</v>
      </c>
      <c r="I650" s="73">
        <f>SUM('Bid 2b'!F2598:F2600)</f>
        <v>65000</v>
      </c>
      <c r="J650" s="1" t="s">
        <v>1220</v>
      </c>
      <c r="K650" s="4" t="s">
        <v>3597</v>
      </c>
      <c r="L650" s="73"/>
      <c r="M650" s="73"/>
      <c r="N650" s="73"/>
      <c r="O650" s="73"/>
      <c r="P650" s="73"/>
      <c r="Q650" s="73"/>
      <c r="R650" s="73"/>
      <c r="S650" s="73"/>
      <c r="T650" s="73"/>
      <c r="U650" s="73"/>
      <c r="V650" s="73"/>
      <c r="W650" s="73">
        <v>65000</v>
      </c>
      <c r="X650" s="1864">
        <f t="shared" si="22"/>
        <v>65000</v>
      </c>
      <c r="Y650" s="23">
        <f t="shared" si="21"/>
        <v>0</v>
      </c>
    </row>
    <row r="651" spans="1:25" x14ac:dyDescent="0.25">
      <c r="A651" s="1"/>
      <c r="B651" s="1"/>
      <c r="C651" s="1"/>
      <c r="D651" s="1">
        <v>5</v>
      </c>
      <c r="E651" s="1">
        <v>2</v>
      </c>
      <c r="F651" s="1">
        <v>2</v>
      </c>
      <c r="G651" s="1"/>
      <c r="H651" s="1" t="str">
        <f>'Bid 2b'!B2602</f>
        <v>Belanja Jasa Honorarium</v>
      </c>
      <c r="I651" s="73"/>
      <c r="J651" s="1"/>
      <c r="K651" s="4" t="s">
        <v>3597</v>
      </c>
      <c r="L651" s="73"/>
      <c r="M651" s="73"/>
      <c r="N651" s="73"/>
      <c r="O651" s="73"/>
      <c r="P651" s="73"/>
      <c r="Q651" s="73"/>
      <c r="R651" s="73"/>
      <c r="S651" s="73"/>
      <c r="T651" s="73"/>
      <c r="U651" s="73"/>
      <c r="V651" s="73"/>
      <c r="W651" s="73"/>
      <c r="X651" s="1864">
        <f t="shared" si="22"/>
        <v>0</v>
      </c>
      <c r="Y651" s="23">
        <f t="shared" si="21"/>
        <v>0</v>
      </c>
    </row>
    <row r="652" spans="1:25" ht="30" x14ac:dyDescent="0.25">
      <c r="A652" s="1"/>
      <c r="B652" s="1"/>
      <c r="C652" s="1"/>
      <c r="D652" s="1"/>
      <c r="E652" s="1"/>
      <c r="F652" s="1"/>
      <c r="G652" s="1489" t="s">
        <v>3366</v>
      </c>
      <c r="H652" s="4" t="str">
        <f>'Bid 2b'!B2603</f>
        <v>Belanja Jasa Honorarium Tim Yang Melaksanakan Kegiatan</v>
      </c>
      <c r="I652" s="73">
        <f>SUM('Bid 2b'!F2604:F2606)</f>
        <v>1150000</v>
      </c>
      <c r="J652" s="1" t="s">
        <v>1220</v>
      </c>
      <c r="K652" s="4" t="s">
        <v>3597</v>
      </c>
      <c r="L652" s="73"/>
      <c r="M652" s="73"/>
      <c r="N652" s="73"/>
      <c r="O652" s="73"/>
      <c r="P652" s="73"/>
      <c r="Q652" s="73"/>
      <c r="R652" s="73"/>
      <c r="S652" s="73"/>
      <c r="T652" s="73"/>
      <c r="U652" s="73"/>
      <c r="V652" s="73"/>
      <c r="W652" s="73">
        <v>1150000</v>
      </c>
      <c r="X652" s="1864">
        <f t="shared" si="22"/>
        <v>1150000</v>
      </c>
      <c r="Y652" s="23">
        <f t="shared" si="21"/>
        <v>0</v>
      </c>
    </row>
    <row r="653" spans="1:25" ht="30" x14ac:dyDescent="0.25">
      <c r="A653" s="1"/>
      <c r="B653" s="1"/>
      <c r="C653" s="1"/>
      <c r="D653" s="1"/>
      <c r="E653" s="1"/>
      <c r="F653" s="1"/>
      <c r="G653" s="1489" t="s">
        <v>3389</v>
      </c>
      <c r="H653" s="4" t="str">
        <f>'Bid 2b'!B2608</f>
        <v>Honorarium Narasumber/ Instruktur</v>
      </c>
      <c r="I653" s="73">
        <f>'Bid 2b'!F2608</f>
        <v>1800000</v>
      </c>
      <c r="J653" s="1" t="s">
        <v>1220</v>
      </c>
      <c r="K653" s="4" t="s">
        <v>3597</v>
      </c>
      <c r="L653" s="73"/>
      <c r="M653" s="73"/>
      <c r="N653" s="73"/>
      <c r="O653" s="73"/>
      <c r="P653" s="73"/>
      <c r="Q653" s="73"/>
      <c r="R653" s="73"/>
      <c r="S653" s="73"/>
      <c r="T653" s="73"/>
      <c r="U653" s="73"/>
      <c r="V653" s="73"/>
      <c r="W653" s="73">
        <v>1800000</v>
      </c>
      <c r="X653" s="1864">
        <f t="shared" si="22"/>
        <v>1800000</v>
      </c>
      <c r="Y653" s="23">
        <f t="shared" si="21"/>
        <v>0</v>
      </c>
    </row>
    <row r="654" spans="1:25" ht="45" x14ac:dyDescent="0.25">
      <c r="A654" s="1"/>
      <c r="B654" s="1"/>
      <c r="C654" s="1"/>
      <c r="D654" s="1">
        <v>5</v>
      </c>
      <c r="E654" s="1">
        <v>2</v>
      </c>
      <c r="F654" s="1">
        <v>7</v>
      </c>
      <c r="G654" s="1"/>
      <c r="H654" s="4" t="str">
        <f>'Bid 2b'!B2609</f>
        <v>Belanja Barang Perlengkapan diserahkan Kepada Masyarakat</v>
      </c>
      <c r="I654" s="73"/>
      <c r="J654" s="1"/>
      <c r="K654" s="4" t="s">
        <v>3597</v>
      </c>
      <c r="L654" s="73"/>
      <c r="M654" s="73"/>
      <c r="N654" s="73"/>
      <c r="O654" s="73"/>
      <c r="P654" s="73"/>
      <c r="Q654" s="73"/>
      <c r="R654" s="73"/>
      <c r="S654" s="73"/>
      <c r="T654" s="73"/>
      <c r="U654" s="73"/>
      <c r="V654" s="73"/>
      <c r="W654" s="73"/>
      <c r="X654" s="1864">
        <f t="shared" si="22"/>
        <v>0</v>
      </c>
      <c r="Y654" s="23">
        <f t="shared" si="21"/>
        <v>0</v>
      </c>
    </row>
    <row r="655" spans="1:25" ht="45" x14ac:dyDescent="0.25">
      <c r="A655" s="1"/>
      <c r="B655" s="1"/>
      <c r="C655" s="1"/>
      <c r="D655" s="1"/>
      <c r="E655" s="1"/>
      <c r="F655" s="1"/>
      <c r="G655" s="1489" t="s">
        <v>3366</v>
      </c>
      <c r="H655" s="4" t="str">
        <f>'Bid 2b'!B2610</f>
        <v>Belanja Bahan Perlengkapan Yang Diserahkan Ke Masyarakat</v>
      </c>
      <c r="I655" s="73">
        <f>SUM('Bid 2b'!F2611:F2614)</f>
        <v>53690000</v>
      </c>
      <c r="J655" s="1" t="s">
        <v>1220</v>
      </c>
      <c r="K655" s="4" t="s">
        <v>3597</v>
      </c>
      <c r="L655" s="73"/>
      <c r="M655" s="73"/>
      <c r="N655" s="73"/>
      <c r="O655" s="73"/>
      <c r="P655" s="73"/>
      <c r="Q655" s="73"/>
      <c r="R655" s="73"/>
      <c r="S655" s="73"/>
      <c r="T655" s="73"/>
      <c r="U655" s="73"/>
      <c r="V655" s="73">
        <v>53690000</v>
      </c>
      <c r="W655" s="73"/>
      <c r="X655" s="1864">
        <f t="shared" si="22"/>
        <v>53690000</v>
      </c>
      <c r="Y655" s="23">
        <f t="shared" si="21"/>
        <v>0</v>
      </c>
    </row>
    <row r="656" spans="1:25" ht="30" x14ac:dyDescent="0.25">
      <c r="A656" s="1869">
        <v>3</v>
      </c>
      <c r="B656" s="1869"/>
      <c r="C656" s="1869"/>
      <c r="D656" s="1869"/>
      <c r="E656" s="1869"/>
      <c r="F656" s="1869"/>
      <c r="G656" s="1869"/>
      <c r="H656" s="1870" t="str">
        <f>'Bid 3b'!B5</f>
        <v>: Pembinaan Kemasyarakatan Desa</v>
      </c>
      <c r="I656" s="1871">
        <f>I658+I666+I674+I684+I695+I719+I730+I738+I748+I754+I758+I765+I769+I773+I790+I812+I822+I830+I838+I843+I852+I862+I874</f>
        <v>3777466716.8400002</v>
      </c>
      <c r="J656" s="1869"/>
      <c r="K656" s="1870"/>
      <c r="L656" s="1871"/>
      <c r="M656" s="1871"/>
      <c r="N656" s="1871"/>
      <c r="O656" s="1871"/>
      <c r="P656" s="1871"/>
      <c r="Q656" s="1871"/>
      <c r="R656" s="1871"/>
      <c r="S656" s="1871"/>
      <c r="T656" s="1871"/>
      <c r="U656" s="1871"/>
      <c r="V656" s="1871"/>
      <c r="W656" s="1871"/>
      <c r="X656" s="1872">
        <f t="shared" si="22"/>
        <v>0</v>
      </c>
      <c r="Y656" s="23">
        <f t="shared" si="21"/>
        <v>-3777466716.8400002</v>
      </c>
    </row>
    <row r="657" spans="1:25" ht="45.6" customHeight="1" x14ac:dyDescent="0.25">
      <c r="A657" s="865">
        <v>3</v>
      </c>
      <c r="B657" s="865">
        <v>1</v>
      </c>
      <c r="C657" s="865"/>
      <c r="D657" s="865"/>
      <c r="E657" s="865"/>
      <c r="F657" s="865"/>
      <c r="G657" s="865"/>
      <c r="H657" s="1061" t="str">
        <f>'Bid 3b'!B6</f>
        <v>: Ketentraman, Ketertiban Umum, dan Perlindungan Masyarakat</v>
      </c>
      <c r="I657" s="1063"/>
      <c r="J657" s="865"/>
      <c r="K657" s="1061"/>
      <c r="L657" s="1063"/>
      <c r="M657" s="1063"/>
      <c r="N657" s="1063"/>
      <c r="O657" s="1063"/>
      <c r="P657" s="1063"/>
      <c r="Q657" s="1063"/>
      <c r="R657" s="1063"/>
      <c r="S657" s="1063"/>
      <c r="T657" s="1063"/>
      <c r="U657" s="1063"/>
      <c r="V657" s="1063"/>
      <c r="W657" s="1063"/>
      <c r="X657" s="1866">
        <f t="shared" si="22"/>
        <v>0</v>
      </c>
      <c r="Y657" s="23">
        <f t="shared" si="21"/>
        <v>0</v>
      </c>
    </row>
    <row r="658" spans="1:25" ht="63" customHeight="1" x14ac:dyDescent="0.25">
      <c r="A658" s="865">
        <v>3</v>
      </c>
      <c r="B658" s="865">
        <v>1</v>
      </c>
      <c r="C658" s="1490" t="s">
        <v>3388</v>
      </c>
      <c r="D658" s="865"/>
      <c r="E658" s="865"/>
      <c r="F658" s="865"/>
      <c r="G658" s="865"/>
      <c r="H658" s="1061" t="str">
        <f>'Bid 3b'!B7</f>
        <v>:Koordinasi Pembinaan Ketentraman, Ketertiban, dan Perlindungan Masyarakat (Pengamanan Pengerupukan)</v>
      </c>
      <c r="I658" s="1063">
        <f>SUM(I659:I665)</f>
        <v>7825000</v>
      </c>
      <c r="J658" s="1061" t="s">
        <v>1220</v>
      </c>
      <c r="K658" s="1061" t="s">
        <v>3598</v>
      </c>
      <c r="L658" s="1063"/>
      <c r="M658" s="1063"/>
      <c r="N658" s="1063"/>
      <c r="O658" s="1063"/>
      <c r="P658" s="1063"/>
      <c r="Q658" s="1063"/>
      <c r="R658" s="1063"/>
      <c r="S658" s="1063"/>
      <c r="T658" s="1063"/>
      <c r="U658" s="1063"/>
      <c r="V658" s="1063"/>
      <c r="W658" s="1063"/>
      <c r="X658" s="1866">
        <f t="shared" si="22"/>
        <v>0</v>
      </c>
      <c r="Y658" s="23">
        <f t="shared" si="21"/>
        <v>-7825000</v>
      </c>
    </row>
    <row r="659" spans="1:25" ht="30" x14ac:dyDescent="0.25">
      <c r="A659" s="1"/>
      <c r="B659" s="1"/>
      <c r="C659" s="1"/>
      <c r="D659" s="1">
        <v>5</v>
      </c>
      <c r="E659" s="1">
        <v>2</v>
      </c>
      <c r="F659" s="1"/>
      <c r="G659" s="1"/>
      <c r="H659" s="4" t="str">
        <f>'Bid 3b'!B13</f>
        <v>Belanja Barang dan Jasa</v>
      </c>
      <c r="I659" s="98"/>
      <c r="J659" s="4"/>
      <c r="K659" s="4" t="s">
        <v>3598</v>
      </c>
      <c r="L659" s="73"/>
      <c r="M659" s="73"/>
      <c r="N659" s="73"/>
      <c r="O659" s="73"/>
      <c r="P659" s="73"/>
      <c r="Q659" s="73"/>
      <c r="R659" s="73"/>
      <c r="S659" s="73"/>
      <c r="T659" s="73"/>
      <c r="U659" s="73"/>
      <c r="V659" s="73"/>
      <c r="W659" s="73"/>
      <c r="X659" s="1864">
        <f t="shared" si="22"/>
        <v>0</v>
      </c>
      <c r="Y659" s="23">
        <f t="shared" si="21"/>
        <v>0</v>
      </c>
    </row>
    <row r="660" spans="1:25" ht="30" x14ac:dyDescent="0.25">
      <c r="A660" s="1"/>
      <c r="B660" s="1"/>
      <c r="C660" s="1"/>
      <c r="D660" s="1"/>
      <c r="E660" s="1"/>
      <c r="F660" s="1">
        <v>1</v>
      </c>
      <c r="G660" s="1"/>
      <c r="H660" s="4" t="str">
        <f>'Bid 3b'!B14</f>
        <v>Belanja Barang Perlengkapan</v>
      </c>
      <c r="I660" s="73"/>
      <c r="J660" s="4"/>
      <c r="K660" s="4" t="s">
        <v>3598</v>
      </c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1864">
        <f t="shared" si="22"/>
        <v>0</v>
      </c>
      <c r="Y660" s="23">
        <f t="shared" si="21"/>
        <v>0</v>
      </c>
    </row>
    <row r="661" spans="1:25" ht="30" x14ac:dyDescent="0.25">
      <c r="A661" s="1"/>
      <c r="B661" s="1"/>
      <c r="C661" s="1"/>
      <c r="D661" s="1"/>
      <c r="E661" s="1"/>
      <c r="F661" s="1"/>
      <c r="G661" s="1489" t="s">
        <v>3391</v>
      </c>
      <c r="H661" s="4" t="str">
        <f>'Bid 3b'!B15</f>
        <v>Belanja Perlengkapan Barang Konsumsi</v>
      </c>
      <c r="I661" s="73">
        <f>'Bid 3b'!F16+'Bid 3b'!F17</f>
        <v>4460000</v>
      </c>
      <c r="J661" s="4" t="s">
        <v>1220</v>
      </c>
      <c r="K661" s="4" t="s">
        <v>3598</v>
      </c>
      <c r="L661" s="73"/>
      <c r="M661" s="73"/>
      <c r="N661" s="73">
        <v>4460000</v>
      </c>
      <c r="O661" s="73"/>
      <c r="P661" s="73"/>
      <c r="Q661" s="73"/>
      <c r="R661" s="73"/>
      <c r="S661" s="73"/>
      <c r="T661" s="73"/>
      <c r="U661" s="73"/>
      <c r="V661" s="73"/>
      <c r="W661" s="73"/>
      <c r="X661" s="1864">
        <f t="shared" si="22"/>
        <v>4460000</v>
      </c>
      <c r="Y661" s="23">
        <f t="shared" si="21"/>
        <v>0</v>
      </c>
    </row>
    <row r="662" spans="1:25" ht="30" x14ac:dyDescent="0.25">
      <c r="A662" s="1"/>
      <c r="B662" s="1"/>
      <c r="C662" s="1"/>
      <c r="D662" s="1"/>
      <c r="E662" s="1"/>
      <c r="F662" s="1"/>
      <c r="G662" s="1489" t="s">
        <v>3392</v>
      </c>
      <c r="H662" s="1" t="str">
        <f>'Bid 3b'!B18</f>
        <v>Belanaja Bahan Meterial</v>
      </c>
      <c r="I662" s="73"/>
      <c r="J662" s="4"/>
      <c r="K662" s="4" t="s">
        <v>3598</v>
      </c>
      <c r="L662" s="73"/>
      <c r="M662" s="73"/>
      <c r="N662" s="73"/>
      <c r="O662" s="73"/>
      <c r="P662" s="73"/>
      <c r="Q662" s="73"/>
      <c r="R662" s="73"/>
      <c r="S662" s="73"/>
      <c r="T662" s="73"/>
      <c r="U662" s="73"/>
      <c r="V662" s="73"/>
      <c r="W662" s="73"/>
      <c r="X662" s="1864">
        <f t="shared" si="22"/>
        <v>0</v>
      </c>
      <c r="Y662" s="23">
        <f t="shared" si="21"/>
        <v>0</v>
      </c>
    </row>
    <row r="663" spans="1:25" ht="30" x14ac:dyDescent="0.25">
      <c r="A663" s="1"/>
      <c r="B663" s="1"/>
      <c r="C663" s="1"/>
      <c r="D663" s="1"/>
      <c r="E663" s="1"/>
      <c r="F663" s="1"/>
      <c r="G663" s="1">
        <v>90</v>
      </c>
      <c r="H663" s="4" t="str">
        <f>'Bid 3b'!B19</f>
        <v>Belanja Upakara, Upacara Dan Aci</v>
      </c>
      <c r="I663" s="73">
        <f>SUM('Bid 3b'!F20:F22)</f>
        <v>65000</v>
      </c>
      <c r="J663" s="4" t="s">
        <v>1220</v>
      </c>
      <c r="K663" s="4" t="s">
        <v>3598</v>
      </c>
      <c r="L663" s="73"/>
      <c r="M663" s="73"/>
      <c r="N663" s="73">
        <v>65000</v>
      </c>
      <c r="O663" s="73"/>
      <c r="P663" s="73"/>
      <c r="Q663" s="73"/>
      <c r="R663" s="73"/>
      <c r="S663" s="73"/>
      <c r="T663" s="73"/>
      <c r="U663" s="73"/>
      <c r="V663" s="73"/>
      <c r="W663" s="73"/>
      <c r="X663" s="1864">
        <f t="shared" si="22"/>
        <v>65000</v>
      </c>
      <c r="Y663" s="23">
        <f t="shared" si="21"/>
        <v>0</v>
      </c>
    </row>
    <row r="664" spans="1:25" ht="30" x14ac:dyDescent="0.25">
      <c r="A664" s="1"/>
      <c r="B664" s="1"/>
      <c r="C664" s="1"/>
      <c r="D664" s="1">
        <v>5</v>
      </c>
      <c r="E664" s="1">
        <v>2</v>
      </c>
      <c r="F664" s="1">
        <v>2</v>
      </c>
      <c r="G664" s="1"/>
      <c r="H664" s="4" t="str">
        <f>'Bid 3b'!B23</f>
        <v>Belanja Jasa Honorarium</v>
      </c>
      <c r="I664" s="73"/>
      <c r="J664" s="4"/>
      <c r="K664" s="4" t="s">
        <v>3598</v>
      </c>
      <c r="L664" s="73"/>
      <c r="M664" s="73"/>
      <c r="N664" s="73"/>
      <c r="O664" s="73"/>
      <c r="P664" s="73"/>
      <c r="Q664" s="73"/>
      <c r="R664" s="73"/>
      <c r="S664" s="73"/>
      <c r="T664" s="73"/>
      <c r="U664" s="73"/>
      <c r="V664" s="73"/>
      <c r="W664" s="73"/>
      <c r="X664" s="1864">
        <f t="shared" si="22"/>
        <v>0</v>
      </c>
      <c r="Y664" s="23">
        <f t="shared" si="21"/>
        <v>0</v>
      </c>
    </row>
    <row r="665" spans="1:25" ht="30" x14ac:dyDescent="0.25">
      <c r="A665" s="1"/>
      <c r="B665" s="1"/>
      <c r="C665" s="1"/>
      <c r="D665" s="1"/>
      <c r="E665" s="1"/>
      <c r="F665" s="1"/>
      <c r="G665" s="1489" t="s">
        <v>3390</v>
      </c>
      <c r="H665" s="4" t="str">
        <f>'Bid 3b'!B24</f>
        <v>Belanja Jasa Honorarium Petugas (Linmas 33 orang)</v>
      </c>
      <c r="I665" s="73">
        <f>'Bid 3b'!F24</f>
        <v>3300000</v>
      </c>
      <c r="J665" s="4" t="s">
        <v>1220</v>
      </c>
      <c r="K665" s="4" t="s">
        <v>3598</v>
      </c>
      <c r="L665" s="73"/>
      <c r="M665" s="73"/>
      <c r="N665" s="73">
        <v>3300000</v>
      </c>
      <c r="O665" s="73"/>
      <c r="P665" s="73"/>
      <c r="Q665" s="73"/>
      <c r="R665" s="73"/>
      <c r="S665" s="73"/>
      <c r="T665" s="73"/>
      <c r="U665" s="73"/>
      <c r="V665" s="73"/>
      <c r="W665" s="73"/>
      <c r="X665" s="1864">
        <f t="shared" si="22"/>
        <v>3300000</v>
      </c>
      <c r="Y665" s="23">
        <f t="shared" si="21"/>
        <v>0</v>
      </c>
    </row>
    <row r="666" spans="1:25" ht="61.9" customHeight="1" x14ac:dyDescent="0.25">
      <c r="A666" s="865">
        <v>3</v>
      </c>
      <c r="B666" s="865">
        <v>1</v>
      </c>
      <c r="C666" s="1490" t="s">
        <v>3388</v>
      </c>
      <c r="D666" s="865"/>
      <c r="E666" s="865"/>
      <c r="F666" s="865"/>
      <c r="G666" s="865"/>
      <c r="H666" s="1061" t="str">
        <f>'Bid 3b'!B40</f>
        <v>: Koordinasi Pembinaan Ketentraman, Ketertiban, dan Perlindungan Masyarakat (Pengamanan Tahun Baru)</v>
      </c>
      <c r="I666" s="1063">
        <f>SUM(I667:I673)</f>
        <v>9720132.1799999997</v>
      </c>
      <c r="J666" s="1061" t="s">
        <v>2253</v>
      </c>
      <c r="K666" s="1061" t="s">
        <v>3598</v>
      </c>
      <c r="L666" s="1063"/>
      <c r="M666" s="1063"/>
      <c r="N666" s="1063"/>
      <c r="O666" s="1063"/>
      <c r="P666" s="1063"/>
      <c r="Q666" s="1063"/>
      <c r="R666" s="1063"/>
      <c r="S666" s="1063"/>
      <c r="T666" s="1063"/>
      <c r="U666" s="1063"/>
      <c r="V666" s="1063"/>
      <c r="W666" s="1063"/>
      <c r="X666" s="1866">
        <f t="shared" si="22"/>
        <v>0</v>
      </c>
      <c r="Y666" s="23">
        <f t="shared" si="21"/>
        <v>-9720132.1799999997</v>
      </c>
    </row>
    <row r="667" spans="1:25" ht="30" x14ac:dyDescent="0.25">
      <c r="A667" s="1"/>
      <c r="B667" s="1"/>
      <c r="C667" s="1"/>
      <c r="D667" s="1">
        <v>5</v>
      </c>
      <c r="E667" s="1">
        <v>2</v>
      </c>
      <c r="F667" s="1"/>
      <c r="G667" s="1"/>
      <c r="H667" s="4" t="str">
        <f>'Bid 3b'!B46</f>
        <v>Belanja Barang dan Jasa</v>
      </c>
      <c r="I667" s="98"/>
      <c r="J667" s="1"/>
      <c r="K667" s="4" t="s">
        <v>3598</v>
      </c>
      <c r="L667" s="73"/>
      <c r="M667" s="73"/>
      <c r="N667" s="73"/>
      <c r="O667" s="73"/>
      <c r="P667" s="73"/>
      <c r="Q667" s="73"/>
      <c r="R667" s="73"/>
      <c r="S667" s="73"/>
      <c r="T667" s="73"/>
      <c r="U667" s="73"/>
      <c r="V667" s="73"/>
      <c r="W667" s="73"/>
      <c r="X667" s="1864">
        <f t="shared" si="22"/>
        <v>0</v>
      </c>
      <c r="Y667" s="23">
        <f t="shared" si="21"/>
        <v>0</v>
      </c>
    </row>
    <row r="668" spans="1:25" ht="30" x14ac:dyDescent="0.25">
      <c r="A668" s="1"/>
      <c r="B668" s="1"/>
      <c r="C668" s="1"/>
      <c r="D668" s="1"/>
      <c r="E668" s="1"/>
      <c r="F668" s="1">
        <v>1</v>
      </c>
      <c r="G668" s="1"/>
      <c r="H668" s="4" t="str">
        <f>'Bid 3b'!B47</f>
        <v>Belanja Barang Perlengkapan</v>
      </c>
      <c r="I668" s="73"/>
      <c r="J668" s="1"/>
      <c r="K668" s="4" t="s">
        <v>3598</v>
      </c>
      <c r="L668" s="73"/>
      <c r="M668" s="73"/>
      <c r="N668" s="73"/>
      <c r="O668" s="73"/>
      <c r="P668" s="73"/>
      <c r="Q668" s="73"/>
      <c r="R668" s="73"/>
      <c r="S668" s="73"/>
      <c r="T668" s="73"/>
      <c r="U668" s="73"/>
      <c r="V668" s="73"/>
      <c r="W668" s="73"/>
      <c r="X668" s="1864">
        <f t="shared" si="22"/>
        <v>0</v>
      </c>
      <c r="Y668" s="23">
        <f t="shared" si="21"/>
        <v>0</v>
      </c>
    </row>
    <row r="669" spans="1:25" ht="30" x14ac:dyDescent="0.25">
      <c r="A669" s="1"/>
      <c r="B669" s="1"/>
      <c r="C669" s="1"/>
      <c r="D669" s="1"/>
      <c r="E669" s="1"/>
      <c r="F669" s="1"/>
      <c r="G669" s="1489" t="s">
        <v>3391</v>
      </c>
      <c r="H669" s="4" t="str">
        <f>'Bid 3b'!B48</f>
        <v>Belanja Perlengkapan Barang Konsumsi</v>
      </c>
      <c r="I669" s="73">
        <f>SUM('Bid 3b'!F49:F50)</f>
        <v>4500000</v>
      </c>
      <c r="J669" s="4" t="s">
        <v>2253</v>
      </c>
      <c r="K669" s="4" t="s">
        <v>3598</v>
      </c>
      <c r="L669" s="73">
        <v>4500000</v>
      </c>
      <c r="M669" s="73"/>
      <c r="N669" s="73"/>
      <c r="O669" s="73"/>
      <c r="P669" s="73"/>
      <c r="Q669" s="73"/>
      <c r="R669" s="73"/>
      <c r="S669" s="73"/>
      <c r="T669" s="73"/>
      <c r="U669" s="73"/>
      <c r="V669" s="73"/>
      <c r="W669" s="73"/>
      <c r="X669" s="1864">
        <f t="shared" si="22"/>
        <v>4500000</v>
      </c>
      <c r="Y669" s="23">
        <f t="shared" si="21"/>
        <v>0</v>
      </c>
    </row>
    <row r="670" spans="1:25" ht="30" x14ac:dyDescent="0.25">
      <c r="A670" s="1"/>
      <c r="B670" s="1"/>
      <c r="C670" s="1"/>
      <c r="D670" s="1"/>
      <c r="E670" s="1"/>
      <c r="F670" s="1"/>
      <c r="G670" s="1489"/>
      <c r="H670" s="4" t="str">
        <f>'Bid 3b'!B51</f>
        <v>Belanja Alat Material</v>
      </c>
      <c r="I670" s="73">
        <f>'Bid 3b'!F52</f>
        <v>255132.1799999997</v>
      </c>
      <c r="J670" s="4" t="s">
        <v>2253</v>
      </c>
      <c r="K670" s="4" t="s">
        <v>3598</v>
      </c>
      <c r="L670" s="73">
        <v>255132.1799999997</v>
      </c>
      <c r="M670" s="73"/>
      <c r="N670" s="73"/>
      <c r="O670" s="73"/>
      <c r="P670" s="73"/>
      <c r="Q670" s="73"/>
      <c r="R670" s="73"/>
      <c r="S670" s="73"/>
      <c r="T670" s="73"/>
      <c r="U670" s="73"/>
      <c r="V670" s="73"/>
      <c r="W670" s="73"/>
      <c r="X670" s="1864">
        <f t="shared" si="22"/>
        <v>255132.1799999997</v>
      </c>
      <c r="Y670" s="23">
        <f t="shared" si="21"/>
        <v>0</v>
      </c>
    </row>
    <row r="671" spans="1:25" ht="30" x14ac:dyDescent="0.25">
      <c r="A671" s="1"/>
      <c r="B671" s="1"/>
      <c r="C671" s="1"/>
      <c r="D671" s="1"/>
      <c r="E671" s="1"/>
      <c r="F671" s="1"/>
      <c r="G671" s="1">
        <v>90</v>
      </c>
      <c r="H671" s="4" t="str">
        <f>'Bid 3b'!B53</f>
        <v>Belanja Upakara, Upacara Dan Aci</v>
      </c>
      <c r="I671" s="73">
        <f>SUM('Bid 3b'!F54:F56)</f>
        <v>65000</v>
      </c>
      <c r="J671" s="4" t="s">
        <v>2253</v>
      </c>
      <c r="K671" s="4" t="s">
        <v>3598</v>
      </c>
      <c r="L671" s="73">
        <v>65000</v>
      </c>
      <c r="M671" s="73"/>
      <c r="N671" s="73"/>
      <c r="O671" s="73"/>
      <c r="P671" s="73"/>
      <c r="Q671" s="73"/>
      <c r="R671" s="73"/>
      <c r="S671" s="73"/>
      <c r="T671" s="73"/>
      <c r="U671" s="73"/>
      <c r="V671" s="73"/>
      <c r="W671" s="73"/>
      <c r="X671" s="1864">
        <f t="shared" si="22"/>
        <v>65000</v>
      </c>
      <c r="Y671" s="23">
        <f t="shared" si="21"/>
        <v>0</v>
      </c>
    </row>
    <row r="672" spans="1:25" ht="30" x14ac:dyDescent="0.25">
      <c r="A672" s="1"/>
      <c r="B672" s="1"/>
      <c r="C672" s="1"/>
      <c r="D672" s="1">
        <v>5</v>
      </c>
      <c r="E672" s="1">
        <v>2</v>
      </c>
      <c r="F672" s="1">
        <v>2</v>
      </c>
      <c r="G672" s="1"/>
      <c r="H672" s="4" t="str">
        <f>'Bid 3b'!B57</f>
        <v>Belanja Jasa Honorarium</v>
      </c>
      <c r="I672" s="73"/>
      <c r="J672" s="4"/>
      <c r="K672" s="4" t="s">
        <v>3598</v>
      </c>
      <c r="L672" s="73"/>
      <c r="M672" s="73"/>
      <c r="N672" s="73"/>
      <c r="O672" s="73"/>
      <c r="P672" s="73"/>
      <c r="Q672" s="73"/>
      <c r="R672" s="73"/>
      <c r="S672" s="73"/>
      <c r="T672" s="73"/>
      <c r="U672" s="73"/>
      <c r="V672" s="73"/>
      <c r="W672" s="73"/>
      <c r="X672" s="1864">
        <f t="shared" si="22"/>
        <v>0</v>
      </c>
      <c r="Y672" s="23">
        <f t="shared" si="21"/>
        <v>0</v>
      </c>
    </row>
    <row r="673" spans="1:25" ht="60" x14ac:dyDescent="0.25">
      <c r="A673" s="1"/>
      <c r="B673" s="1"/>
      <c r="C673" s="1"/>
      <c r="D673" s="1"/>
      <c r="E673" s="1"/>
      <c r="F673" s="1"/>
      <c r="G673" s="1489" t="s">
        <v>3390</v>
      </c>
      <c r="H673" s="4" t="str">
        <f>'Bid 3b'!B58</f>
        <v>Belanja Jasa Honorarium Petugas Linmas 33or, Bendesa 3or, 13kelihan banjar</v>
      </c>
      <c r="I673" s="73">
        <f>'Bid 3b'!F58</f>
        <v>4900000</v>
      </c>
      <c r="J673" s="4" t="s">
        <v>2253</v>
      </c>
      <c r="K673" s="4" t="s">
        <v>3598</v>
      </c>
      <c r="L673" s="73">
        <v>4900000</v>
      </c>
      <c r="M673" s="73"/>
      <c r="N673" s="73"/>
      <c r="O673" s="73"/>
      <c r="P673" s="73"/>
      <c r="Q673" s="73"/>
      <c r="R673" s="73"/>
      <c r="S673" s="73"/>
      <c r="T673" s="73"/>
      <c r="U673" s="73"/>
      <c r="V673" s="73"/>
      <c r="W673" s="73"/>
      <c r="X673" s="1864">
        <f t="shared" si="22"/>
        <v>4900000</v>
      </c>
      <c r="Y673" s="23">
        <f t="shared" si="21"/>
        <v>0</v>
      </c>
    </row>
    <row r="674" spans="1:25" ht="60.6" customHeight="1" x14ac:dyDescent="0.25">
      <c r="A674" s="865">
        <v>3</v>
      </c>
      <c r="B674" s="865">
        <v>1</v>
      </c>
      <c r="C674" s="1490" t="s">
        <v>3388</v>
      </c>
      <c r="D674" s="865"/>
      <c r="E674" s="865"/>
      <c r="F674" s="865"/>
      <c r="G674" s="865"/>
      <c r="H674" s="1061" t="str">
        <f>'Bid 3b'!B74</f>
        <v>:Koordinasi Pembinaan Ketentraman, Ketertiban, dan Perlindungan Masyarakat (Penjagaan Linmas Desa)</v>
      </c>
      <c r="I674" s="1063">
        <f>SUM(I675:I683)</f>
        <v>317636000</v>
      </c>
      <c r="J674" s="865"/>
      <c r="K674" s="1061" t="s">
        <v>3598</v>
      </c>
      <c r="L674" s="1063"/>
      <c r="M674" s="1063"/>
      <c r="N674" s="1063"/>
      <c r="O674" s="1063"/>
      <c r="P674" s="1063"/>
      <c r="Q674" s="1063"/>
      <c r="R674" s="1063"/>
      <c r="S674" s="1063"/>
      <c r="T674" s="1063"/>
      <c r="U674" s="1063"/>
      <c r="V674" s="1063"/>
      <c r="W674" s="1063"/>
      <c r="X674" s="1866">
        <f t="shared" si="22"/>
        <v>0</v>
      </c>
      <c r="Y674" s="23">
        <f t="shared" si="21"/>
        <v>-317636000</v>
      </c>
    </row>
    <row r="675" spans="1:25" ht="30" x14ac:dyDescent="0.25">
      <c r="A675" s="1"/>
      <c r="B675" s="1"/>
      <c r="C675" s="1"/>
      <c r="D675" s="1">
        <v>5</v>
      </c>
      <c r="E675" s="1">
        <v>2</v>
      </c>
      <c r="F675" s="1"/>
      <c r="G675" s="1"/>
      <c r="H675" s="4" t="str">
        <f>'Bid 3b'!B79</f>
        <v>Belanja Barang Dan Jasa</v>
      </c>
      <c r="I675" s="73"/>
      <c r="J675" s="1"/>
      <c r="K675" s="4" t="s">
        <v>3598</v>
      </c>
      <c r="L675" s="73"/>
      <c r="M675" s="73"/>
      <c r="N675" s="73"/>
      <c r="O675" s="73"/>
      <c r="P675" s="73"/>
      <c r="Q675" s="73"/>
      <c r="R675" s="73"/>
      <c r="S675" s="73"/>
      <c r="T675" s="73"/>
      <c r="U675" s="73"/>
      <c r="V675" s="73"/>
      <c r="W675" s="73"/>
      <c r="X675" s="1864">
        <f t="shared" si="22"/>
        <v>0</v>
      </c>
      <c r="Y675" s="23">
        <f t="shared" si="21"/>
        <v>0</v>
      </c>
    </row>
    <row r="676" spans="1:25" ht="30" x14ac:dyDescent="0.25">
      <c r="A676" s="1"/>
      <c r="B676" s="1"/>
      <c r="C676" s="1"/>
      <c r="D676" s="1"/>
      <c r="E676" s="1"/>
      <c r="F676" s="1">
        <v>1</v>
      </c>
      <c r="G676" s="1"/>
      <c r="H676" s="4" t="str">
        <f>'Bid 3b'!B80</f>
        <v>Belanja Barang Perlengkapan</v>
      </c>
      <c r="I676" s="73"/>
      <c r="J676" s="1"/>
      <c r="K676" s="4" t="s">
        <v>3598</v>
      </c>
      <c r="L676" s="73"/>
      <c r="M676" s="73"/>
      <c r="N676" s="73"/>
      <c r="O676" s="73"/>
      <c r="P676" s="73"/>
      <c r="Q676" s="73"/>
      <c r="R676" s="73"/>
      <c r="S676" s="73"/>
      <c r="T676" s="73"/>
      <c r="U676" s="73"/>
      <c r="V676" s="73"/>
      <c r="W676" s="73"/>
      <c r="X676" s="1864">
        <f t="shared" si="22"/>
        <v>0</v>
      </c>
      <c r="Y676" s="23">
        <f t="shared" si="21"/>
        <v>0</v>
      </c>
    </row>
    <row r="677" spans="1:25" ht="30" x14ac:dyDescent="0.25">
      <c r="A677" s="1"/>
      <c r="B677" s="1"/>
      <c r="C677" s="1"/>
      <c r="D677" s="1"/>
      <c r="E677" s="1"/>
      <c r="F677" s="1"/>
      <c r="G677" s="1489" t="s">
        <v>3390</v>
      </c>
      <c r="H677" s="4" t="str">
        <f>'Bid 3b'!B81</f>
        <v>Belanja perlengkapan Cetak</v>
      </c>
      <c r="I677" s="73">
        <f>SUM('Bid 3b'!F82:F83)</f>
        <v>186000</v>
      </c>
      <c r="J677" s="1" t="s">
        <v>1220</v>
      </c>
      <c r="K677" s="4" t="s">
        <v>3598</v>
      </c>
      <c r="L677" s="73">
        <v>186000</v>
      </c>
      <c r="M677" s="73"/>
      <c r="N677" s="73"/>
      <c r="O677" s="73"/>
      <c r="P677" s="73"/>
      <c r="Q677" s="73"/>
      <c r="R677" s="73"/>
      <c r="S677" s="73"/>
      <c r="T677" s="73"/>
      <c r="U677" s="73"/>
      <c r="V677" s="73"/>
      <c r="W677" s="73"/>
      <c r="X677" s="1864">
        <f t="shared" si="22"/>
        <v>186000</v>
      </c>
      <c r="Y677" s="23">
        <f t="shared" si="21"/>
        <v>0</v>
      </c>
    </row>
    <row r="678" spans="1:25" ht="45" x14ac:dyDescent="0.25">
      <c r="A678" s="1"/>
      <c r="B678" s="1"/>
      <c r="C678" s="1"/>
      <c r="D678" s="1"/>
      <c r="E678" s="1"/>
      <c r="F678" s="1"/>
      <c r="G678" s="1489" t="s">
        <v>3389</v>
      </c>
      <c r="H678" s="4" t="str">
        <f>'Bid 3b'!B84</f>
        <v>Belanja Bahan Bakar Minyak/ gas/ isi Ulang Tabung Pemadam Kebakaran</v>
      </c>
      <c r="I678" s="73">
        <f>SUM('Bid 3b'!F85:F86)</f>
        <v>15000000</v>
      </c>
      <c r="J678" s="1" t="s">
        <v>1220</v>
      </c>
      <c r="K678" s="4" t="s">
        <v>3598</v>
      </c>
      <c r="L678" s="73">
        <v>15000000</v>
      </c>
      <c r="M678" s="73"/>
      <c r="N678" s="73"/>
      <c r="O678" s="73"/>
      <c r="P678" s="73"/>
      <c r="Q678" s="73"/>
      <c r="R678" s="73"/>
      <c r="S678" s="73"/>
      <c r="T678" s="73"/>
      <c r="U678" s="73"/>
      <c r="V678" s="73"/>
      <c r="W678" s="73"/>
      <c r="X678" s="1864">
        <f t="shared" si="22"/>
        <v>15000000</v>
      </c>
      <c r="Y678" s="23">
        <f t="shared" si="21"/>
        <v>0</v>
      </c>
    </row>
    <row r="679" spans="1:25" ht="30" x14ac:dyDescent="0.25">
      <c r="A679" s="1"/>
      <c r="B679" s="1"/>
      <c r="C679" s="1"/>
      <c r="D679" s="1">
        <v>5</v>
      </c>
      <c r="E679" s="1">
        <v>2</v>
      </c>
      <c r="F679" s="1">
        <v>2</v>
      </c>
      <c r="G679" s="1"/>
      <c r="H679" s="4" t="str">
        <f>'Bid 3b'!B87</f>
        <v>Belanja Jasa Honorarium</v>
      </c>
      <c r="I679" s="73"/>
      <c r="J679" s="1"/>
      <c r="K679" s="4" t="s">
        <v>3598</v>
      </c>
      <c r="L679" s="73"/>
      <c r="M679" s="73"/>
      <c r="N679" s="73"/>
      <c r="O679" s="73"/>
      <c r="P679" s="73"/>
      <c r="Q679" s="73"/>
      <c r="R679" s="73"/>
      <c r="S679" s="73"/>
      <c r="T679" s="73"/>
      <c r="U679" s="73"/>
      <c r="V679" s="73"/>
      <c r="W679" s="73"/>
      <c r="X679" s="1864">
        <f t="shared" si="22"/>
        <v>0</v>
      </c>
      <c r="Y679" s="23">
        <f t="shared" si="21"/>
        <v>0</v>
      </c>
    </row>
    <row r="680" spans="1:25" ht="30" x14ac:dyDescent="0.25">
      <c r="A680" s="1"/>
      <c r="B680" s="1"/>
      <c r="C680" s="1"/>
      <c r="D680" s="1"/>
      <c r="E680" s="1"/>
      <c r="F680" s="1"/>
      <c r="G680" s="1489" t="s">
        <v>3366</v>
      </c>
      <c r="H680" s="4" t="str">
        <f>'Bid 3b'!B88</f>
        <v>Belanja Jasa Honorarium Tim yang Melaksanakan Kegiatan</v>
      </c>
      <c r="I680" s="73">
        <f>SUM('Bid 3b'!F89:F90)</f>
        <v>700000</v>
      </c>
      <c r="J680" s="1" t="s">
        <v>1220</v>
      </c>
      <c r="K680" s="4" t="s">
        <v>3598</v>
      </c>
      <c r="L680" s="73">
        <v>700000</v>
      </c>
      <c r="M680" s="73"/>
      <c r="N680" s="73"/>
      <c r="O680" s="73"/>
      <c r="P680" s="73"/>
      <c r="Q680" s="73"/>
      <c r="R680" s="73"/>
      <c r="S680" s="73"/>
      <c r="T680" s="73"/>
      <c r="U680" s="73"/>
      <c r="V680" s="73"/>
      <c r="W680" s="73"/>
      <c r="X680" s="1864">
        <f t="shared" si="22"/>
        <v>700000</v>
      </c>
      <c r="Y680" s="23">
        <f t="shared" si="21"/>
        <v>0</v>
      </c>
    </row>
    <row r="681" spans="1:25" ht="30" x14ac:dyDescent="0.25">
      <c r="A681" s="1"/>
      <c r="B681" s="1"/>
      <c r="C681" s="1"/>
      <c r="D681" s="1"/>
      <c r="E681" s="1"/>
      <c r="F681" s="1"/>
      <c r="G681" s="1489" t="s">
        <v>3389</v>
      </c>
      <c r="H681" s="4" t="str">
        <f>'Bid 3b'!B91</f>
        <v>Belanja Jasa Honorarium Petugas</v>
      </c>
      <c r="I681" s="73">
        <f>'Bid 3b'!F92</f>
        <v>255500000</v>
      </c>
      <c r="J681" s="4" t="s">
        <v>1777</v>
      </c>
      <c r="K681" s="4" t="s">
        <v>3598</v>
      </c>
      <c r="L681" s="73">
        <f>700000*31</f>
        <v>21700000</v>
      </c>
      <c r="M681" s="73">
        <f>700000*28</f>
        <v>19600000</v>
      </c>
      <c r="N681" s="73">
        <f>700000*31</f>
        <v>21700000</v>
      </c>
      <c r="O681" s="73">
        <f>700000*30</f>
        <v>21000000</v>
      </c>
      <c r="P681" s="73">
        <f>700000*31</f>
        <v>21700000</v>
      </c>
      <c r="Q681" s="73">
        <f>700000*30</f>
        <v>21000000</v>
      </c>
      <c r="R681" s="73">
        <f>700000*31</f>
        <v>21700000</v>
      </c>
      <c r="S681" s="73">
        <f>700000*31</f>
        <v>21700000</v>
      </c>
      <c r="T681" s="73">
        <f>700000*30</f>
        <v>21000000</v>
      </c>
      <c r="U681" s="73">
        <f>700000*31</f>
        <v>21700000</v>
      </c>
      <c r="V681" s="73">
        <f>700000*30</f>
        <v>21000000</v>
      </c>
      <c r="W681" s="73">
        <f>700000*31</f>
        <v>21700000</v>
      </c>
      <c r="X681" s="1864">
        <f t="shared" si="22"/>
        <v>255500000</v>
      </c>
      <c r="Y681" s="23">
        <f t="shared" si="21"/>
        <v>0</v>
      </c>
    </row>
    <row r="682" spans="1:25" ht="30" x14ac:dyDescent="0.25">
      <c r="A682" s="1"/>
      <c r="B682" s="1"/>
      <c r="C682" s="1"/>
      <c r="D682" s="1">
        <v>5</v>
      </c>
      <c r="E682" s="1">
        <v>2</v>
      </c>
      <c r="F682" s="1">
        <v>6</v>
      </c>
      <c r="G682" s="1"/>
      <c r="H682" s="4" t="str">
        <f>'Bid 3b'!B93</f>
        <v>Belanja Pemeliharaan</v>
      </c>
      <c r="I682" s="73"/>
      <c r="J682" s="1"/>
      <c r="K682" s="4" t="s">
        <v>3598</v>
      </c>
      <c r="L682" s="73"/>
      <c r="M682" s="73"/>
      <c r="N682" s="73"/>
      <c r="O682" s="73"/>
      <c r="P682" s="73"/>
      <c r="Q682" s="73"/>
      <c r="R682" s="73"/>
      <c r="S682" s="73"/>
      <c r="T682" s="73"/>
      <c r="U682" s="73"/>
      <c r="V682" s="73"/>
      <c r="W682" s="73"/>
      <c r="X682" s="1864">
        <f t="shared" si="22"/>
        <v>0</v>
      </c>
      <c r="Y682" s="23">
        <f t="shared" si="21"/>
        <v>0</v>
      </c>
    </row>
    <row r="683" spans="1:25" s="1903" customFormat="1" ht="30" x14ac:dyDescent="0.25">
      <c r="A683" s="1898"/>
      <c r="B683" s="1898"/>
      <c r="C683" s="1898"/>
      <c r="D683" s="1898"/>
      <c r="E683" s="1898"/>
      <c r="F683" s="1898"/>
      <c r="G683" s="1904" t="s">
        <v>3386</v>
      </c>
      <c r="H683" s="1899" t="str">
        <f>'Bid 3b'!B94</f>
        <v>Belanja Pemeliharaan Kendaraan Bermotor</v>
      </c>
      <c r="I683" s="1900">
        <f>SUM('Bid 3b'!F95:F99)</f>
        <v>46250000</v>
      </c>
      <c r="J683" s="1898" t="s">
        <v>1506</v>
      </c>
      <c r="K683" s="1899" t="s">
        <v>3598</v>
      </c>
      <c r="L683" s="1900"/>
      <c r="M683" s="1900">
        <v>46250000</v>
      </c>
      <c r="N683" s="1900"/>
      <c r="O683" s="1900"/>
      <c r="P683" s="1900"/>
      <c r="Q683" s="1900"/>
      <c r="R683" s="1900"/>
      <c r="S683" s="1900"/>
      <c r="T683" s="1900"/>
      <c r="U683" s="1900"/>
      <c r="V683" s="1900"/>
      <c r="W683" s="1900"/>
      <c r="X683" s="1901">
        <f t="shared" si="22"/>
        <v>46250000</v>
      </c>
      <c r="Y683" s="1902">
        <f t="shared" si="21"/>
        <v>0</v>
      </c>
    </row>
    <row r="684" spans="1:25" ht="70.900000000000006" customHeight="1" x14ac:dyDescent="0.25">
      <c r="A684" s="865">
        <v>3</v>
      </c>
      <c r="B684" s="865">
        <v>1</v>
      </c>
      <c r="C684" s="1490" t="s">
        <v>3389</v>
      </c>
      <c r="D684" s="865"/>
      <c r="E684" s="865"/>
      <c r="F684" s="865"/>
      <c r="G684" s="865"/>
      <c r="H684" s="1061" t="str">
        <f>'Bid 3b'!B115</f>
        <v>: Pelatihan Kesiapsiagaan/Tanggap Bencana Skala Lokal Desa ( Pelatihan Tanggap Darurat Bencana )</v>
      </c>
      <c r="I684" s="1063">
        <f>SUM(I685:I693)</f>
        <v>34770000</v>
      </c>
      <c r="J684" s="865" t="s">
        <v>1506</v>
      </c>
      <c r="K684" s="1061" t="s">
        <v>3598</v>
      </c>
      <c r="L684" s="1063"/>
      <c r="M684" s="1063"/>
      <c r="N684" s="1063"/>
      <c r="O684" s="1063"/>
      <c r="P684" s="1063"/>
      <c r="Q684" s="1063"/>
      <c r="R684" s="1063"/>
      <c r="S684" s="1063"/>
      <c r="T684" s="1063"/>
      <c r="U684" s="1063"/>
      <c r="V684" s="1063"/>
      <c r="W684" s="1063"/>
      <c r="X684" s="1866">
        <f t="shared" si="22"/>
        <v>0</v>
      </c>
      <c r="Y684" s="23">
        <f t="shared" ref="Y684:Y748" si="23">X684-I684</f>
        <v>-34770000</v>
      </c>
    </row>
    <row r="685" spans="1:25" ht="30" x14ac:dyDescent="0.25">
      <c r="A685" s="1"/>
      <c r="B685" s="1"/>
      <c r="C685" s="1"/>
      <c r="D685" s="1">
        <v>5</v>
      </c>
      <c r="E685" s="1">
        <v>2</v>
      </c>
      <c r="F685" s="1"/>
      <c r="G685" s="1"/>
      <c r="H685" s="4" t="str">
        <f>'Bid 3b'!B120</f>
        <v>Belanja Barang Dan Jasa</v>
      </c>
      <c r="I685" s="73"/>
      <c r="J685" s="1"/>
      <c r="K685" s="4" t="s">
        <v>3598</v>
      </c>
      <c r="L685" s="73"/>
      <c r="M685" s="73"/>
      <c r="N685" s="73"/>
      <c r="O685" s="73"/>
      <c r="P685" s="73"/>
      <c r="Q685" s="73"/>
      <c r="R685" s="73"/>
      <c r="S685" s="73"/>
      <c r="T685" s="73"/>
      <c r="U685" s="73"/>
      <c r="V685" s="73"/>
      <c r="W685" s="73"/>
      <c r="X685" s="1864">
        <f t="shared" si="22"/>
        <v>0</v>
      </c>
      <c r="Y685" s="23">
        <f t="shared" si="23"/>
        <v>0</v>
      </c>
    </row>
    <row r="686" spans="1:25" ht="30" x14ac:dyDescent="0.25">
      <c r="A686" s="1"/>
      <c r="B686" s="1"/>
      <c r="C686" s="1"/>
      <c r="D686" s="1"/>
      <c r="E686" s="1"/>
      <c r="F686" s="1">
        <v>1</v>
      </c>
      <c r="G686" s="1"/>
      <c r="H686" s="4" t="str">
        <f>'Bid 3b'!B121</f>
        <v>Belanja Barang Perlengkapan</v>
      </c>
      <c r="I686" s="73"/>
      <c r="J686" s="1"/>
      <c r="K686" s="4" t="s">
        <v>3598</v>
      </c>
      <c r="L686" s="73"/>
      <c r="M686" s="73"/>
      <c r="N686" s="73"/>
      <c r="O686" s="73"/>
      <c r="P686" s="73"/>
      <c r="Q686" s="73"/>
      <c r="R686" s="73"/>
      <c r="S686" s="73"/>
      <c r="T686" s="73"/>
      <c r="U686" s="73"/>
      <c r="V686" s="73"/>
      <c r="W686" s="73"/>
      <c r="X686" s="1864">
        <f t="shared" si="22"/>
        <v>0</v>
      </c>
      <c r="Y686" s="23">
        <f t="shared" si="23"/>
        <v>0</v>
      </c>
    </row>
    <row r="687" spans="1:25" ht="30" x14ac:dyDescent="0.25">
      <c r="A687" s="1"/>
      <c r="B687" s="1"/>
      <c r="C687" s="1"/>
      <c r="D687" s="1"/>
      <c r="E687" s="1"/>
      <c r="F687" s="1"/>
      <c r="G687" s="1489" t="s">
        <v>3391</v>
      </c>
      <c r="H687" s="4" t="str">
        <f>'Bid 3b'!B122</f>
        <v>Belanja Perlengkapan Barang Konsumsi</v>
      </c>
      <c r="I687" s="73">
        <f>'Bid 3b'!F123</f>
        <v>900000</v>
      </c>
      <c r="J687" s="1" t="s">
        <v>1506</v>
      </c>
      <c r="K687" s="4" t="s">
        <v>3598</v>
      </c>
      <c r="L687" s="73"/>
      <c r="M687" s="73"/>
      <c r="N687" s="73"/>
      <c r="O687" s="73"/>
      <c r="P687" s="73"/>
      <c r="Q687" s="73"/>
      <c r="R687" s="73">
        <v>900000</v>
      </c>
      <c r="S687" s="73"/>
      <c r="T687" s="73"/>
      <c r="U687" s="73"/>
      <c r="V687" s="73"/>
      <c r="W687" s="73"/>
      <c r="X687" s="1864">
        <f t="shared" si="22"/>
        <v>900000</v>
      </c>
      <c r="Y687" s="23">
        <f t="shared" si="23"/>
        <v>0</v>
      </c>
    </row>
    <row r="688" spans="1:25" ht="30" x14ac:dyDescent="0.25">
      <c r="A688" s="1"/>
      <c r="B688" s="1"/>
      <c r="C688" s="1"/>
      <c r="D688" s="1"/>
      <c r="E688" s="1"/>
      <c r="F688" s="1"/>
      <c r="G688" s="1489" t="s">
        <v>3394</v>
      </c>
      <c r="H688" s="4" t="str">
        <f>'Bid 3b'!B124</f>
        <v>Belanja Pakaian Seragam</v>
      </c>
      <c r="I688" s="73">
        <f>SUM('Bid 3b'!F125:F128)</f>
        <v>23450000</v>
      </c>
      <c r="J688" s="1" t="s">
        <v>1506</v>
      </c>
      <c r="K688" s="4" t="s">
        <v>3598</v>
      </c>
      <c r="L688" s="73"/>
      <c r="M688" s="73"/>
      <c r="N688" s="73"/>
      <c r="O688" s="73"/>
      <c r="P688" s="73"/>
      <c r="Q688" s="73"/>
      <c r="R688" s="73">
        <v>23450000</v>
      </c>
      <c r="S688" s="73"/>
      <c r="T688" s="73"/>
      <c r="U688" s="73"/>
      <c r="V688" s="73"/>
      <c r="W688" s="73"/>
      <c r="X688" s="1864">
        <f t="shared" si="22"/>
        <v>23450000</v>
      </c>
      <c r="Y688" s="23">
        <f t="shared" si="23"/>
        <v>0</v>
      </c>
    </row>
    <row r="689" spans="1:25" ht="30" x14ac:dyDescent="0.25">
      <c r="A689" s="1"/>
      <c r="B689" s="1"/>
      <c r="C689" s="1"/>
      <c r="D689" s="1"/>
      <c r="E689" s="1"/>
      <c r="F689" s="1"/>
      <c r="G689" s="1489" t="s">
        <v>3393</v>
      </c>
      <c r="H689" s="4" t="str">
        <f>'Bid 3b'!B129</f>
        <v>Belanja Bendera/ Umbul-umbul/ Spanduk</v>
      </c>
      <c r="I689" s="73">
        <f>'Bid 3b'!F130</f>
        <v>90000</v>
      </c>
      <c r="J689" s="1" t="s">
        <v>1506</v>
      </c>
      <c r="K689" s="4" t="s">
        <v>3598</v>
      </c>
      <c r="L689" s="73"/>
      <c r="M689" s="73"/>
      <c r="N689" s="73"/>
      <c r="O689" s="73"/>
      <c r="P689" s="73"/>
      <c r="Q689" s="73"/>
      <c r="R689" s="73">
        <v>90000</v>
      </c>
      <c r="S689" s="73"/>
      <c r="T689" s="73"/>
      <c r="U689" s="73"/>
      <c r="V689" s="73"/>
      <c r="W689" s="73"/>
      <c r="X689" s="1864">
        <f t="shared" si="22"/>
        <v>90000</v>
      </c>
      <c r="Y689" s="23">
        <f t="shared" si="23"/>
        <v>0</v>
      </c>
    </row>
    <row r="690" spans="1:25" ht="30" x14ac:dyDescent="0.25">
      <c r="A690" s="1"/>
      <c r="B690" s="1"/>
      <c r="C690" s="1"/>
      <c r="D690" s="1"/>
      <c r="E690" s="1"/>
      <c r="F690" s="1"/>
      <c r="G690" s="1489" t="s">
        <v>3394</v>
      </c>
      <c r="H690" s="4" t="str">
        <f>'Bid 3b'!B131</f>
        <v>Belanja Bahan Material</v>
      </c>
      <c r="I690" s="73">
        <f>SUM('Bid 3b'!F132:F133)</f>
        <v>9680000</v>
      </c>
      <c r="J690" s="1" t="s">
        <v>1506</v>
      </c>
      <c r="K690" s="4" t="s">
        <v>3598</v>
      </c>
      <c r="L690" s="73"/>
      <c r="M690" s="73"/>
      <c r="N690" s="73"/>
      <c r="O690" s="73"/>
      <c r="P690" s="73"/>
      <c r="Q690" s="73"/>
      <c r="R690" s="73">
        <v>9680000</v>
      </c>
      <c r="S690" s="73"/>
      <c r="T690" s="73"/>
      <c r="U690" s="73"/>
      <c r="V690" s="73"/>
      <c r="W690" s="73"/>
      <c r="X690" s="1864">
        <f t="shared" si="22"/>
        <v>9680000</v>
      </c>
      <c r="Y690" s="23">
        <f t="shared" si="23"/>
        <v>0</v>
      </c>
    </row>
    <row r="691" spans="1:25" ht="30" x14ac:dyDescent="0.25">
      <c r="A691" s="1"/>
      <c r="B691" s="1"/>
      <c r="C691" s="1"/>
      <c r="D691" s="1"/>
      <c r="E691" s="1"/>
      <c r="F691" s="1"/>
      <c r="G691" s="1489" t="s">
        <v>3417</v>
      </c>
      <c r="H691" s="4" t="str">
        <f>'Bid 3b'!B134</f>
        <v>Belanja Upakara, Upacara Dan Aci</v>
      </c>
      <c r="I691" s="73">
        <f>'Bid 3b'!E135</f>
        <v>50000</v>
      </c>
      <c r="J691" s="1" t="s">
        <v>1506</v>
      </c>
      <c r="K691" s="4" t="s">
        <v>3598</v>
      </c>
      <c r="L691" s="73"/>
      <c r="M691" s="73"/>
      <c r="N691" s="73"/>
      <c r="O691" s="73"/>
      <c r="P691" s="73"/>
      <c r="Q691" s="73"/>
      <c r="R691" s="73">
        <v>50000</v>
      </c>
      <c r="S691" s="73"/>
      <c r="T691" s="73"/>
      <c r="U691" s="73"/>
      <c r="V691" s="73"/>
      <c r="W691" s="73"/>
      <c r="X691" s="1864">
        <f t="shared" si="22"/>
        <v>50000</v>
      </c>
      <c r="Y691" s="23">
        <f t="shared" si="23"/>
        <v>0</v>
      </c>
    </row>
    <row r="692" spans="1:25" ht="30" x14ac:dyDescent="0.25">
      <c r="A692" s="1"/>
      <c r="B692" s="1"/>
      <c r="C692" s="1"/>
      <c r="D692" s="1">
        <v>5</v>
      </c>
      <c r="E692" s="1">
        <v>2</v>
      </c>
      <c r="F692" s="1">
        <v>2</v>
      </c>
      <c r="G692" s="1"/>
      <c r="H692" s="4" t="str">
        <f>'Bid 3b'!B136</f>
        <v>Belanja Jasa Honorarium</v>
      </c>
      <c r="I692" s="73"/>
      <c r="J692" s="1"/>
      <c r="K692" s="4" t="s">
        <v>3598</v>
      </c>
      <c r="L692" s="73"/>
      <c r="M692" s="73"/>
      <c r="N692" s="73"/>
      <c r="O692" s="73"/>
      <c r="P692" s="73"/>
      <c r="Q692" s="73"/>
      <c r="R692" s="73"/>
      <c r="S692" s="73"/>
      <c r="T692" s="73"/>
      <c r="U692" s="73"/>
      <c r="V692" s="73"/>
      <c r="W692" s="73"/>
      <c r="X692" s="1864">
        <f t="shared" ref="X692:X756" si="24">SUM(L692:W692)</f>
        <v>0</v>
      </c>
      <c r="Y692" s="23">
        <f t="shared" si="23"/>
        <v>0</v>
      </c>
    </row>
    <row r="693" spans="1:25" ht="45" x14ac:dyDescent="0.25">
      <c r="A693" s="1"/>
      <c r="B693" s="1"/>
      <c r="C693" s="1"/>
      <c r="D693" s="1"/>
      <c r="E693" s="1"/>
      <c r="F693" s="1"/>
      <c r="G693" s="1489" t="s">
        <v>3389</v>
      </c>
      <c r="H693" s="4" t="str">
        <f>'Bid 3b'!B137</f>
        <v>Belanja Jasa Honorarium Ahli/Profesi/Konsultan/Narasumber</v>
      </c>
      <c r="I693" s="73">
        <f>'Bid 3b'!F138</f>
        <v>600000</v>
      </c>
      <c r="J693" s="1" t="s">
        <v>1506</v>
      </c>
      <c r="K693" s="4" t="s">
        <v>3598</v>
      </c>
      <c r="L693" s="73"/>
      <c r="M693" s="73"/>
      <c r="N693" s="73"/>
      <c r="O693" s="73"/>
      <c r="P693" s="73"/>
      <c r="Q693" s="73"/>
      <c r="R693" s="73">
        <v>600000</v>
      </c>
      <c r="S693" s="73"/>
      <c r="T693" s="73"/>
      <c r="U693" s="73"/>
      <c r="V693" s="73"/>
      <c r="W693" s="73"/>
      <c r="X693" s="1864">
        <f t="shared" si="24"/>
        <v>600000</v>
      </c>
      <c r="Y693" s="23">
        <f t="shared" si="23"/>
        <v>0</v>
      </c>
    </row>
    <row r="694" spans="1:25" ht="30" x14ac:dyDescent="0.25">
      <c r="A694" s="865">
        <v>3</v>
      </c>
      <c r="B694" s="865">
        <v>2</v>
      </c>
      <c r="C694" s="865"/>
      <c r="D694" s="865"/>
      <c r="E694" s="865"/>
      <c r="F694" s="865"/>
      <c r="G694" s="1490"/>
      <c r="H694" s="1061" t="s">
        <v>3423</v>
      </c>
      <c r="I694" s="1063"/>
      <c r="J694" s="865"/>
      <c r="K694" s="1061"/>
      <c r="L694" s="1063"/>
      <c r="M694" s="1063"/>
      <c r="N694" s="1063"/>
      <c r="O694" s="1063"/>
      <c r="P694" s="1063"/>
      <c r="Q694" s="1063"/>
      <c r="R694" s="1063"/>
      <c r="S694" s="1063"/>
      <c r="T694" s="1063"/>
      <c r="U694" s="1063"/>
      <c r="V694" s="1063"/>
      <c r="W694" s="1063"/>
      <c r="X694" s="1866">
        <f t="shared" si="24"/>
        <v>0</v>
      </c>
      <c r="Y694" s="23">
        <f t="shared" si="23"/>
        <v>0</v>
      </c>
    </row>
    <row r="695" spans="1:25" ht="141.6" customHeight="1" x14ac:dyDescent="0.25">
      <c r="A695" s="865">
        <v>3</v>
      </c>
      <c r="B695" s="865">
        <v>2</v>
      </c>
      <c r="C695" s="1490" t="s">
        <v>3388</v>
      </c>
      <c r="D695" s="865"/>
      <c r="E695" s="865"/>
      <c r="F695" s="865"/>
      <c r="G695" s="865"/>
      <c r="H695" s="1061" t="str">
        <f>'Bid 3b'!B154</f>
        <v xml:space="preserve">  : Penyelenggaraan Festival Kesenian, Adat / Kebudayaan, dan Keagamaan (Pembinaan dan Lomba Nyurat Aksara Bali Anak Umur 7 - 12 Tahun, Ngwacen Lontar Anak Remaja Umur 16 - 18 tahun Nyatua Bali Krama Istri Dalam Rangka Penyelenggaraan Bulan Bahasa Bali )</v>
      </c>
      <c r="I695" s="1063">
        <f>SUM(I696:I718)</f>
        <v>42947000</v>
      </c>
      <c r="J695" s="1061" t="s">
        <v>1777</v>
      </c>
      <c r="K695" s="1061" t="s">
        <v>3599</v>
      </c>
      <c r="L695" s="1063"/>
      <c r="M695" s="1063"/>
      <c r="N695" s="1063"/>
      <c r="O695" s="1063"/>
      <c r="P695" s="1063"/>
      <c r="Q695" s="1063"/>
      <c r="R695" s="1063"/>
      <c r="S695" s="1063"/>
      <c r="T695" s="1063"/>
      <c r="U695" s="1063"/>
      <c r="V695" s="1063"/>
      <c r="W695" s="1063"/>
      <c r="X695" s="1866">
        <f t="shared" si="24"/>
        <v>0</v>
      </c>
      <c r="Y695" s="23">
        <f t="shared" si="23"/>
        <v>-42947000</v>
      </c>
    </row>
    <row r="696" spans="1:25" x14ac:dyDescent="0.25">
      <c r="A696" s="1"/>
      <c r="B696" s="1"/>
      <c r="C696" s="1"/>
      <c r="D696" s="1">
        <v>5</v>
      </c>
      <c r="E696" s="1">
        <v>2</v>
      </c>
      <c r="F696" s="1"/>
      <c r="G696" s="1"/>
      <c r="H696" s="4" t="str">
        <f>'Bid 3b'!B159</f>
        <v>Belanja Barang Jasa</v>
      </c>
      <c r="I696" s="73"/>
      <c r="J696" s="4"/>
      <c r="K696" s="4" t="s">
        <v>3599</v>
      </c>
      <c r="L696" s="73"/>
      <c r="M696" s="73"/>
      <c r="N696" s="73"/>
      <c r="O696" s="73"/>
      <c r="P696" s="73"/>
      <c r="Q696" s="73"/>
      <c r="R696" s="73"/>
      <c r="S696" s="73"/>
      <c r="T696" s="73"/>
      <c r="U696" s="73"/>
      <c r="V696" s="73"/>
      <c r="W696" s="73"/>
      <c r="X696" s="1864">
        <f t="shared" si="24"/>
        <v>0</v>
      </c>
      <c r="Y696" s="23">
        <f t="shared" si="23"/>
        <v>0</v>
      </c>
    </row>
    <row r="697" spans="1:25" ht="30" x14ac:dyDescent="0.25">
      <c r="A697" s="1"/>
      <c r="B697" s="1"/>
      <c r="C697" s="1"/>
      <c r="D697" s="1"/>
      <c r="E697" s="1"/>
      <c r="F697" s="1">
        <v>1</v>
      </c>
      <c r="G697" s="1"/>
      <c r="H697" s="4" t="str">
        <f>'Bid 3b'!B160</f>
        <v>Belanja Barang Perlengkapan</v>
      </c>
      <c r="I697" s="73"/>
      <c r="J697" s="4"/>
      <c r="K697" s="4" t="s">
        <v>3599</v>
      </c>
      <c r="L697" s="73"/>
      <c r="M697" s="73"/>
      <c r="N697" s="73"/>
      <c r="O697" s="73"/>
      <c r="P697" s="73"/>
      <c r="Q697" s="73"/>
      <c r="R697" s="73"/>
      <c r="S697" s="73"/>
      <c r="T697" s="73"/>
      <c r="U697" s="73"/>
      <c r="V697" s="73"/>
      <c r="W697" s="73"/>
      <c r="X697" s="1864">
        <f t="shared" si="24"/>
        <v>0</v>
      </c>
      <c r="Y697" s="23">
        <f t="shared" si="23"/>
        <v>0</v>
      </c>
    </row>
    <row r="698" spans="1:25" ht="30" x14ac:dyDescent="0.25">
      <c r="A698" s="1"/>
      <c r="B698" s="1"/>
      <c r="C698" s="1"/>
      <c r="D698" s="1"/>
      <c r="E698" s="1"/>
      <c r="F698" s="1"/>
      <c r="G698" s="1489" t="s">
        <v>3366</v>
      </c>
      <c r="H698" s="4" t="str">
        <f>'Bid 3b'!B161</f>
        <v>Belanja Alat Tulis Kantor dan Benda Pos</v>
      </c>
      <c r="I698" s="73">
        <f>SUM('Bid 3b'!F162:F163)</f>
        <v>165000</v>
      </c>
      <c r="J698" s="4" t="s">
        <v>1777</v>
      </c>
      <c r="K698" s="4" t="s">
        <v>3599</v>
      </c>
      <c r="L698" s="73">
        <v>165000</v>
      </c>
      <c r="M698" s="73"/>
      <c r="N698" s="73"/>
      <c r="O698" s="73"/>
      <c r="P698" s="73"/>
      <c r="Q698" s="73"/>
      <c r="R698" s="73"/>
      <c r="S698" s="73"/>
      <c r="T698" s="73"/>
      <c r="U698" s="73"/>
      <c r="V698" s="73"/>
      <c r="W698" s="73"/>
      <c r="X698" s="1864">
        <f t="shared" si="24"/>
        <v>165000</v>
      </c>
      <c r="Y698" s="23">
        <f t="shared" si="23"/>
        <v>0</v>
      </c>
    </row>
    <row r="699" spans="1:25" ht="30" x14ac:dyDescent="0.25">
      <c r="A699" s="1"/>
      <c r="B699" s="1"/>
      <c r="C699" s="1"/>
      <c r="D699" s="1"/>
      <c r="E699" s="1"/>
      <c r="F699" s="1"/>
      <c r="G699" s="1489" t="s">
        <v>3391</v>
      </c>
      <c r="H699" s="4" t="str">
        <f>'Bid 3b'!B164</f>
        <v>Belanja Perlengkapan Barang Konsumsi</v>
      </c>
      <c r="I699" s="73">
        <f>SUM('Bid 3b'!F166:F172)</f>
        <v>8280000</v>
      </c>
      <c r="J699" s="4" t="s">
        <v>1777</v>
      </c>
      <c r="K699" s="4" t="s">
        <v>3599</v>
      </c>
      <c r="L699" s="73">
        <v>8280000</v>
      </c>
      <c r="M699" s="73"/>
      <c r="N699" s="73"/>
      <c r="O699" s="73"/>
      <c r="P699" s="73"/>
      <c r="Q699" s="73"/>
      <c r="R699" s="73"/>
      <c r="S699" s="73"/>
      <c r="T699" s="73"/>
      <c r="U699" s="73"/>
      <c r="V699" s="73"/>
      <c r="W699" s="73"/>
      <c r="X699" s="1864">
        <f t="shared" si="24"/>
        <v>8280000</v>
      </c>
      <c r="Y699" s="23">
        <f t="shared" si="23"/>
        <v>0</v>
      </c>
    </row>
    <row r="700" spans="1:25" ht="30" x14ac:dyDescent="0.25">
      <c r="A700" s="1"/>
      <c r="B700" s="1"/>
      <c r="C700" s="1"/>
      <c r="D700" s="1"/>
      <c r="E700" s="1"/>
      <c r="F700" s="1"/>
      <c r="G700" s="1489" t="s">
        <v>3393</v>
      </c>
      <c r="H700" s="4" t="str">
        <f>'Bid 3b'!B173</f>
        <v>Belanja Bendera/Umbul - umbul/ Spanduk</v>
      </c>
      <c r="I700" s="73">
        <f>SUM('Bid 3b'!F174)</f>
        <v>270000</v>
      </c>
      <c r="J700" s="4" t="s">
        <v>1777</v>
      </c>
      <c r="K700" s="4" t="s">
        <v>3599</v>
      </c>
      <c r="L700" s="73">
        <v>270000</v>
      </c>
      <c r="M700" s="73"/>
      <c r="N700" s="73"/>
      <c r="O700" s="73"/>
      <c r="P700" s="73"/>
      <c r="Q700" s="73"/>
      <c r="R700" s="73"/>
      <c r="S700" s="73"/>
      <c r="T700" s="73"/>
      <c r="U700" s="73"/>
      <c r="V700" s="73"/>
      <c r="W700" s="73"/>
      <c r="X700" s="1864">
        <f t="shared" si="24"/>
        <v>270000</v>
      </c>
      <c r="Y700" s="23">
        <f t="shared" si="23"/>
        <v>0</v>
      </c>
    </row>
    <row r="701" spans="1:25" ht="30" x14ac:dyDescent="0.25">
      <c r="A701" s="1"/>
      <c r="B701" s="1"/>
      <c r="C701" s="1"/>
      <c r="D701" s="1"/>
      <c r="E701" s="1"/>
      <c r="F701" s="1"/>
      <c r="G701" s="1489" t="s">
        <v>3417</v>
      </c>
      <c r="H701" s="4" t="str">
        <f>'Bid 3b'!B175</f>
        <v>Belanja Upakara, Upacara Dan Aci</v>
      </c>
      <c r="I701" s="73">
        <f>SUM('Bid 3b'!F176:F179)</f>
        <v>160000</v>
      </c>
      <c r="J701" s="4" t="s">
        <v>1777</v>
      </c>
      <c r="K701" s="4" t="s">
        <v>3599</v>
      </c>
      <c r="L701" s="73">
        <v>160000</v>
      </c>
      <c r="M701" s="73"/>
      <c r="N701" s="73"/>
      <c r="O701" s="73"/>
      <c r="P701" s="73"/>
      <c r="Q701" s="73"/>
      <c r="R701" s="73"/>
      <c r="S701" s="73"/>
      <c r="T701" s="73"/>
      <c r="U701" s="73"/>
      <c r="V701" s="73"/>
      <c r="W701" s="73"/>
      <c r="X701" s="1864">
        <f t="shared" si="24"/>
        <v>160000</v>
      </c>
      <c r="Y701" s="23">
        <f t="shared" si="23"/>
        <v>0</v>
      </c>
    </row>
    <row r="702" spans="1:25" x14ac:dyDescent="0.25">
      <c r="A702" s="1"/>
      <c r="B702" s="1"/>
      <c r="C702" s="1"/>
      <c r="D702" s="1">
        <v>5</v>
      </c>
      <c r="E702" s="1">
        <v>2</v>
      </c>
      <c r="F702" s="1">
        <v>2</v>
      </c>
      <c r="G702" s="1"/>
      <c r="H702" s="4" t="str">
        <f>'Bid 3b'!B180</f>
        <v>Belanja Jasa Honorarium</v>
      </c>
      <c r="I702" s="73"/>
      <c r="J702" s="4"/>
      <c r="K702" s="4" t="s">
        <v>3599</v>
      </c>
      <c r="L702" s="73"/>
      <c r="M702" s="73"/>
      <c r="N702" s="73"/>
      <c r="O702" s="73"/>
      <c r="P702" s="73"/>
      <c r="Q702" s="73"/>
      <c r="R702" s="73"/>
      <c r="S702" s="73"/>
      <c r="T702" s="73"/>
      <c r="U702" s="73"/>
      <c r="V702" s="73"/>
      <c r="W702" s="73"/>
      <c r="X702" s="1864">
        <f t="shared" si="24"/>
        <v>0</v>
      </c>
      <c r="Y702" s="23">
        <f t="shared" si="23"/>
        <v>0</v>
      </c>
    </row>
    <row r="703" spans="1:25" ht="60" x14ac:dyDescent="0.25">
      <c r="A703" s="1"/>
      <c r="B703" s="1"/>
      <c r="C703" s="1"/>
      <c r="D703" s="1"/>
      <c r="E703" s="1"/>
      <c r="F703" s="1"/>
      <c r="G703" s="1489" t="s">
        <v>3389</v>
      </c>
      <c r="H703" s="4" t="str">
        <f>'Bid 3b'!B181</f>
        <v>Belanja Jasa Honorarium Ahli Profesi/Konsultan/Narasumber</v>
      </c>
      <c r="I703" s="73">
        <f>SUM('Bid 3b'!F182:F184)</f>
        <v>12702000</v>
      </c>
      <c r="J703" s="4" t="s">
        <v>1777</v>
      </c>
      <c r="K703" s="4" t="s">
        <v>3599</v>
      </c>
      <c r="L703" s="73">
        <v>12702000</v>
      </c>
      <c r="M703" s="73"/>
      <c r="N703" s="73"/>
      <c r="O703" s="73"/>
      <c r="P703" s="73"/>
      <c r="Q703" s="73"/>
      <c r="R703" s="73"/>
      <c r="S703" s="73"/>
      <c r="T703" s="73"/>
      <c r="U703" s="73"/>
      <c r="V703" s="73"/>
      <c r="W703" s="73"/>
      <c r="X703" s="1864">
        <f t="shared" si="24"/>
        <v>12702000</v>
      </c>
      <c r="Y703" s="23">
        <f t="shared" si="23"/>
        <v>0</v>
      </c>
    </row>
    <row r="704" spans="1:25" x14ac:dyDescent="0.25">
      <c r="A704" s="1"/>
      <c r="B704" s="1"/>
      <c r="C704" s="1"/>
      <c r="D704" s="1">
        <v>5</v>
      </c>
      <c r="E704" s="1">
        <v>2</v>
      </c>
      <c r="F704" s="1">
        <v>4</v>
      </c>
      <c r="G704" s="1"/>
      <c r="H704" s="4" t="str">
        <f>'Bid 3b'!B185</f>
        <v>Belanja Jasa Sewa</v>
      </c>
      <c r="I704" s="73"/>
      <c r="J704" s="4"/>
      <c r="K704" s="4" t="s">
        <v>3599</v>
      </c>
      <c r="L704" s="73"/>
      <c r="M704" s="73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1864">
        <f t="shared" si="24"/>
        <v>0</v>
      </c>
      <c r="Y704" s="23">
        <f t="shared" si="23"/>
        <v>0</v>
      </c>
    </row>
    <row r="705" spans="1:25" ht="30" x14ac:dyDescent="0.25">
      <c r="A705" s="1"/>
      <c r="B705" s="1"/>
      <c r="C705" s="1"/>
      <c r="D705" s="1"/>
      <c r="E705" s="1"/>
      <c r="F705" s="1"/>
      <c r="G705" s="1489" t="s">
        <v>3386</v>
      </c>
      <c r="H705" s="4" t="str">
        <f>'Bid 3b'!B186</f>
        <v>Belanja Jasa Sewa Perlengkapan</v>
      </c>
      <c r="I705" s="73">
        <f>SUM('Bid 3b'!F187)</f>
        <v>1000000</v>
      </c>
      <c r="J705" s="4" t="s">
        <v>1777</v>
      </c>
      <c r="K705" s="4" t="s">
        <v>3599</v>
      </c>
      <c r="L705" s="73">
        <v>1000000</v>
      </c>
      <c r="M705" s="73"/>
      <c r="N705" s="73"/>
      <c r="O705" s="73"/>
      <c r="P705" s="73"/>
      <c r="Q705" s="73"/>
      <c r="R705" s="73"/>
      <c r="S705" s="73"/>
      <c r="T705" s="73"/>
      <c r="U705" s="73"/>
      <c r="V705" s="73"/>
      <c r="W705" s="73"/>
      <c r="X705" s="1864">
        <f t="shared" si="24"/>
        <v>1000000</v>
      </c>
      <c r="Y705" s="23">
        <f t="shared" si="23"/>
        <v>0</v>
      </c>
    </row>
    <row r="706" spans="1:25" ht="45" x14ac:dyDescent="0.25">
      <c r="A706" s="1"/>
      <c r="B706" s="1"/>
      <c r="C706" s="1"/>
      <c r="D706" s="1">
        <v>5</v>
      </c>
      <c r="E706" s="1">
        <v>2</v>
      </c>
      <c r="F706" s="1">
        <v>7</v>
      </c>
      <c r="G706" s="1"/>
      <c r="H706" s="4" t="str">
        <f>'Bid 3b'!B188</f>
        <v>Belanja Barang dan Jasa yang Diserahkan Kepada Masyarakat</v>
      </c>
      <c r="I706" s="73"/>
      <c r="J706" s="4"/>
      <c r="K706" s="4" t="s">
        <v>3599</v>
      </c>
      <c r="L706" s="73"/>
      <c r="M706" s="73"/>
      <c r="N706" s="73"/>
      <c r="O706" s="73"/>
      <c r="P706" s="73"/>
      <c r="Q706" s="73"/>
      <c r="R706" s="73"/>
      <c r="S706" s="73"/>
      <c r="T706" s="73"/>
      <c r="U706" s="73"/>
      <c r="V706" s="73"/>
      <c r="W706" s="73"/>
      <c r="X706" s="1864">
        <f t="shared" si="24"/>
        <v>0</v>
      </c>
      <c r="Y706" s="23">
        <f t="shared" si="23"/>
        <v>0</v>
      </c>
    </row>
    <row r="707" spans="1:25" ht="30" x14ac:dyDescent="0.25">
      <c r="A707" s="1"/>
      <c r="B707" s="1"/>
      <c r="C707" s="1"/>
      <c r="D707" s="1"/>
      <c r="E707" s="1"/>
      <c r="F707" s="1"/>
      <c r="G707" s="1489" t="s">
        <v>3417</v>
      </c>
      <c r="H707" s="4" t="str">
        <f>'Bid 3b'!B189</f>
        <v>Belanja Jasa Atlit dan Seniman Berprestasi</v>
      </c>
      <c r="I707" s="73">
        <f>SUM('Bid 3b'!F192:F200)</f>
        <v>13620000</v>
      </c>
      <c r="J707" s="4" t="s">
        <v>1777</v>
      </c>
      <c r="K707" s="4" t="s">
        <v>3599</v>
      </c>
      <c r="L707" s="73">
        <v>13620000</v>
      </c>
      <c r="M707" s="73"/>
      <c r="N707" s="73"/>
      <c r="O707" s="73"/>
      <c r="P707" s="73"/>
      <c r="Q707" s="73"/>
      <c r="R707" s="73"/>
      <c r="S707" s="73"/>
      <c r="T707" s="73"/>
      <c r="U707" s="73"/>
      <c r="V707" s="73"/>
      <c r="W707" s="73"/>
      <c r="X707" s="1864">
        <f t="shared" si="24"/>
        <v>13620000</v>
      </c>
      <c r="Y707" s="23">
        <f t="shared" si="23"/>
        <v>0</v>
      </c>
    </row>
    <row r="708" spans="1:25" ht="30" x14ac:dyDescent="0.25">
      <c r="A708" s="1"/>
      <c r="B708" s="1"/>
      <c r="C708" s="1"/>
      <c r="D708" s="1"/>
      <c r="E708" s="1"/>
      <c r="F708" s="1"/>
      <c r="G708" s="1"/>
      <c r="H708" s="4" t="str">
        <f>'Bid 3b'!B201</f>
        <v>Pengiriman Peserta Bulan Bahasa Bali Ke Kota</v>
      </c>
      <c r="I708" s="73"/>
      <c r="J708" s="4"/>
      <c r="K708" s="4" t="s">
        <v>3599</v>
      </c>
      <c r="L708" s="73"/>
      <c r="M708" s="73"/>
      <c r="N708" s="73"/>
      <c r="O708" s="73"/>
      <c r="P708" s="73"/>
      <c r="Q708" s="73"/>
      <c r="R708" s="73"/>
      <c r="S708" s="73"/>
      <c r="T708" s="73"/>
      <c r="U708" s="73"/>
      <c r="V708" s="73"/>
      <c r="W708" s="73"/>
      <c r="X708" s="1864">
        <f t="shared" si="24"/>
        <v>0</v>
      </c>
      <c r="Y708" s="23">
        <f t="shared" si="23"/>
        <v>0</v>
      </c>
    </row>
    <row r="709" spans="1:25" x14ac:dyDescent="0.25">
      <c r="A709" s="1"/>
      <c r="B709" s="1"/>
      <c r="C709" s="1"/>
      <c r="D709" s="1"/>
      <c r="E709" s="1"/>
      <c r="F709" s="1"/>
      <c r="G709" s="1"/>
      <c r="H709" s="4" t="str">
        <f>'Bid 3b'!B202</f>
        <v>Belanja Barang Jasa</v>
      </c>
      <c r="I709" s="73"/>
      <c r="J709" s="4"/>
      <c r="K709" s="4" t="s">
        <v>3599</v>
      </c>
      <c r="L709" s="73"/>
      <c r="M709" s="73"/>
      <c r="N709" s="73"/>
      <c r="O709" s="73"/>
      <c r="P709" s="73"/>
      <c r="Q709" s="73"/>
      <c r="R709" s="73"/>
      <c r="S709" s="73"/>
      <c r="T709" s="73"/>
      <c r="U709" s="73"/>
      <c r="V709" s="73"/>
      <c r="W709" s="73"/>
      <c r="X709" s="1864">
        <f t="shared" si="24"/>
        <v>0</v>
      </c>
      <c r="Y709" s="23">
        <f t="shared" si="23"/>
        <v>0</v>
      </c>
    </row>
    <row r="710" spans="1:25" ht="30" x14ac:dyDescent="0.25">
      <c r="A710" s="1"/>
      <c r="B710" s="1"/>
      <c r="C710" s="1"/>
      <c r="D710" s="1">
        <v>5</v>
      </c>
      <c r="E710" s="1">
        <v>2</v>
      </c>
      <c r="F710" s="1">
        <v>1</v>
      </c>
      <c r="G710" s="1"/>
      <c r="H710" s="4" t="str">
        <f>'Bid 3b'!B203</f>
        <v>Belanja Barang Perlengkapan</v>
      </c>
      <c r="I710" s="73"/>
      <c r="J710" s="4"/>
      <c r="K710" s="4" t="s">
        <v>3599</v>
      </c>
      <c r="L710" s="73"/>
      <c r="M710" s="73"/>
      <c r="N710" s="73"/>
      <c r="O710" s="73"/>
      <c r="P710" s="73"/>
      <c r="Q710" s="73"/>
      <c r="R710" s="73"/>
      <c r="S710" s="73"/>
      <c r="T710" s="73"/>
      <c r="U710" s="73"/>
      <c r="V710" s="73"/>
      <c r="W710" s="73"/>
      <c r="X710" s="1864">
        <f t="shared" si="24"/>
        <v>0</v>
      </c>
      <c r="Y710" s="23">
        <f t="shared" si="23"/>
        <v>0</v>
      </c>
    </row>
    <row r="711" spans="1:25" s="1903" customFormat="1" ht="32.450000000000003" customHeight="1" x14ac:dyDescent="0.25">
      <c r="A711" s="1898"/>
      <c r="B711" s="1898"/>
      <c r="C711" s="1898"/>
      <c r="D711" s="1898"/>
      <c r="E711" s="1898"/>
      <c r="F711" s="1898"/>
      <c r="G711" s="1904" t="s">
        <v>3391</v>
      </c>
      <c r="H711" s="1899" t="str">
        <f>'Penjabaran APBDesa'!H716</f>
        <v>Belanja Barang Perlengkapan Barang Konsumsi</v>
      </c>
      <c r="I711" s="1900">
        <f>'Penjabaran APBDesa'!K716</f>
        <v>900000</v>
      </c>
      <c r="J711" s="1899" t="s">
        <v>1777</v>
      </c>
      <c r="K711" s="1899" t="s">
        <v>3599</v>
      </c>
      <c r="L711" s="1900">
        <v>900000</v>
      </c>
      <c r="M711" s="1900"/>
      <c r="N711" s="1900"/>
      <c r="O711" s="1900"/>
      <c r="P711" s="1900"/>
      <c r="Q711" s="1900"/>
      <c r="R711" s="1900"/>
      <c r="S711" s="1900"/>
      <c r="T711" s="1900"/>
      <c r="U711" s="1900"/>
      <c r="V711" s="1900"/>
      <c r="W711" s="1900"/>
      <c r="X711" s="1901"/>
      <c r="Y711" s="1902"/>
    </row>
    <row r="712" spans="1:25" s="1903" customFormat="1" ht="45" x14ac:dyDescent="0.25">
      <c r="A712" s="1898"/>
      <c r="B712" s="1898"/>
      <c r="C712" s="1898"/>
      <c r="D712" s="1898"/>
      <c r="E712" s="1898"/>
      <c r="F712" s="1898"/>
      <c r="G712" s="1904" t="s">
        <v>3391</v>
      </c>
      <c r="H712" s="1899" t="str">
        <f>'Bid 3b'!B204</f>
        <v>Belanja Barang Perlengkapan Barang Konsumsi</v>
      </c>
      <c r="I712" s="1900">
        <f>'Penjabaran APBDesa'!K717</f>
        <v>500000</v>
      </c>
      <c r="J712" s="1899" t="s">
        <v>1506</v>
      </c>
      <c r="K712" s="1899" t="s">
        <v>3599</v>
      </c>
      <c r="L712" s="1900"/>
      <c r="M712" s="1900"/>
      <c r="N712" s="1900">
        <v>500000</v>
      </c>
      <c r="O712" s="1900"/>
      <c r="P712" s="1900"/>
      <c r="Q712" s="1900"/>
      <c r="R712" s="1900"/>
      <c r="S712" s="1900"/>
      <c r="T712" s="1900"/>
      <c r="U712" s="1900"/>
      <c r="V712" s="1900"/>
      <c r="W712" s="1900"/>
      <c r="X712" s="1901">
        <f t="shared" si="24"/>
        <v>500000</v>
      </c>
      <c r="Y712" s="1902">
        <f t="shared" si="23"/>
        <v>0</v>
      </c>
    </row>
    <row r="713" spans="1:25" s="1903" customFormat="1" ht="30" x14ac:dyDescent="0.25">
      <c r="A713" s="1898"/>
      <c r="B713" s="1898"/>
      <c r="C713" s="1898"/>
      <c r="D713" s="1898"/>
      <c r="E713" s="1898"/>
      <c r="F713" s="1898"/>
      <c r="G713" s="1904" t="s">
        <v>3392</v>
      </c>
      <c r="H713" s="1899" t="str">
        <f>'Bid 3b'!B207</f>
        <v>Belanja Bahan Material</v>
      </c>
      <c r="I713" s="1900">
        <f>SUM('Bid 3b'!F208+'Bid 3b'!F209)</f>
        <v>2700000</v>
      </c>
      <c r="J713" s="1899" t="s">
        <v>1777</v>
      </c>
      <c r="K713" s="1899" t="s">
        <v>3599</v>
      </c>
      <c r="L713" s="1900">
        <v>2700000</v>
      </c>
      <c r="M713" s="1900"/>
      <c r="N713" s="1900"/>
      <c r="O713" s="1900"/>
      <c r="P713" s="1900"/>
      <c r="Q713" s="1900"/>
      <c r="R713" s="1900"/>
      <c r="S713" s="1900"/>
      <c r="T713" s="1900"/>
      <c r="U713" s="1900"/>
      <c r="V713" s="1900"/>
      <c r="W713" s="1900"/>
      <c r="X713" s="1901">
        <f t="shared" si="24"/>
        <v>2700000</v>
      </c>
      <c r="Y713" s="1902">
        <f t="shared" si="23"/>
        <v>0</v>
      </c>
    </row>
    <row r="714" spans="1:25" x14ac:dyDescent="0.25">
      <c r="A714" s="1"/>
      <c r="B714" s="1"/>
      <c r="C714" s="1"/>
      <c r="D714" s="1">
        <v>5</v>
      </c>
      <c r="E714" s="1">
        <v>2</v>
      </c>
      <c r="F714" s="1">
        <v>2</v>
      </c>
      <c r="G714" s="1"/>
      <c r="H714" s="4" t="str">
        <f>'Bid 3b'!B210</f>
        <v>Belanja Jasa Honorarium</v>
      </c>
      <c r="I714" s="73"/>
      <c r="J714" s="4"/>
      <c r="K714" s="4" t="s">
        <v>3599</v>
      </c>
      <c r="L714" s="73"/>
      <c r="M714" s="73"/>
      <c r="N714" s="73"/>
      <c r="O714" s="73"/>
      <c r="P714" s="73"/>
      <c r="Q714" s="73"/>
      <c r="R714" s="73"/>
      <c r="S714" s="73"/>
      <c r="T714" s="73"/>
      <c r="U714" s="73"/>
      <c r="V714" s="73"/>
      <c r="W714" s="73"/>
      <c r="X714" s="1864">
        <f t="shared" si="24"/>
        <v>0</v>
      </c>
      <c r="Y714" s="23">
        <f t="shared" si="23"/>
        <v>0</v>
      </c>
    </row>
    <row r="715" spans="1:25" ht="30" x14ac:dyDescent="0.25">
      <c r="A715" s="1"/>
      <c r="B715" s="1"/>
      <c r="C715" s="1"/>
      <c r="D715" s="1"/>
      <c r="E715" s="1"/>
      <c r="F715" s="1"/>
      <c r="G715" s="1489" t="s">
        <v>3366</v>
      </c>
      <c r="H715" s="4" t="str">
        <f>'Bid 3b'!B211</f>
        <v>Honor Tim Pelaksana Kegiatan</v>
      </c>
      <c r="I715" s="73">
        <f>SUM('Bid 3b'!F212:F214)</f>
        <v>1150000</v>
      </c>
      <c r="J715" s="4" t="s">
        <v>1777</v>
      </c>
      <c r="K715" s="4" t="s">
        <v>3599</v>
      </c>
      <c r="L715" s="73">
        <v>1150000</v>
      </c>
      <c r="M715" s="73"/>
      <c r="N715" s="73"/>
      <c r="O715" s="73"/>
      <c r="P715" s="73"/>
      <c r="Q715" s="73"/>
      <c r="R715" s="73"/>
      <c r="S715" s="73"/>
      <c r="T715" s="73"/>
      <c r="U715" s="73"/>
      <c r="V715" s="73"/>
      <c r="W715" s="73"/>
      <c r="X715" s="1864">
        <f t="shared" si="24"/>
        <v>1150000</v>
      </c>
      <c r="Y715" s="23">
        <f t="shared" si="23"/>
        <v>0</v>
      </c>
    </row>
    <row r="716" spans="1:25" s="1903" customFormat="1" ht="60" x14ac:dyDescent="0.25">
      <c r="A716" s="1898"/>
      <c r="B716" s="1898"/>
      <c r="C716" s="1898"/>
      <c r="D716" s="1898"/>
      <c r="E716" s="1898"/>
      <c r="F716" s="1898"/>
      <c r="G716" s="1904" t="s">
        <v>3389</v>
      </c>
      <c r="H716" s="1899" t="str">
        <f>'Bid 3b'!B215</f>
        <v>Belanja Jasa Honorarium Ahli/ Profesi/Konsultan/Narasumber</v>
      </c>
      <c r="I716" s="1900">
        <f>'Bid 3b'!F216</f>
        <v>1350000</v>
      </c>
      <c r="J716" s="1899" t="s">
        <v>1506</v>
      </c>
      <c r="K716" s="1899" t="s">
        <v>3599</v>
      </c>
      <c r="L716" s="1900"/>
      <c r="M716" s="1900"/>
      <c r="N716" s="1900">
        <v>1350000</v>
      </c>
      <c r="O716" s="1900"/>
      <c r="P716" s="1900"/>
      <c r="Q716" s="1900"/>
      <c r="R716" s="1900"/>
      <c r="S716" s="1900"/>
      <c r="T716" s="1900"/>
      <c r="U716" s="1900"/>
      <c r="V716" s="1900"/>
      <c r="W716" s="1900"/>
      <c r="X716" s="1901">
        <f t="shared" si="24"/>
        <v>1350000</v>
      </c>
      <c r="Y716" s="1902">
        <f t="shared" si="23"/>
        <v>0</v>
      </c>
    </row>
    <row r="717" spans="1:25" ht="45" x14ac:dyDescent="0.25">
      <c r="A717" s="1"/>
      <c r="B717" s="1"/>
      <c r="C717" s="1"/>
      <c r="D717" s="1">
        <v>5</v>
      </c>
      <c r="E717" s="1">
        <v>2</v>
      </c>
      <c r="F717" s="1">
        <v>7</v>
      </c>
      <c r="G717" s="1"/>
      <c r="H717" s="4" t="str">
        <f>'Bid 3b'!B217</f>
        <v>Belanja Barang dan Jasa yang Diserahkan Kepada Masyarakat</v>
      </c>
      <c r="I717" s="73"/>
      <c r="J717" s="4"/>
      <c r="K717" s="4" t="s">
        <v>3599</v>
      </c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1864">
        <f t="shared" si="24"/>
        <v>0</v>
      </c>
      <c r="Y717" s="23">
        <f t="shared" si="23"/>
        <v>0</v>
      </c>
    </row>
    <row r="718" spans="1:25" ht="30" x14ac:dyDescent="0.25">
      <c r="A718" s="1"/>
      <c r="B718" s="1"/>
      <c r="C718" s="1"/>
      <c r="D718" s="1"/>
      <c r="E718" s="1"/>
      <c r="F718" s="1"/>
      <c r="G718" s="1">
        <v>91</v>
      </c>
      <c r="H718" s="4" t="str">
        <f>'Bid 3b'!B218</f>
        <v>Belanja Uang Saku Peserta</v>
      </c>
      <c r="I718" s="73">
        <f>'Bid 3b'!F218</f>
        <v>150000</v>
      </c>
      <c r="J718" s="4" t="s">
        <v>1777</v>
      </c>
      <c r="K718" s="4" t="s">
        <v>3599</v>
      </c>
      <c r="L718" s="73">
        <v>150000</v>
      </c>
      <c r="M718" s="73"/>
      <c r="N718" s="73"/>
      <c r="O718" s="73"/>
      <c r="P718" s="73"/>
      <c r="Q718" s="73"/>
      <c r="R718" s="73"/>
      <c r="S718" s="73"/>
      <c r="T718" s="73"/>
      <c r="U718" s="73"/>
      <c r="V718" s="73"/>
      <c r="W718" s="73"/>
      <c r="X718" s="1864">
        <f t="shared" si="24"/>
        <v>150000</v>
      </c>
      <c r="Y718" s="23">
        <f t="shared" si="23"/>
        <v>0</v>
      </c>
    </row>
    <row r="719" spans="1:25" ht="47.45" customHeight="1" x14ac:dyDescent="0.25">
      <c r="A719" s="865">
        <v>3</v>
      </c>
      <c r="B719" s="865">
        <v>2</v>
      </c>
      <c r="C719" s="1490" t="s">
        <v>3366</v>
      </c>
      <c r="D719" s="865"/>
      <c r="E719" s="865"/>
      <c r="F719" s="865"/>
      <c r="G719" s="865"/>
      <c r="H719" s="1061" t="str">
        <f>'Bid 3b'!B361</f>
        <v>Pembinaan Grup Kesenian dan Kebudayaan Tingkat Desa (Grup Sekaa Pesantian)</v>
      </c>
      <c r="I719" s="1063">
        <f>SUM(I720:I729)</f>
        <v>246660000</v>
      </c>
      <c r="J719" s="1061" t="s">
        <v>1775</v>
      </c>
      <c r="K719" s="1061" t="s">
        <v>3599</v>
      </c>
      <c r="L719" s="1063"/>
      <c r="M719" s="1063"/>
      <c r="N719" s="1063"/>
      <c r="O719" s="1063"/>
      <c r="P719" s="1063"/>
      <c r="Q719" s="1063"/>
      <c r="R719" s="1063"/>
      <c r="S719" s="1063"/>
      <c r="T719" s="1063"/>
      <c r="U719" s="1063"/>
      <c r="V719" s="1063"/>
      <c r="W719" s="1063"/>
      <c r="X719" s="1866">
        <f t="shared" si="24"/>
        <v>0</v>
      </c>
      <c r="Y719" s="23">
        <f t="shared" si="23"/>
        <v>-246660000</v>
      </c>
    </row>
    <row r="720" spans="1:25" x14ac:dyDescent="0.25">
      <c r="A720" s="1"/>
      <c r="B720" s="1"/>
      <c r="C720" s="1"/>
      <c r="D720" s="1">
        <v>5</v>
      </c>
      <c r="E720" s="1">
        <v>2</v>
      </c>
      <c r="F720" s="1"/>
      <c r="G720" s="1"/>
      <c r="H720" s="4" t="str">
        <f>'Bid 3b'!B366</f>
        <v>Belanja Barang Jasa</v>
      </c>
      <c r="I720" s="73"/>
      <c r="J720" s="4"/>
      <c r="K720" s="4" t="s">
        <v>3599</v>
      </c>
      <c r="L720" s="73"/>
      <c r="M720" s="73"/>
      <c r="N720" s="73"/>
      <c r="O720" s="73"/>
      <c r="P720" s="73"/>
      <c r="Q720" s="73"/>
      <c r="R720" s="73"/>
      <c r="S720" s="73"/>
      <c r="T720" s="73"/>
      <c r="U720" s="73"/>
      <c r="V720" s="73"/>
      <c r="W720" s="73"/>
      <c r="X720" s="1864">
        <f t="shared" si="24"/>
        <v>0</v>
      </c>
      <c r="Y720" s="23">
        <f t="shared" si="23"/>
        <v>0</v>
      </c>
    </row>
    <row r="721" spans="1:25" ht="30" x14ac:dyDescent="0.25">
      <c r="A721" s="1"/>
      <c r="B721" s="1"/>
      <c r="C721" s="1"/>
      <c r="D721" s="1"/>
      <c r="E721" s="1"/>
      <c r="F721" s="1">
        <v>1</v>
      </c>
      <c r="G721" s="1"/>
      <c r="H721" s="4" t="str">
        <f>'Bid 3b'!B367</f>
        <v>Belanja Barang Perlengkapan</v>
      </c>
      <c r="I721" s="73"/>
      <c r="J721" s="4"/>
      <c r="K721" s="4" t="s">
        <v>3599</v>
      </c>
      <c r="L721" s="73"/>
      <c r="M721" s="73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1864">
        <f t="shared" si="24"/>
        <v>0</v>
      </c>
      <c r="Y721" s="23">
        <f t="shared" si="23"/>
        <v>0</v>
      </c>
    </row>
    <row r="722" spans="1:25" ht="30" x14ac:dyDescent="0.25">
      <c r="A722" s="1"/>
      <c r="B722" s="1"/>
      <c r="C722" s="1"/>
      <c r="D722" s="1"/>
      <c r="E722" s="1"/>
      <c r="F722" s="1"/>
      <c r="G722" s="1489" t="s">
        <v>3366</v>
      </c>
      <c r="H722" s="4" t="str">
        <f>'Bid 3b'!B368</f>
        <v>Belanja Alat Tulis Kantor dan Benda Pos</v>
      </c>
      <c r="I722" s="73">
        <f>SUM('Bid 3b'!F369:F370)</f>
        <v>420000</v>
      </c>
      <c r="J722" s="4" t="s">
        <v>1775</v>
      </c>
      <c r="K722" s="4" t="s">
        <v>3599</v>
      </c>
      <c r="L722" s="73"/>
      <c r="M722" s="73"/>
      <c r="N722" s="73"/>
      <c r="O722" s="73">
        <v>420000</v>
      </c>
      <c r="P722" s="73"/>
      <c r="Q722" s="73"/>
      <c r="R722" s="73"/>
      <c r="S722" s="73"/>
      <c r="T722" s="73"/>
      <c r="U722" s="73"/>
      <c r="V722" s="73"/>
      <c r="W722" s="73"/>
      <c r="X722" s="1864">
        <f t="shared" si="24"/>
        <v>420000</v>
      </c>
      <c r="Y722" s="23">
        <f t="shared" si="23"/>
        <v>0</v>
      </c>
    </row>
    <row r="723" spans="1:25" ht="30" x14ac:dyDescent="0.25">
      <c r="A723" s="1"/>
      <c r="B723" s="1"/>
      <c r="C723" s="1"/>
      <c r="D723" s="1"/>
      <c r="E723" s="1"/>
      <c r="F723" s="1"/>
      <c r="G723" s="1489" t="s">
        <v>3391</v>
      </c>
      <c r="H723" s="4" t="str">
        <f>'Bid 3b'!B371</f>
        <v>Belanja Perlengkapan Barang Konsumsi</v>
      </c>
      <c r="I723" s="73">
        <f>'Bid 3b'!F373</f>
        <v>77760000</v>
      </c>
      <c r="J723" s="4" t="s">
        <v>1775</v>
      </c>
      <c r="K723" s="4" t="s">
        <v>3599</v>
      </c>
      <c r="L723" s="73"/>
      <c r="M723" s="73"/>
      <c r="N723" s="73"/>
      <c r="O723" s="73">
        <v>77760000</v>
      </c>
      <c r="P723" s="73"/>
      <c r="Q723" s="73"/>
      <c r="R723" s="73"/>
      <c r="S723" s="73"/>
      <c r="T723" s="73"/>
      <c r="U723" s="73"/>
      <c r="V723" s="73"/>
      <c r="W723" s="73"/>
      <c r="X723" s="1864">
        <f t="shared" si="24"/>
        <v>77760000</v>
      </c>
      <c r="Y723" s="23">
        <f t="shared" si="23"/>
        <v>0</v>
      </c>
    </row>
    <row r="724" spans="1:25" ht="30" x14ac:dyDescent="0.25">
      <c r="A724" s="1"/>
      <c r="B724" s="1"/>
      <c r="C724" s="1"/>
      <c r="D724" s="1"/>
      <c r="E724" s="1"/>
      <c r="F724" s="1"/>
      <c r="G724" s="1489" t="s">
        <v>3393</v>
      </c>
      <c r="H724" s="4" t="str">
        <f>'Bid 3b'!B374</f>
        <v>Belanja Bendera/Umbul - umbul/ Spanduk</v>
      </c>
      <c r="I724" s="73">
        <f>'Bid 3b'!F375</f>
        <v>1080000</v>
      </c>
      <c r="J724" s="4" t="s">
        <v>1775</v>
      </c>
      <c r="K724" s="4" t="s">
        <v>3599</v>
      </c>
      <c r="L724" s="73"/>
      <c r="M724" s="73"/>
      <c r="N724" s="73"/>
      <c r="O724" s="73">
        <v>1080000</v>
      </c>
      <c r="P724" s="73"/>
      <c r="Q724" s="73"/>
      <c r="R724" s="73"/>
      <c r="S724" s="73"/>
      <c r="T724" s="73"/>
      <c r="U724" s="73"/>
      <c r="V724" s="73"/>
      <c r="W724" s="73"/>
      <c r="X724" s="1864">
        <f t="shared" si="24"/>
        <v>1080000</v>
      </c>
      <c r="Y724" s="23">
        <f t="shared" si="23"/>
        <v>0</v>
      </c>
    </row>
    <row r="725" spans="1:25" ht="30" x14ac:dyDescent="0.25">
      <c r="A725" s="1"/>
      <c r="B725" s="1"/>
      <c r="C725" s="1"/>
      <c r="D725" s="1"/>
      <c r="E725" s="1"/>
      <c r="F725" s="1"/>
      <c r="G725" s="1489" t="s">
        <v>3394</v>
      </c>
      <c r="H725" s="4" t="str">
        <f>'Bid 3b'!B376</f>
        <v>Belanja Seragam/Atribut</v>
      </c>
      <c r="I725" s="73">
        <f>'Bid 3b'!F377</f>
        <v>45000000</v>
      </c>
      <c r="J725" s="4" t="s">
        <v>1775</v>
      </c>
      <c r="K725" s="4" t="s">
        <v>3599</v>
      </c>
      <c r="L725" s="73"/>
      <c r="M725" s="73"/>
      <c r="N725" s="73"/>
      <c r="O725" s="73">
        <v>45000000</v>
      </c>
      <c r="P725" s="73"/>
      <c r="Q725" s="73"/>
      <c r="R725" s="73"/>
      <c r="S725" s="73"/>
      <c r="T725" s="73"/>
      <c r="U725" s="73"/>
      <c r="V725" s="73"/>
      <c r="W725" s="73"/>
      <c r="X725" s="1864">
        <f t="shared" si="24"/>
        <v>45000000</v>
      </c>
      <c r="Y725" s="23">
        <f t="shared" si="23"/>
        <v>0</v>
      </c>
    </row>
    <row r="726" spans="1:25" x14ac:dyDescent="0.25">
      <c r="A726" s="1"/>
      <c r="B726" s="1"/>
      <c r="C726" s="1"/>
      <c r="D726" s="1">
        <v>5</v>
      </c>
      <c r="E726" s="1">
        <v>2</v>
      </c>
      <c r="F726" s="1">
        <v>2</v>
      </c>
      <c r="G726" s="1"/>
      <c r="H726" s="4" t="str">
        <f>'Bid 3b'!B378</f>
        <v>Belanja Jasa Honorarium</v>
      </c>
      <c r="I726" s="73"/>
      <c r="J726" s="4"/>
      <c r="K726" s="4" t="s">
        <v>3599</v>
      </c>
      <c r="L726" s="73"/>
      <c r="M726" s="73"/>
      <c r="N726" s="73"/>
      <c r="O726" s="73"/>
      <c r="P726" s="73"/>
      <c r="Q726" s="73"/>
      <c r="R726" s="73"/>
      <c r="S726" s="73"/>
      <c r="T726" s="73"/>
      <c r="U726" s="73"/>
      <c r="V726" s="73"/>
      <c r="W726" s="73"/>
      <c r="X726" s="1864">
        <f t="shared" si="24"/>
        <v>0</v>
      </c>
      <c r="Y726" s="23">
        <f t="shared" si="23"/>
        <v>0</v>
      </c>
    </row>
    <row r="727" spans="1:25" ht="60" x14ac:dyDescent="0.25">
      <c r="A727" s="1"/>
      <c r="B727" s="1"/>
      <c r="C727" s="1"/>
      <c r="D727" s="1"/>
      <c r="E727" s="1"/>
      <c r="F727" s="1"/>
      <c r="G727" s="1489" t="s">
        <v>3389</v>
      </c>
      <c r="H727" s="4" t="str">
        <f>'Bid 3b'!B379</f>
        <v>Belanja Jasa Honorarium Ahli Profesi/Konsultan/Narasumber</v>
      </c>
      <c r="I727" s="73">
        <f>SUM('Bid 3b'!F380)</f>
        <v>86400000</v>
      </c>
      <c r="J727" s="4" t="s">
        <v>1775</v>
      </c>
      <c r="K727" s="4" t="s">
        <v>3599</v>
      </c>
      <c r="L727" s="73"/>
      <c r="M727" s="73"/>
      <c r="N727" s="73"/>
      <c r="O727" s="73">
        <v>86400000</v>
      </c>
      <c r="P727" s="73"/>
      <c r="Q727" s="73"/>
      <c r="R727" s="73"/>
      <c r="S727" s="73"/>
      <c r="T727" s="73"/>
      <c r="U727" s="73"/>
      <c r="V727" s="73"/>
      <c r="W727" s="73"/>
      <c r="X727" s="1864">
        <f t="shared" si="24"/>
        <v>86400000</v>
      </c>
      <c r="Y727" s="23">
        <f t="shared" si="23"/>
        <v>0</v>
      </c>
    </row>
    <row r="728" spans="1:25" ht="45" x14ac:dyDescent="0.25">
      <c r="A728" s="1"/>
      <c r="B728" s="1"/>
      <c r="C728" s="1"/>
      <c r="D728" s="1">
        <v>5</v>
      </c>
      <c r="E728" s="1">
        <v>2</v>
      </c>
      <c r="F728" s="1">
        <v>7</v>
      </c>
      <c r="G728" s="1"/>
      <c r="H728" s="4" t="str">
        <f>'Bid 3b'!B381</f>
        <v>Belanja Barang dan Jasa yang Diserahkan Kepada Masyarakat</v>
      </c>
      <c r="I728" s="73"/>
      <c r="J728" s="4"/>
      <c r="K728" s="4" t="s">
        <v>3599</v>
      </c>
      <c r="L728" s="73"/>
      <c r="M728" s="73"/>
      <c r="N728" s="73"/>
      <c r="O728" s="73"/>
      <c r="P728" s="73"/>
      <c r="Q728" s="73"/>
      <c r="R728" s="73"/>
      <c r="S728" s="73"/>
      <c r="T728" s="73"/>
      <c r="U728" s="73"/>
      <c r="V728" s="73"/>
      <c r="W728" s="73"/>
      <c r="X728" s="1864">
        <f t="shared" si="24"/>
        <v>0</v>
      </c>
      <c r="Y728" s="23">
        <f t="shared" si="23"/>
        <v>0</v>
      </c>
    </row>
    <row r="729" spans="1:25" ht="45" x14ac:dyDescent="0.25">
      <c r="A729" s="1"/>
      <c r="B729" s="1"/>
      <c r="C729" s="1"/>
      <c r="D729" s="1"/>
      <c r="E729" s="1"/>
      <c r="F729" s="1"/>
      <c r="G729" s="1489" t="s">
        <v>3366</v>
      </c>
      <c r="H729" s="4" t="str">
        <f>'Bid 3b'!B382</f>
        <v>Belanja Bahan Perlengkapan Yang Diserahkan Kepada Masayarakat</v>
      </c>
      <c r="I729" s="73">
        <f>'Bid 3b'!F383+'Bid 3b'!F384</f>
        <v>36000000</v>
      </c>
      <c r="J729" s="4" t="s">
        <v>1775</v>
      </c>
      <c r="K729" s="4" t="s">
        <v>3599</v>
      </c>
      <c r="L729" s="73"/>
      <c r="M729" s="73"/>
      <c r="N729" s="73"/>
      <c r="O729" s="73">
        <v>36000000</v>
      </c>
      <c r="P729" s="73"/>
      <c r="Q729" s="73"/>
      <c r="R729" s="73"/>
      <c r="S729" s="73"/>
      <c r="T729" s="73"/>
      <c r="U729" s="73"/>
      <c r="V729" s="73"/>
      <c r="W729" s="73"/>
      <c r="X729" s="1864">
        <f t="shared" si="24"/>
        <v>36000000</v>
      </c>
      <c r="Y729" s="23">
        <f t="shared" si="23"/>
        <v>0</v>
      </c>
    </row>
    <row r="730" spans="1:25" ht="60.6" customHeight="1" x14ac:dyDescent="0.25">
      <c r="A730" s="865">
        <v>3</v>
      </c>
      <c r="B730" s="865">
        <v>2</v>
      </c>
      <c r="C730" s="1490" t="s">
        <v>3366</v>
      </c>
      <c r="D730" s="865"/>
      <c r="E730" s="865"/>
      <c r="F730" s="865"/>
      <c r="G730" s="865"/>
      <c r="H730" s="1061" t="str">
        <f>'Bid 3b'!B398</f>
        <v>Pembinaan Grup Kesenian dan Kebudayaan Tingkat Desa (Grup Kesenian Tari Baris Gede)</v>
      </c>
      <c r="I730" s="1063">
        <f>SUM(I731:I737)</f>
        <v>46600000</v>
      </c>
      <c r="J730" s="1061" t="s">
        <v>1775</v>
      </c>
      <c r="K730" s="1061" t="s">
        <v>3599</v>
      </c>
      <c r="L730" s="1063"/>
      <c r="M730" s="1063"/>
      <c r="N730" s="1063"/>
      <c r="O730" s="1063"/>
      <c r="P730" s="1063"/>
      <c r="Q730" s="1063"/>
      <c r="R730" s="1063"/>
      <c r="S730" s="1063"/>
      <c r="T730" s="1063"/>
      <c r="U730" s="1063"/>
      <c r="V730" s="1063"/>
      <c r="W730" s="1063"/>
      <c r="X730" s="1866">
        <f t="shared" si="24"/>
        <v>0</v>
      </c>
      <c r="Y730" s="23">
        <f t="shared" si="23"/>
        <v>-46600000</v>
      </c>
    </row>
    <row r="731" spans="1:25" x14ac:dyDescent="0.25">
      <c r="A731" s="1"/>
      <c r="B731" s="1"/>
      <c r="C731" s="1"/>
      <c r="D731" s="1">
        <v>5</v>
      </c>
      <c r="E731" s="1">
        <v>2</v>
      </c>
      <c r="F731" s="1"/>
      <c r="G731" s="1"/>
      <c r="H731" s="4" t="str">
        <f>'Bid 3b'!B403</f>
        <v>Belanja Barang Jasa</v>
      </c>
      <c r="I731" s="73"/>
      <c r="J731" s="4"/>
      <c r="K731" s="4" t="s">
        <v>3599</v>
      </c>
      <c r="L731" s="73"/>
      <c r="M731" s="73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1864">
        <f t="shared" si="24"/>
        <v>0</v>
      </c>
      <c r="Y731" s="23">
        <f t="shared" si="23"/>
        <v>0</v>
      </c>
    </row>
    <row r="732" spans="1:25" ht="30" x14ac:dyDescent="0.25">
      <c r="A732" s="1"/>
      <c r="B732" s="1"/>
      <c r="C732" s="1"/>
      <c r="D732" s="1"/>
      <c r="E732" s="1"/>
      <c r="F732" s="1">
        <v>1</v>
      </c>
      <c r="G732" s="1"/>
      <c r="H732" s="4" t="str">
        <f>'Bid 3b'!B404</f>
        <v>Belanja Barang Perlengkapan</v>
      </c>
      <c r="I732" s="73"/>
      <c r="J732" s="4"/>
      <c r="K732" s="4" t="s">
        <v>3599</v>
      </c>
      <c r="L732" s="73"/>
      <c r="M732" s="73"/>
      <c r="N732" s="73"/>
      <c r="O732" s="73"/>
      <c r="P732" s="73"/>
      <c r="Q732" s="73"/>
      <c r="R732" s="73"/>
      <c r="S732" s="73"/>
      <c r="T732" s="73"/>
      <c r="U732" s="73"/>
      <c r="V732" s="73"/>
      <c r="W732" s="73"/>
      <c r="X732" s="1864">
        <f t="shared" si="24"/>
        <v>0</v>
      </c>
      <c r="Y732" s="23">
        <f t="shared" si="23"/>
        <v>0</v>
      </c>
    </row>
    <row r="733" spans="1:25" ht="30" x14ac:dyDescent="0.25">
      <c r="A733" s="1"/>
      <c r="B733" s="1"/>
      <c r="C733" s="1"/>
      <c r="D733" s="1"/>
      <c r="E733" s="1"/>
      <c r="F733" s="1"/>
      <c r="G733" s="1489" t="s">
        <v>3366</v>
      </c>
      <c r="H733" s="4" t="str">
        <f>'Bid 3b'!B405</f>
        <v>Belanja Alat Tulis Kantor dan Benda Pos</v>
      </c>
      <c r="I733" s="73">
        <f>SUM('Bid 3b'!F406:F407)</f>
        <v>420000</v>
      </c>
      <c r="J733" s="4" t="s">
        <v>1775</v>
      </c>
      <c r="K733" s="4" t="s">
        <v>3599</v>
      </c>
      <c r="L733" s="73"/>
      <c r="M733" s="73"/>
      <c r="N733" s="73"/>
      <c r="O733" s="73"/>
      <c r="P733" s="73"/>
      <c r="Q733" s="73">
        <v>420000</v>
      </c>
      <c r="R733" s="73"/>
      <c r="S733" s="73"/>
      <c r="T733" s="73"/>
      <c r="U733" s="73"/>
      <c r="V733" s="73"/>
      <c r="W733" s="73"/>
      <c r="X733" s="1864">
        <f t="shared" si="24"/>
        <v>420000</v>
      </c>
      <c r="Y733" s="23">
        <f t="shared" si="23"/>
        <v>0</v>
      </c>
    </row>
    <row r="734" spans="1:25" ht="30" x14ac:dyDescent="0.25">
      <c r="A734" s="1"/>
      <c r="B734" s="1"/>
      <c r="C734" s="1"/>
      <c r="D734" s="1"/>
      <c r="E734" s="1"/>
      <c r="F734" s="1"/>
      <c r="G734" s="1489" t="s">
        <v>3391</v>
      </c>
      <c r="H734" s="4" t="str">
        <f>'Bid 3b'!B408</f>
        <v>Belanja Perlengkapan Barang Konsumsi</v>
      </c>
      <c r="I734" s="73">
        <f>SUM('Bid 3b'!F410)</f>
        <v>31000000</v>
      </c>
      <c r="J734" s="4" t="s">
        <v>1775</v>
      </c>
      <c r="K734" s="4" t="s">
        <v>3599</v>
      </c>
      <c r="L734" s="73"/>
      <c r="M734" s="73">
        <v>15500000</v>
      </c>
      <c r="N734" s="73"/>
      <c r="O734" s="73"/>
      <c r="P734" s="73"/>
      <c r="Q734" s="73">
        <v>15500000</v>
      </c>
      <c r="R734" s="73"/>
      <c r="S734" s="73"/>
      <c r="T734" s="73"/>
      <c r="U734" s="73"/>
      <c r="V734" s="73"/>
      <c r="W734" s="73"/>
      <c r="X734" s="1864">
        <f t="shared" si="24"/>
        <v>31000000</v>
      </c>
      <c r="Y734" s="23">
        <f t="shared" si="23"/>
        <v>0</v>
      </c>
    </row>
    <row r="735" spans="1:25" ht="30" x14ac:dyDescent="0.25">
      <c r="A735" s="1"/>
      <c r="B735" s="1"/>
      <c r="C735" s="1"/>
      <c r="D735" s="1"/>
      <c r="E735" s="1"/>
      <c r="F735" s="1"/>
      <c r="G735" s="1489" t="s">
        <v>3393</v>
      </c>
      <c r="H735" s="4" t="str">
        <f>'Bid 3b'!B411</f>
        <v>Belanja Bendera/Umbul - umbul/ Spanduk</v>
      </c>
      <c r="I735" s="73">
        <f>'Bid 3b'!F412</f>
        <v>180000</v>
      </c>
      <c r="J735" s="4" t="s">
        <v>1775</v>
      </c>
      <c r="K735" s="4" t="s">
        <v>3599</v>
      </c>
      <c r="L735" s="73"/>
      <c r="M735" s="73">
        <v>90000</v>
      </c>
      <c r="N735" s="73"/>
      <c r="O735" s="73"/>
      <c r="P735" s="73"/>
      <c r="Q735" s="73">
        <v>90000</v>
      </c>
      <c r="R735" s="73"/>
      <c r="S735" s="73"/>
      <c r="T735" s="73"/>
      <c r="U735" s="73"/>
      <c r="V735" s="73"/>
      <c r="W735" s="73"/>
      <c r="X735" s="1864">
        <f t="shared" si="24"/>
        <v>180000</v>
      </c>
      <c r="Y735" s="23">
        <f t="shared" si="23"/>
        <v>0</v>
      </c>
    </row>
    <row r="736" spans="1:25" x14ac:dyDescent="0.25">
      <c r="A736" s="1"/>
      <c r="B736" s="1"/>
      <c r="C736" s="1"/>
      <c r="D736" s="1">
        <v>5</v>
      </c>
      <c r="E736" s="1">
        <v>2</v>
      </c>
      <c r="F736" s="1">
        <v>2</v>
      </c>
      <c r="G736" s="1"/>
      <c r="H736" s="4" t="str">
        <f>'Bid 3b'!B413</f>
        <v>Belanja Jasa Honorarium</v>
      </c>
      <c r="I736" s="73"/>
      <c r="J736" s="4"/>
      <c r="K736" s="4" t="s">
        <v>3599</v>
      </c>
      <c r="L736" s="73"/>
      <c r="M736" s="73"/>
      <c r="N736" s="73"/>
      <c r="O736" s="73"/>
      <c r="P736" s="73"/>
      <c r="Q736" s="73"/>
      <c r="R736" s="73"/>
      <c r="S736" s="73"/>
      <c r="T736" s="73"/>
      <c r="U736" s="73"/>
      <c r="V736" s="73"/>
      <c r="W736" s="73"/>
      <c r="X736" s="1864">
        <f t="shared" si="24"/>
        <v>0</v>
      </c>
      <c r="Y736" s="23">
        <f t="shared" si="23"/>
        <v>0</v>
      </c>
    </row>
    <row r="737" spans="1:25" ht="60" x14ac:dyDescent="0.25">
      <c r="A737" s="1"/>
      <c r="B737" s="1"/>
      <c r="C737" s="1"/>
      <c r="D737" s="1"/>
      <c r="E737" s="1"/>
      <c r="F737" s="1"/>
      <c r="G737" s="1489" t="s">
        <v>3389</v>
      </c>
      <c r="H737" s="4" t="str">
        <f>'Bid 3b'!B414</f>
        <v>Belanja Jasa Honorarium Ahli Profesi/Konsultan/Narasumber</v>
      </c>
      <c r="I737" s="73">
        <f>'Bid 3b'!F415</f>
        <v>15000000</v>
      </c>
      <c r="J737" s="4" t="s">
        <v>1775</v>
      </c>
      <c r="K737" s="4" t="s">
        <v>3599</v>
      </c>
      <c r="L737" s="73"/>
      <c r="M737" s="73">
        <v>7500000</v>
      </c>
      <c r="N737" s="73"/>
      <c r="O737" s="73"/>
      <c r="P737" s="73"/>
      <c r="Q737" s="73">
        <v>7500000</v>
      </c>
      <c r="R737" s="73"/>
      <c r="S737" s="73"/>
      <c r="T737" s="73"/>
      <c r="U737" s="73"/>
      <c r="V737" s="73"/>
      <c r="W737" s="73"/>
      <c r="X737" s="1864">
        <f t="shared" si="24"/>
        <v>15000000</v>
      </c>
      <c r="Y737" s="23">
        <f t="shared" si="23"/>
        <v>0</v>
      </c>
    </row>
    <row r="738" spans="1:25" ht="61.15" customHeight="1" x14ac:dyDescent="0.25">
      <c r="A738" s="865">
        <v>3</v>
      </c>
      <c r="B738" s="865">
        <v>2</v>
      </c>
      <c r="C738" s="1490" t="s">
        <v>3386</v>
      </c>
      <c r="D738" s="865"/>
      <c r="E738" s="865"/>
      <c r="F738" s="865"/>
      <c r="G738" s="865"/>
      <c r="H738" s="1061" t="str">
        <f>'Bid 3b'!B493</f>
        <v>:Pengiriman Kontingen Group Kesenian &amp; Kebudayaan Ke tingkat Kota ( Lomba Lagu Jendela Dunia)</v>
      </c>
      <c r="I738" s="1063">
        <f>SUM(I739:I747)</f>
        <v>114950000</v>
      </c>
      <c r="J738" s="865" t="s">
        <v>1506</v>
      </c>
      <c r="K738" s="1061" t="s">
        <v>3599</v>
      </c>
      <c r="L738" s="1063"/>
      <c r="M738" s="1063"/>
      <c r="N738" s="1063"/>
      <c r="O738" s="1063"/>
      <c r="P738" s="1063"/>
      <c r="Q738" s="1063"/>
      <c r="R738" s="1063"/>
      <c r="S738" s="1063"/>
      <c r="T738" s="1063"/>
      <c r="U738" s="1063"/>
      <c r="V738" s="1063"/>
      <c r="W738" s="1063"/>
      <c r="X738" s="1866">
        <f t="shared" si="24"/>
        <v>0</v>
      </c>
      <c r="Y738" s="23">
        <f t="shared" si="23"/>
        <v>-114950000</v>
      </c>
    </row>
    <row r="739" spans="1:25" x14ac:dyDescent="0.25">
      <c r="A739" s="1"/>
      <c r="B739" s="1"/>
      <c r="C739" s="1"/>
      <c r="D739" s="1">
        <v>5</v>
      </c>
      <c r="E739" s="1">
        <v>2</v>
      </c>
      <c r="F739" s="1"/>
      <c r="G739" s="1"/>
      <c r="H739" s="4" t="str">
        <f>'Bid 3b'!B498</f>
        <v>Belanja Barang Jasa</v>
      </c>
      <c r="I739" s="73"/>
      <c r="J739" s="1"/>
      <c r="K739" s="4" t="s">
        <v>3599</v>
      </c>
      <c r="L739" s="73"/>
      <c r="M739" s="73"/>
      <c r="N739" s="73"/>
      <c r="O739" s="73"/>
      <c r="P739" s="73"/>
      <c r="Q739" s="73"/>
      <c r="R739" s="73"/>
      <c r="S739" s="73"/>
      <c r="T739" s="73"/>
      <c r="U739" s="73"/>
      <c r="V739" s="73"/>
      <c r="W739" s="73"/>
      <c r="X739" s="1864">
        <f t="shared" si="24"/>
        <v>0</v>
      </c>
      <c r="Y739" s="23">
        <f t="shared" si="23"/>
        <v>0</v>
      </c>
    </row>
    <row r="740" spans="1:25" ht="30" x14ac:dyDescent="0.25">
      <c r="A740" s="1"/>
      <c r="B740" s="1"/>
      <c r="C740" s="1"/>
      <c r="D740" s="1"/>
      <c r="E740" s="1"/>
      <c r="F740" s="1">
        <v>1</v>
      </c>
      <c r="G740" s="1"/>
      <c r="H740" s="4" t="str">
        <f>'Bid 3b'!B499</f>
        <v>Belanja Barang Perlengkapan</v>
      </c>
      <c r="I740" s="73"/>
      <c r="J740" s="1"/>
      <c r="K740" s="4" t="s">
        <v>3599</v>
      </c>
      <c r="L740" s="73"/>
      <c r="M740" s="73"/>
      <c r="N740" s="73"/>
      <c r="O740" s="73"/>
      <c r="P740" s="73"/>
      <c r="Q740" s="73"/>
      <c r="R740" s="73"/>
      <c r="S740" s="73"/>
      <c r="T740" s="73"/>
      <c r="U740" s="73"/>
      <c r="V740" s="73"/>
      <c r="W740" s="73"/>
      <c r="X740" s="1864">
        <f t="shared" si="24"/>
        <v>0</v>
      </c>
      <c r="Y740" s="23">
        <f t="shared" si="23"/>
        <v>0</v>
      </c>
    </row>
    <row r="741" spans="1:25" ht="30" x14ac:dyDescent="0.25">
      <c r="A741" s="1"/>
      <c r="B741" s="1"/>
      <c r="C741" s="1"/>
      <c r="D741" s="1"/>
      <c r="E741" s="1"/>
      <c r="F741" s="1"/>
      <c r="G741" s="1489" t="s">
        <v>3391</v>
      </c>
      <c r="H741" s="4" t="str">
        <f>'Bid 3b'!B500</f>
        <v>Belanja Perlengkapan Barang Konsumsi</v>
      </c>
      <c r="I741" s="73">
        <f>SUM('Bid 3b'!F502:F503)</f>
        <v>21400000</v>
      </c>
      <c r="J741" s="1" t="s">
        <v>1506</v>
      </c>
      <c r="K741" s="4" t="s">
        <v>3599</v>
      </c>
      <c r="L741" s="73"/>
      <c r="M741" s="73"/>
      <c r="N741" s="73"/>
      <c r="O741" s="73"/>
      <c r="P741" s="73"/>
      <c r="Q741" s="73"/>
      <c r="R741" s="73"/>
      <c r="S741" s="73">
        <f>I741/2</f>
        <v>10700000</v>
      </c>
      <c r="T741" s="73">
        <v>10700000</v>
      </c>
      <c r="U741" s="73"/>
      <c r="V741" s="73"/>
      <c r="W741" s="73"/>
      <c r="X741" s="1864">
        <f t="shared" si="24"/>
        <v>21400000</v>
      </c>
      <c r="Y741" s="23">
        <f t="shared" si="23"/>
        <v>0</v>
      </c>
    </row>
    <row r="742" spans="1:25" ht="30" x14ac:dyDescent="0.25">
      <c r="A742" s="1"/>
      <c r="B742" s="1"/>
      <c r="C742" s="1"/>
      <c r="D742" s="1"/>
      <c r="E742" s="1"/>
      <c r="F742" s="1"/>
      <c r="G742" s="1489" t="s">
        <v>3394</v>
      </c>
      <c r="H742" s="4" t="str">
        <f>'Bid 3b'!B504</f>
        <v>Belanja Pakaian Dinas/Seragam/Atribut</v>
      </c>
      <c r="I742" s="73">
        <f>SUM('Bid 3b'!F505:F506)</f>
        <v>20057000</v>
      </c>
      <c r="J742" s="1" t="s">
        <v>1506</v>
      </c>
      <c r="K742" s="4" t="s">
        <v>3599</v>
      </c>
      <c r="L742" s="73"/>
      <c r="M742" s="73"/>
      <c r="N742" s="73"/>
      <c r="O742" s="73"/>
      <c r="P742" s="73"/>
      <c r="Q742" s="73"/>
      <c r="R742" s="73"/>
      <c r="S742" s="73">
        <f>I742/2</f>
        <v>10028500</v>
      </c>
      <c r="T742" s="73">
        <v>10028500</v>
      </c>
      <c r="U742" s="73"/>
      <c r="V742" s="73"/>
      <c r="W742" s="73"/>
      <c r="X742" s="1864">
        <f t="shared" si="24"/>
        <v>20057000</v>
      </c>
      <c r="Y742" s="23">
        <f t="shared" si="23"/>
        <v>0</v>
      </c>
    </row>
    <row r="743" spans="1:25" x14ac:dyDescent="0.25">
      <c r="A743" s="1"/>
      <c r="B743" s="1"/>
      <c r="C743" s="1"/>
      <c r="D743" s="1">
        <v>5</v>
      </c>
      <c r="E743" s="1">
        <v>2</v>
      </c>
      <c r="F743" s="1">
        <v>2</v>
      </c>
      <c r="G743" s="1"/>
      <c r="H743" s="4" t="str">
        <f>'Bid 3b'!B507</f>
        <v>Belanja Jasa Honorarium</v>
      </c>
      <c r="I743" s="73"/>
      <c r="J743" s="1"/>
      <c r="K743" s="4" t="s">
        <v>3599</v>
      </c>
      <c r="L743" s="73"/>
      <c r="M743" s="73"/>
      <c r="N743" s="73"/>
      <c r="O743" s="73"/>
      <c r="P743" s="73"/>
      <c r="Q743" s="73"/>
      <c r="R743" s="73"/>
      <c r="S743" s="73"/>
      <c r="T743" s="73"/>
      <c r="U743" s="73"/>
      <c r="V743" s="73"/>
      <c r="W743" s="73"/>
      <c r="X743" s="1864">
        <f t="shared" si="24"/>
        <v>0</v>
      </c>
      <c r="Y743" s="23">
        <f t="shared" si="23"/>
        <v>0</v>
      </c>
    </row>
    <row r="744" spans="1:25" ht="30" x14ac:dyDescent="0.25">
      <c r="A744" s="1"/>
      <c r="B744" s="1"/>
      <c r="C744" s="1"/>
      <c r="D744" s="1"/>
      <c r="E744" s="1"/>
      <c r="F744" s="1"/>
      <c r="G744" s="1489" t="s">
        <v>3366</v>
      </c>
      <c r="H744" s="4" t="str">
        <f>'Bid 3b'!B508</f>
        <v>Belanja Jasa Honorarium Tim Yang Melaksanakan Kegiatan</v>
      </c>
      <c r="I744" s="73">
        <f>SUM('Bid 3b'!F509:F511)</f>
        <v>750000</v>
      </c>
      <c r="J744" s="1" t="s">
        <v>1506</v>
      </c>
      <c r="K744" s="4" t="s">
        <v>3599</v>
      </c>
      <c r="L744" s="73"/>
      <c r="M744" s="73"/>
      <c r="N744" s="73"/>
      <c r="O744" s="73"/>
      <c r="P744" s="73"/>
      <c r="Q744" s="73"/>
      <c r="R744" s="73"/>
      <c r="S744" s="73"/>
      <c r="T744" s="73">
        <v>750000</v>
      </c>
      <c r="U744" s="73"/>
      <c r="V744" s="73"/>
      <c r="W744" s="73"/>
      <c r="X744" s="1864">
        <f t="shared" si="24"/>
        <v>750000</v>
      </c>
      <c r="Y744" s="23">
        <f t="shared" si="23"/>
        <v>0</v>
      </c>
    </row>
    <row r="745" spans="1:25" ht="60" x14ac:dyDescent="0.25">
      <c r="A745" s="1"/>
      <c r="B745" s="1"/>
      <c r="C745" s="1"/>
      <c r="D745" s="1"/>
      <c r="E745" s="1"/>
      <c r="F745" s="1"/>
      <c r="G745" s="1489" t="s">
        <v>3389</v>
      </c>
      <c r="H745" s="4" t="str">
        <f>'Bid 3b'!B512</f>
        <v>Belanja Jasa Honorarium Ahli Profesi/Konsultan/Narasumber</v>
      </c>
      <c r="I745" s="73">
        <f>SUM('Bid 3b'!F513:F515)</f>
        <v>24743000</v>
      </c>
      <c r="J745" s="1" t="s">
        <v>1506</v>
      </c>
      <c r="K745" s="4" t="s">
        <v>3599</v>
      </c>
      <c r="L745" s="73"/>
      <c r="M745" s="73"/>
      <c r="N745" s="73"/>
      <c r="O745" s="73"/>
      <c r="P745" s="73"/>
      <c r="Q745" s="73"/>
      <c r="R745" s="73"/>
      <c r="S745" s="73">
        <f>I745/2</f>
        <v>12371500</v>
      </c>
      <c r="T745" s="73">
        <v>12371500</v>
      </c>
      <c r="U745" s="73"/>
      <c r="V745" s="73"/>
      <c r="W745" s="73"/>
      <c r="X745" s="1864">
        <f t="shared" si="24"/>
        <v>24743000</v>
      </c>
      <c r="Y745" s="23">
        <f t="shared" si="23"/>
        <v>0</v>
      </c>
    </row>
    <row r="746" spans="1:25" ht="30" x14ac:dyDescent="0.25">
      <c r="A746" s="1"/>
      <c r="B746" s="1"/>
      <c r="C746" s="1"/>
      <c r="D746" s="1">
        <v>5</v>
      </c>
      <c r="E746" s="1">
        <v>2</v>
      </c>
      <c r="F746" s="1">
        <v>7</v>
      </c>
      <c r="G746" s="1"/>
      <c r="H746" s="4" t="str">
        <f>'Bid 3b'!B516</f>
        <v>Belanja Barang Yang Diserahkan</v>
      </c>
      <c r="I746" s="73"/>
      <c r="J746" s="1"/>
      <c r="K746" s="4" t="s">
        <v>3599</v>
      </c>
      <c r="L746" s="73"/>
      <c r="M746" s="73"/>
      <c r="N746" s="73"/>
      <c r="O746" s="73"/>
      <c r="P746" s="73"/>
      <c r="Q746" s="73"/>
      <c r="R746" s="73"/>
      <c r="S746" s="73"/>
      <c r="T746" s="73"/>
      <c r="U746" s="73"/>
      <c r="V746" s="73"/>
      <c r="W746" s="73"/>
      <c r="X746" s="1864">
        <f t="shared" si="24"/>
        <v>0</v>
      </c>
      <c r="Y746" s="23">
        <f t="shared" si="23"/>
        <v>0</v>
      </c>
    </row>
    <row r="747" spans="1:25" ht="30" x14ac:dyDescent="0.25">
      <c r="A747" s="1"/>
      <c r="B747" s="1"/>
      <c r="C747" s="1"/>
      <c r="D747" s="1"/>
      <c r="E747" s="1"/>
      <c r="F747" s="1"/>
      <c r="G747" s="1">
        <v>91</v>
      </c>
      <c r="H747" s="4" t="str">
        <f>'Bid 3b'!B517</f>
        <v>Belanja Uang Saku 30or x 32kl</v>
      </c>
      <c r="I747" s="73">
        <f>'Bid 3b'!F517</f>
        <v>48000000</v>
      </c>
      <c r="J747" s="1" t="s">
        <v>1506</v>
      </c>
      <c r="K747" s="4" t="s">
        <v>3599</v>
      </c>
      <c r="L747" s="73"/>
      <c r="M747" s="73"/>
      <c r="N747" s="73"/>
      <c r="O747" s="73"/>
      <c r="P747" s="73"/>
      <c r="Q747" s="73"/>
      <c r="R747" s="73"/>
      <c r="S747" s="73">
        <f>I747/2</f>
        <v>24000000</v>
      </c>
      <c r="T747" s="73">
        <v>24000000</v>
      </c>
      <c r="U747" s="73"/>
      <c r="V747" s="73"/>
      <c r="W747" s="73"/>
      <c r="X747" s="1864">
        <f t="shared" si="24"/>
        <v>48000000</v>
      </c>
      <c r="Y747" s="23">
        <f t="shared" si="23"/>
        <v>0</v>
      </c>
    </row>
    <row r="748" spans="1:25" ht="51.6" customHeight="1" x14ac:dyDescent="0.25">
      <c r="A748" s="865">
        <v>3</v>
      </c>
      <c r="B748" s="865">
        <v>2</v>
      </c>
      <c r="C748" s="865">
        <v>90</v>
      </c>
      <c r="D748" s="865"/>
      <c r="E748" s="865"/>
      <c r="F748" s="865"/>
      <c r="G748" s="865"/>
      <c r="H748" s="1061" t="str">
        <f>'Bid 3b'!B533</f>
        <v xml:space="preserve"> : Pembinaan Adat dan Keagamaan (Piodalan Padmasana)</v>
      </c>
      <c r="I748" s="1063">
        <f>SUM(I749:I753)</f>
        <v>8560000</v>
      </c>
      <c r="J748" s="865"/>
      <c r="K748" s="1061" t="s">
        <v>3599</v>
      </c>
      <c r="L748" s="1063"/>
      <c r="M748" s="1063"/>
      <c r="N748" s="1063"/>
      <c r="O748" s="1063"/>
      <c r="P748" s="1063"/>
      <c r="Q748" s="1063"/>
      <c r="R748" s="1063"/>
      <c r="S748" s="1063"/>
      <c r="T748" s="1063"/>
      <c r="U748" s="1063"/>
      <c r="V748" s="1063"/>
      <c r="W748" s="1063"/>
      <c r="X748" s="1866">
        <f t="shared" si="24"/>
        <v>0</v>
      </c>
      <c r="Y748" s="23">
        <f t="shared" si="23"/>
        <v>-8560000</v>
      </c>
    </row>
    <row r="749" spans="1:25" x14ac:dyDescent="0.25">
      <c r="A749" s="1"/>
      <c r="B749" s="1"/>
      <c r="C749" s="1"/>
      <c r="D749" s="1">
        <v>5</v>
      </c>
      <c r="E749" s="1">
        <v>2</v>
      </c>
      <c r="F749" s="1"/>
      <c r="G749" s="1"/>
      <c r="H749" s="4" t="str">
        <f>'Bid 3b'!B539</f>
        <v xml:space="preserve">Belanja Barang dan Jasa </v>
      </c>
      <c r="I749" s="73"/>
      <c r="J749" s="1"/>
      <c r="K749" s="4" t="s">
        <v>3599</v>
      </c>
      <c r="L749" s="73"/>
      <c r="M749" s="73"/>
      <c r="N749" s="73"/>
      <c r="O749" s="73"/>
      <c r="P749" s="73"/>
      <c r="Q749" s="73"/>
      <c r="R749" s="73"/>
      <c r="S749" s="73"/>
      <c r="T749" s="73"/>
      <c r="U749" s="73"/>
      <c r="V749" s="73"/>
      <c r="W749" s="73"/>
      <c r="X749" s="1864">
        <f t="shared" si="24"/>
        <v>0</v>
      </c>
      <c r="Y749" s="23">
        <f t="shared" ref="Y749:Y812" si="25">X749-I749</f>
        <v>0</v>
      </c>
    </row>
    <row r="750" spans="1:25" ht="30" x14ac:dyDescent="0.25">
      <c r="A750" s="1"/>
      <c r="B750" s="1"/>
      <c r="C750" s="1"/>
      <c r="D750" s="1"/>
      <c r="E750" s="1"/>
      <c r="F750" s="1">
        <v>1</v>
      </c>
      <c r="G750" s="1"/>
      <c r="H750" s="4" t="str">
        <f>'Bid 3b'!B540</f>
        <v>Belanja Barang Perlengkapan</v>
      </c>
      <c r="I750" s="73"/>
      <c r="J750" s="1"/>
      <c r="K750" s="4" t="s">
        <v>3599</v>
      </c>
      <c r="L750" s="73"/>
      <c r="M750" s="73"/>
      <c r="N750" s="73"/>
      <c r="O750" s="73"/>
      <c r="P750" s="73"/>
      <c r="Q750" s="73"/>
      <c r="R750" s="73"/>
      <c r="S750" s="73"/>
      <c r="T750" s="73"/>
      <c r="U750" s="73"/>
      <c r="V750" s="73"/>
      <c r="W750" s="73"/>
      <c r="X750" s="1864">
        <f t="shared" si="24"/>
        <v>0</v>
      </c>
      <c r="Y750" s="23">
        <f t="shared" si="25"/>
        <v>0</v>
      </c>
    </row>
    <row r="751" spans="1:25" ht="30" x14ac:dyDescent="0.25">
      <c r="A751" s="1"/>
      <c r="B751" s="1"/>
      <c r="C751" s="1"/>
      <c r="D751" s="1"/>
      <c r="E751" s="1"/>
      <c r="F751" s="1"/>
      <c r="G751" s="1489" t="s">
        <v>3391</v>
      </c>
      <c r="H751" s="4" t="str">
        <f>'Bid 3b'!B541</f>
        <v>Belanja Perlengkapan Barang Konsumsi</v>
      </c>
      <c r="I751" s="73">
        <f>SUM('Bid 3b'!F542)</f>
        <v>2000000</v>
      </c>
      <c r="J751" s="4" t="s">
        <v>2177</v>
      </c>
      <c r="K751" s="4" t="s">
        <v>3599</v>
      </c>
      <c r="L751" s="73">
        <v>2000000</v>
      </c>
      <c r="M751" s="73"/>
      <c r="N751" s="73"/>
      <c r="O751" s="73"/>
      <c r="P751" s="73"/>
      <c r="Q751" s="73"/>
      <c r="R751" s="73"/>
      <c r="S751" s="73"/>
      <c r="T751" s="73"/>
      <c r="U751" s="73"/>
      <c r="V751" s="73"/>
      <c r="W751" s="73"/>
      <c r="X751" s="1864">
        <f t="shared" si="24"/>
        <v>2000000</v>
      </c>
      <c r="Y751" s="23">
        <f t="shared" si="25"/>
        <v>0</v>
      </c>
    </row>
    <row r="752" spans="1:25" x14ac:dyDescent="0.25">
      <c r="A752" s="1"/>
      <c r="B752" s="1"/>
      <c r="C752" s="1"/>
      <c r="D752" s="1"/>
      <c r="E752" s="1"/>
      <c r="F752" s="1"/>
      <c r="G752" s="1">
        <v>90</v>
      </c>
      <c r="H752" s="4" t="str">
        <f>'Bid 3b'!B543</f>
        <v>Belanja Upakara dan Upacara</v>
      </c>
      <c r="I752" s="73">
        <f>'Bid 3b'!F544+'Bid 3b'!F545+'Bid 3b'!F546+'Bid 3b'!F547+'Bid 3b'!F548+'Bid 3b'!F549+'Bid 3b'!F550+'Bid 3b'!F551+'Bid 3b'!F552+'Bid 3b'!F553+'Bid 3b'!F554+'Bid 3b'!F555+'Bid 3b'!F557</f>
        <v>6440000</v>
      </c>
      <c r="J752" s="4" t="s">
        <v>2177</v>
      </c>
      <c r="K752" s="4" t="s">
        <v>3599</v>
      </c>
      <c r="L752" s="73">
        <v>788687</v>
      </c>
      <c r="M752" s="73">
        <v>2788687</v>
      </c>
      <c r="N752" s="73">
        <v>173939</v>
      </c>
      <c r="O752" s="68">
        <v>2688687</v>
      </c>
      <c r="P752" s="73"/>
      <c r="Q752" s="73"/>
      <c r="R752" s="73"/>
      <c r="S752" s="73"/>
      <c r="T752" s="73"/>
      <c r="U752" s="73"/>
      <c r="V752" s="73"/>
      <c r="W752" s="73"/>
      <c r="X752" s="1864">
        <f t="shared" si="24"/>
        <v>6440000</v>
      </c>
      <c r="Y752" s="23">
        <f t="shared" si="25"/>
        <v>0</v>
      </c>
    </row>
    <row r="753" spans="1:25" ht="60" x14ac:dyDescent="0.25">
      <c r="A753" s="1"/>
      <c r="B753" s="1"/>
      <c r="C753" s="1"/>
      <c r="D753" s="1"/>
      <c r="E753" s="1"/>
      <c r="F753" s="1"/>
      <c r="G753" s="1">
        <v>90</v>
      </c>
      <c r="H753" s="4" t="str">
        <f>'Bid 3b'!B543</f>
        <v>Belanja Upakara dan Upacara</v>
      </c>
      <c r="I753" s="98">
        <f>'Bid 3b'!F556</f>
        <v>120000</v>
      </c>
      <c r="J753" s="4" t="s">
        <v>3344</v>
      </c>
      <c r="K753" s="4" t="s">
        <v>3599</v>
      </c>
      <c r="L753" s="73">
        <v>120000</v>
      </c>
      <c r="M753" s="73"/>
      <c r="N753" s="73"/>
      <c r="O753" s="73"/>
      <c r="P753" s="73"/>
      <c r="Q753" s="73"/>
      <c r="R753" s="73"/>
      <c r="S753" s="73"/>
      <c r="T753" s="73"/>
      <c r="U753" s="73"/>
      <c r="V753" s="73"/>
      <c r="W753" s="73"/>
      <c r="X753" s="1864">
        <f t="shared" si="24"/>
        <v>120000</v>
      </c>
      <c r="Y753" s="23">
        <f t="shared" si="25"/>
        <v>0</v>
      </c>
    </row>
    <row r="754" spans="1:25" ht="49.9" customHeight="1" x14ac:dyDescent="0.25">
      <c r="A754" s="865">
        <v>3</v>
      </c>
      <c r="B754" s="865">
        <v>2</v>
      </c>
      <c r="C754" s="865">
        <v>90</v>
      </c>
      <c r="D754" s="865"/>
      <c r="E754" s="865"/>
      <c r="F754" s="865"/>
      <c r="G754" s="865"/>
      <c r="H754" s="1061" t="str">
        <f>'Bid 3b'!B572</f>
        <v>: Pembinaan Adat dan Keagamaan (Upakara dan Upacara)</v>
      </c>
      <c r="I754" s="1063">
        <f>I757</f>
        <v>5700000</v>
      </c>
      <c r="J754" s="865" t="s">
        <v>2177</v>
      </c>
      <c r="K754" s="1061" t="s">
        <v>3599</v>
      </c>
      <c r="L754" s="1063"/>
      <c r="M754" s="1063"/>
      <c r="N754" s="1063"/>
      <c r="O754" s="1063"/>
      <c r="P754" s="1063"/>
      <c r="Q754" s="1063"/>
      <c r="R754" s="1063"/>
      <c r="S754" s="1063"/>
      <c r="T754" s="1063"/>
      <c r="U754" s="1063"/>
      <c r="V754" s="1063"/>
      <c r="W754" s="1063"/>
      <c r="X754" s="1866">
        <f t="shared" si="24"/>
        <v>0</v>
      </c>
      <c r="Y754" s="23">
        <f t="shared" si="25"/>
        <v>-5700000</v>
      </c>
    </row>
    <row r="755" spans="1:25" x14ac:dyDescent="0.25">
      <c r="A755" s="1"/>
      <c r="B755" s="1"/>
      <c r="C755" s="1"/>
      <c r="D755" s="1">
        <v>5</v>
      </c>
      <c r="E755" s="1">
        <v>2</v>
      </c>
      <c r="F755" s="1"/>
      <c r="G755" s="1"/>
      <c r="H755" s="4" t="str">
        <f>'Bid 3b'!B579</f>
        <v xml:space="preserve">Belanja Barang dan Jasa </v>
      </c>
      <c r="I755" s="73"/>
      <c r="J755" s="1"/>
      <c r="K755" s="4" t="s">
        <v>3599</v>
      </c>
      <c r="L755" s="73"/>
      <c r="M755" s="73"/>
      <c r="N755" s="73"/>
      <c r="O755" s="73"/>
      <c r="P755" s="73"/>
      <c r="Q755" s="73"/>
      <c r="R755" s="73"/>
      <c r="S755" s="73"/>
      <c r="T755" s="73"/>
      <c r="U755" s="73"/>
      <c r="V755" s="73"/>
      <c r="W755" s="73"/>
      <c r="X755" s="1864">
        <f t="shared" si="24"/>
        <v>0</v>
      </c>
      <c r="Y755" s="23">
        <f t="shared" si="25"/>
        <v>0</v>
      </c>
    </row>
    <row r="756" spans="1:25" ht="30" x14ac:dyDescent="0.25">
      <c r="A756" s="1"/>
      <c r="B756" s="1"/>
      <c r="C756" s="1"/>
      <c r="D756" s="1"/>
      <c r="E756" s="1"/>
      <c r="F756" s="1">
        <v>1</v>
      </c>
      <c r="G756" s="1"/>
      <c r="H756" s="4" t="str">
        <f>'Bid 3b'!B580</f>
        <v>Belanja Barang Perlengkapan</v>
      </c>
      <c r="I756" s="73"/>
      <c r="J756" s="1"/>
      <c r="K756" s="4" t="s">
        <v>3599</v>
      </c>
      <c r="L756" s="73"/>
      <c r="M756" s="73"/>
      <c r="N756" s="73"/>
      <c r="O756" s="73"/>
      <c r="P756" s="73"/>
      <c r="Q756" s="73"/>
      <c r="R756" s="73"/>
      <c r="S756" s="73"/>
      <c r="T756" s="73"/>
      <c r="U756" s="73"/>
      <c r="V756" s="73"/>
      <c r="W756" s="73"/>
      <c r="X756" s="1864">
        <f t="shared" si="24"/>
        <v>0</v>
      </c>
      <c r="Y756" s="23">
        <f t="shared" si="25"/>
        <v>0</v>
      </c>
    </row>
    <row r="757" spans="1:25" x14ac:dyDescent="0.25">
      <c r="A757" s="1"/>
      <c r="B757" s="1"/>
      <c r="C757" s="1"/>
      <c r="D757" s="1"/>
      <c r="E757" s="1"/>
      <c r="F757" s="1"/>
      <c r="G757" s="1">
        <v>90</v>
      </c>
      <c r="H757" s="4" t="str">
        <f>'Bid 3b'!B581</f>
        <v>Belanja Upakara dan Upacara</v>
      </c>
      <c r="I757" s="73">
        <f>SUM('Bid 3b'!F582:F589)</f>
        <v>5700000</v>
      </c>
      <c r="J757" s="1" t="s">
        <v>2177</v>
      </c>
      <c r="K757" s="4" t="s">
        <v>3599</v>
      </c>
      <c r="L757" s="73">
        <v>200000</v>
      </c>
      <c r="M757" s="73">
        <v>200000</v>
      </c>
      <c r="N757" s="73">
        <v>1000000</v>
      </c>
      <c r="O757" s="73">
        <v>300000</v>
      </c>
      <c r="P757" s="73">
        <v>700000</v>
      </c>
      <c r="Q757" s="73">
        <v>817437</v>
      </c>
      <c r="R757" s="73">
        <v>200000</v>
      </c>
      <c r="S757" s="73">
        <v>200000</v>
      </c>
      <c r="T757" s="73">
        <v>200000</v>
      </c>
      <c r="U757" s="73">
        <v>300000</v>
      </c>
      <c r="V757" s="73">
        <v>1000000</v>
      </c>
      <c r="W757" s="73">
        <v>582563</v>
      </c>
      <c r="X757" s="1864">
        <f t="shared" ref="X757:X820" si="26">SUM(L757:W757)</f>
        <v>5700000</v>
      </c>
      <c r="Y757" s="23">
        <f t="shared" si="25"/>
        <v>0</v>
      </c>
    </row>
    <row r="758" spans="1:25" ht="43.5" customHeight="1" x14ac:dyDescent="0.25">
      <c r="A758" s="865">
        <v>3</v>
      </c>
      <c r="B758" s="865">
        <v>2</v>
      </c>
      <c r="C758" s="865">
        <v>90</v>
      </c>
      <c r="D758" s="865"/>
      <c r="E758" s="865"/>
      <c r="F758" s="865"/>
      <c r="G758" s="865"/>
      <c r="H758" s="1061" t="str">
        <f>'Bid 3b'!B604</f>
        <v>: Pembinaan Adat dan Keagamaan (Tumpek Landep)</v>
      </c>
      <c r="I758" s="1063">
        <f>SUM(I759:I764)</f>
        <v>27700000</v>
      </c>
      <c r="J758" s="1061" t="s">
        <v>1775</v>
      </c>
      <c r="K758" s="1061" t="s">
        <v>3599</v>
      </c>
      <c r="L758" s="1063"/>
      <c r="M758" s="1063"/>
      <c r="N758" s="1063"/>
      <c r="O758" s="1063"/>
      <c r="P758" s="1063"/>
      <c r="Q758" s="1063"/>
      <c r="R758" s="1063"/>
      <c r="S758" s="1063"/>
      <c r="T758" s="1063"/>
      <c r="U758" s="1063"/>
      <c r="V758" s="1063"/>
      <c r="W758" s="1063"/>
      <c r="X758" s="1866">
        <f t="shared" si="26"/>
        <v>0</v>
      </c>
      <c r="Y758" s="23">
        <f t="shared" si="25"/>
        <v>-27700000</v>
      </c>
    </row>
    <row r="759" spans="1:25" x14ac:dyDescent="0.25">
      <c r="A759" s="1"/>
      <c r="B759" s="1"/>
      <c r="C759" s="1"/>
      <c r="D759" s="1">
        <v>5</v>
      </c>
      <c r="E759" s="1">
        <v>2</v>
      </c>
      <c r="F759" s="1"/>
      <c r="G759" s="1"/>
      <c r="H759" s="4" t="str">
        <f>'Bid 3b'!B610</f>
        <v xml:space="preserve">Belanja Barang dan Jasa </v>
      </c>
      <c r="I759" s="73"/>
      <c r="J759" s="4"/>
      <c r="K759" s="4" t="s">
        <v>3599</v>
      </c>
      <c r="L759" s="73"/>
      <c r="M759" s="73"/>
      <c r="N759" s="73"/>
      <c r="O759" s="73"/>
      <c r="P759" s="73"/>
      <c r="Q759" s="73"/>
      <c r="R759" s="73"/>
      <c r="S759" s="73"/>
      <c r="T759" s="73"/>
      <c r="U759" s="73"/>
      <c r="V759" s="73"/>
      <c r="W759" s="73"/>
      <c r="X759" s="1864">
        <f t="shared" si="26"/>
        <v>0</v>
      </c>
      <c r="Y759" s="23">
        <f t="shared" si="25"/>
        <v>0</v>
      </c>
    </row>
    <row r="760" spans="1:25" ht="30" x14ac:dyDescent="0.25">
      <c r="A760" s="1"/>
      <c r="B760" s="1"/>
      <c r="C760" s="1"/>
      <c r="D760" s="1"/>
      <c r="E760" s="1"/>
      <c r="F760" s="1">
        <v>1</v>
      </c>
      <c r="G760" s="1"/>
      <c r="H760" s="4" t="str">
        <f>'Bid 3b'!B611</f>
        <v>Belanja Barang Perlengkapan</v>
      </c>
      <c r="I760" s="73"/>
      <c r="J760" s="4"/>
      <c r="K760" s="4" t="s">
        <v>3599</v>
      </c>
      <c r="L760" s="73"/>
      <c r="M760" s="73"/>
      <c r="N760" s="73"/>
      <c r="O760" s="73"/>
      <c r="P760" s="73"/>
      <c r="Q760" s="73"/>
      <c r="R760" s="73"/>
      <c r="S760" s="73"/>
      <c r="T760" s="73"/>
      <c r="U760" s="73"/>
      <c r="V760" s="73"/>
      <c r="W760" s="73"/>
      <c r="X760" s="1864">
        <f t="shared" si="26"/>
        <v>0</v>
      </c>
      <c r="Y760" s="23">
        <f t="shared" si="25"/>
        <v>0</v>
      </c>
    </row>
    <row r="761" spans="1:25" ht="30" x14ac:dyDescent="0.25">
      <c r="A761" s="1"/>
      <c r="B761" s="1"/>
      <c r="C761" s="1"/>
      <c r="D761" s="1"/>
      <c r="E761" s="1"/>
      <c r="F761" s="1"/>
      <c r="G761" s="1489" t="s">
        <v>3391</v>
      </c>
      <c r="H761" s="4" t="str">
        <f>'Bid 3b'!B612</f>
        <v>Belanja Barang Konsumsi</v>
      </c>
      <c r="I761" s="73">
        <f>SUM('Bid 3b'!F613)</f>
        <v>7500000</v>
      </c>
      <c r="J761" s="4" t="s">
        <v>1775</v>
      </c>
      <c r="K761" s="4" t="s">
        <v>3599</v>
      </c>
      <c r="L761" s="73"/>
      <c r="M761" s="73"/>
      <c r="N761" s="73"/>
      <c r="O761" s="73">
        <v>3750000</v>
      </c>
      <c r="P761" s="73"/>
      <c r="Q761" s="73"/>
      <c r="R761" s="73"/>
      <c r="S761" s="73"/>
      <c r="T761" s="73"/>
      <c r="U761" s="73"/>
      <c r="V761" s="73">
        <v>3750000</v>
      </c>
      <c r="W761" s="73"/>
      <c r="X761" s="1864">
        <f t="shared" si="26"/>
        <v>7500000</v>
      </c>
      <c r="Y761" s="23">
        <f t="shared" si="25"/>
        <v>0</v>
      </c>
    </row>
    <row r="762" spans="1:25" ht="30" x14ac:dyDescent="0.25">
      <c r="A762" s="1"/>
      <c r="B762" s="1"/>
      <c r="C762" s="1"/>
      <c r="D762" s="1"/>
      <c r="E762" s="1"/>
      <c r="F762" s="1"/>
      <c r="G762" s="1">
        <v>90</v>
      </c>
      <c r="H762" s="4" t="str">
        <f>'Bid 3b'!B614</f>
        <v>Belanja Upakara dan Upacara</v>
      </c>
      <c r="I762" s="73">
        <f>'Bid 3b'!F615</f>
        <v>18000000</v>
      </c>
      <c r="J762" s="4" t="s">
        <v>1775</v>
      </c>
      <c r="K762" s="4" t="s">
        <v>3599</v>
      </c>
      <c r="L762" s="73"/>
      <c r="M762" s="73"/>
      <c r="N762" s="73"/>
      <c r="O762" s="73">
        <v>9000000</v>
      </c>
      <c r="P762" s="73"/>
      <c r="Q762" s="73"/>
      <c r="R762" s="73"/>
      <c r="S762" s="73"/>
      <c r="T762" s="73"/>
      <c r="U762" s="73"/>
      <c r="V762" s="73">
        <v>9000000</v>
      </c>
      <c r="W762" s="73"/>
      <c r="X762" s="1864">
        <f t="shared" si="26"/>
        <v>18000000</v>
      </c>
      <c r="Y762" s="23">
        <f t="shared" si="25"/>
        <v>0</v>
      </c>
    </row>
    <row r="763" spans="1:25" x14ac:dyDescent="0.25">
      <c r="A763" s="1"/>
      <c r="B763" s="1"/>
      <c r="C763" s="1"/>
      <c r="D763" s="1">
        <v>5</v>
      </c>
      <c r="E763" s="1">
        <v>2</v>
      </c>
      <c r="F763" s="1">
        <v>4</v>
      </c>
      <c r="G763" s="1"/>
      <c r="H763" s="4" t="str">
        <f>'Bid 3b'!B616</f>
        <v>Belanja Jasa Sewa</v>
      </c>
      <c r="I763" s="73"/>
      <c r="J763" s="4"/>
      <c r="K763" s="4" t="s">
        <v>3599</v>
      </c>
      <c r="L763" s="73"/>
      <c r="M763" s="73"/>
      <c r="N763" s="73"/>
      <c r="O763" s="73"/>
      <c r="P763" s="73"/>
      <c r="Q763" s="73"/>
      <c r="R763" s="73"/>
      <c r="S763" s="73"/>
      <c r="T763" s="73"/>
      <c r="U763" s="73"/>
      <c r="V763" s="73"/>
      <c r="W763" s="73"/>
      <c r="X763" s="1864">
        <f t="shared" si="26"/>
        <v>0</v>
      </c>
      <c r="Y763" s="23">
        <f t="shared" si="25"/>
        <v>0</v>
      </c>
    </row>
    <row r="764" spans="1:25" ht="30" x14ac:dyDescent="0.25">
      <c r="A764" s="1"/>
      <c r="B764" s="1"/>
      <c r="C764" s="1"/>
      <c r="D764" s="1"/>
      <c r="E764" s="1"/>
      <c r="F764" s="1"/>
      <c r="G764" s="1489" t="s">
        <v>3386</v>
      </c>
      <c r="H764" s="4" t="str">
        <f>'Bid 3b'!B617</f>
        <v>Belanja Jasa Sewa Peralatan/Perlengkapan</v>
      </c>
      <c r="I764" s="73">
        <f>SUM('Bid 3b'!F618:F619)</f>
        <v>2200000</v>
      </c>
      <c r="J764" s="4" t="s">
        <v>1775</v>
      </c>
      <c r="K764" s="4" t="s">
        <v>3599</v>
      </c>
      <c r="L764" s="73"/>
      <c r="M764" s="73"/>
      <c r="N764" s="73"/>
      <c r="O764" s="73">
        <v>1100000</v>
      </c>
      <c r="P764" s="73"/>
      <c r="Q764" s="73"/>
      <c r="R764" s="73"/>
      <c r="S764" s="73"/>
      <c r="T764" s="73"/>
      <c r="U764" s="73"/>
      <c r="V764" s="73">
        <v>1100000</v>
      </c>
      <c r="W764" s="73"/>
      <c r="X764" s="1864">
        <f t="shared" si="26"/>
        <v>2200000</v>
      </c>
      <c r="Y764" s="23">
        <f t="shared" si="25"/>
        <v>0</v>
      </c>
    </row>
    <row r="765" spans="1:25" ht="46.15" customHeight="1" x14ac:dyDescent="0.25">
      <c r="A765" s="865">
        <v>3</v>
      </c>
      <c r="B765" s="865">
        <v>2</v>
      </c>
      <c r="C765" s="865">
        <v>91</v>
      </c>
      <c r="D765" s="865"/>
      <c r="E765" s="865"/>
      <c r="F765" s="865"/>
      <c r="G765" s="865"/>
      <c r="H765" s="1061" t="str">
        <f>'Bid 3b'!B634</f>
        <v xml:space="preserve"> : Penunjang Oprasional Subak/Subak Abian (BKKProvinsi)</v>
      </c>
      <c r="I765" s="1063">
        <f>I768</f>
        <v>45000000</v>
      </c>
      <c r="J765" s="1061" t="s">
        <v>3300</v>
      </c>
      <c r="K765" s="1061" t="s">
        <v>3599</v>
      </c>
      <c r="L765" s="1063"/>
      <c r="M765" s="1063"/>
      <c r="N765" s="1063"/>
      <c r="O765" s="1063"/>
      <c r="P765" s="1063"/>
      <c r="Q765" s="1063"/>
      <c r="R765" s="1063"/>
      <c r="S765" s="1063"/>
      <c r="T765" s="1063"/>
      <c r="U765" s="1063"/>
      <c r="V765" s="1063"/>
      <c r="W765" s="1063"/>
      <c r="X765" s="1866">
        <f t="shared" si="26"/>
        <v>0</v>
      </c>
      <c r="Y765" s="23">
        <f t="shared" si="25"/>
        <v>-45000000</v>
      </c>
    </row>
    <row r="766" spans="1:25" x14ac:dyDescent="0.25">
      <c r="A766" s="1"/>
      <c r="B766" s="1"/>
      <c r="C766" s="1"/>
      <c r="D766" s="1">
        <v>5</v>
      </c>
      <c r="E766" s="1">
        <v>2</v>
      </c>
      <c r="F766" s="1"/>
      <c r="G766" s="1"/>
      <c r="H766" s="4" t="str">
        <f>'Bid 3b'!B639</f>
        <v>Belanja Barang Jasa</v>
      </c>
      <c r="I766" s="73"/>
      <c r="J766" s="4"/>
      <c r="K766" s="4" t="s">
        <v>3599</v>
      </c>
      <c r="L766" s="73"/>
      <c r="M766" s="73"/>
      <c r="N766" s="73"/>
      <c r="O766" s="73"/>
      <c r="P766" s="73"/>
      <c r="Q766" s="73"/>
      <c r="R766" s="73"/>
      <c r="S766" s="73"/>
      <c r="T766" s="73"/>
      <c r="U766" s="73"/>
      <c r="V766" s="73"/>
      <c r="W766" s="73"/>
      <c r="X766" s="1864">
        <f t="shared" si="26"/>
        <v>0</v>
      </c>
      <c r="Y766" s="23">
        <f t="shared" si="25"/>
        <v>0</v>
      </c>
    </row>
    <row r="767" spans="1:25" ht="45" x14ac:dyDescent="0.25">
      <c r="A767" s="1"/>
      <c r="B767" s="1"/>
      <c r="C767" s="1"/>
      <c r="D767" s="1"/>
      <c r="E767" s="1"/>
      <c r="F767" s="1">
        <v>7</v>
      </c>
      <c r="G767" s="1"/>
      <c r="H767" s="4" t="str">
        <f>'Bid 3b'!B640</f>
        <v>Belanja Barang dan Jasa yang Diserahkan Kepada Masyarakat</v>
      </c>
      <c r="I767" s="73"/>
      <c r="J767" s="4"/>
      <c r="K767" s="4" t="s">
        <v>3599</v>
      </c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1864">
        <f t="shared" si="26"/>
        <v>0</v>
      </c>
      <c r="Y767" s="23">
        <f t="shared" si="25"/>
        <v>0</v>
      </c>
    </row>
    <row r="768" spans="1:25" ht="30" x14ac:dyDescent="0.25">
      <c r="A768" s="1"/>
      <c r="B768" s="1"/>
      <c r="C768" s="1"/>
      <c r="D768" s="1"/>
      <c r="E768" s="1"/>
      <c r="F768" s="1"/>
      <c r="G768" s="1489" t="s">
        <v>3366</v>
      </c>
      <c r="H768" s="4" t="str">
        <f>'Bid 3b'!B641</f>
        <v>Belanaja Barang  Yang Diserahkan</v>
      </c>
      <c r="I768" s="73">
        <f>'Bid 3b'!F642</f>
        <v>45000000</v>
      </c>
      <c r="J768" s="4" t="s">
        <v>3300</v>
      </c>
      <c r="K768" s="4" t="s">
        <v>3599</v>
      </c>
      <c r="L768" s="73"/>
      <c r="M768" s="73"/>
      <c r="N768" s="73"/>
      <c r="O768" s="73"/>
      <c r="P768" s="73"/>
      <c r="Q768" s="73"/>
      <c r="R768" s="73"/>
      <c r="S768" s="73"/>
      <c r="T768" s="73">
        <v>45000000</v>
      </c>
      <c r="U768" s="73"/>
      <c r="V768" s="73"/>
      <c r="W768" s="73"/>
      <c r="X768" s="1864">
        <f t="shared" si="26"/>
        <v>45000000</v>
      </c>
      <c r="Y768" s="23">
        <f t="shared" si="25"/>
        <v>0</v>
      </c>
    </row>
    <row r="769" spans="1:25" ht="34.15" customHeight="1" x14ac:dyDescent="0.25">
      <c r="A769" s="865">
        <v>3</v>
      </c>
      <c r="B769" s="865">
        <v>2</v>
      </c>
      <c r="C769" s="865">
        <v>94</v>
      </c>
      <c r="D769" s="865"/>
      <c r="E769" s="865"/>
      <c r="F769" s="865"/>
      <c r="G769" s="865"/>
      <c r="H769" s="1061" t="str">
        <f>'Bid 3b'!B657</f>
        <v xml:space="preserve"> : Penunjang Oprasional Desa Pakraman(BKK Kota)</v>
      </c>
      <c r="I769" s="1063">
        <f>I772</f>
        <v>2030000000</v>
      </c>
      <c r="J769" s="1061" t="s">
        <v>1365</v>
      </c>
      <c r="K769" s="1061" t="s">
        <v>3599</v>
      </c>
      <c r="L769" s="1063"/>
      <c r="M769" s="1063"/>
      <c r="N769" s="1063"/>
      <c r="O769" s="1063"/>
      <c r="P769" s="1063"/>
      <c r="Q769" s="1063"/>
      <c r="R769" s="1063"/>
      <c r="S769" s="1063"/>
      <c r="T769" s="1063"/>
      <c r="U769" s="1063"/>
      <c r="V769" s="1063"/>
      <c r="W769" s="1063"/>
      <c r="X769" s="1866">
        <f t="shared" si="26"/>
        <v>0</v>
      </c>
      <c r="Y769" s="23">
        <f t="shared" si="25"/>
        <v>-2030000000</v>
      </c>
    </row>
    <row r="770" spans="1:25" x14ac:dyDescent="0.25">
      <c r="A770" s="1"/>
      <c r="B770" s="1"/>
      <c r="C770" s="1"/>
      <c r="D770" s="1">
        <v>5</v>
      </c>
      <c r="E770" s="1">
        <v>2</v>
      </c>
      <c r="F770" s="1"/>
      <c r="G770" s="1"/>
      <c r="H770" s="4" t="str">
        <f>'Bid 3b'!B662</f>
        <v>Belanja Barang Dan Jasa</v>
      </c>
      <c r="I770" s="73"/>
      <c r="J770" s="4"/>
      <c r="K770" s="4" t="s">
        <v>3599</v>
      </c>
      <c r="L770" s="73"/>
      <c r="M770" s="73"/>
      <c r="N770" s="73"/>
      <c r="O770" s="73"/>
      <c r="P770" s="73"/>
      <c r="Q770" s="73"/>
      <c r="R770" s="73"/>
      <c r="S770" s="73"/>
      <c r="T770" s="73"/>
      <c r="U770" s="73"/>
      <c r="V770" s="73"/>
      <c r="W770" s="73"/>
      <c r="X770" s="1864">
        <f t="shared" si="26"/>
        <v>0</v>
      </c>
      <c r="Y770" s="23">
        <f t="shared" si="25"/>
        <v>0</v>
      </c>
    </row>
    <row r="771" spans="1:25" ht="45" x14ac:dyDescent="0.25">
      <c r="A771" s="1"/>
      <c r="B771" s="1"/>
      <c r="C771" s="1"/>
      <c r="D771" s="1"/>
      <c r="E771" s="1"/>
      <c r="F771" s="1">
        <v>7</v>
      </c>
      <c r="G771" s="1"/>
      <c r="H771" s="4" t="str">
        <f>'Bid 3b'!B663</f>
        <v>Belanja Barang dan Jasa yang Diserahkan Kepada Masyarakat</v>
      </c>
      <c r="I771" s="73"/>
      <c r="J771" s="4"/>
      <c r="K771" s="4" t="s">
        <v>3599</v>
      </c>
      <c r="L771" s="73"/>
      <c r="M771" s="73"/>
      <c r="N771" s="73"/>
      <c r="O771" s="73"/>
      <c r="P771" s="73"/>
      <c r="Q771" s="73"/>
      <c r="R771" s="73"/>
      <c r="S771" s="73"/>
      <c r="T771" s="73"/>
      <c r="U771" s="73"/>
      <c r="V771" s="73"/>
      <c r="W771" s="73"/>
      <c r="X771" s="1864">
        <f t="shared" si="26"/>
        <v>0</v>
      </c>
      <c r="Y771" s="23">
        <f t="shared" si="25"/>
        <v>0</v>
      </c>
    </row>
    <row r="772" spans="1:25" ht="30" x14ac:dyDescent="0.25">
      <c r="A772" s="1"/>
      <c r="B772" s="1"/>
      <c r="C772" s="1"/>
      <c r="D772" s="1"/>
      <c r="E772" s="1"/>
      <c r="F772" s="1"/>
      <c r="G772" s="1489" t="s">
        <v>3366</v>
      </c>
      <c r="H772" s="4" t="str">
        <f>'Bid 3b'!B664</f>
        <v>Belanaja Barang  Yang Diserahkan</v>
      </c>
      <c r="I772" s="73">
        <f>'Bid 3b'!F665+'Bid 3b'!F666</f>
        <v>2030000000</v>
      </c>
      <c r="J772" s="4" t="s">
        <v>1365</v>
      </c>
      <c r="K772" s="4" t="s">
        <v>3599</v>
      </c>
      <c r="L772" s="73"/>
      <c r="M772" s="73">
        <v>2030000000</v>
      </c>
      <c r="N772" s="73"/>
      <c r="O772" s="73"/>
      <c r="P772" s="73"/>
      <c r="Q772" s="73"/>
      <c r="R772" s="73"/>
      <c r="S772" s="73"/>
      <c r="T772" s="73"/>
      <c r="U772" s="73"/>
      <c r="V772" s="73"/>
      <c r="W772" s="73"/>
      <c r="X772" s="1864">
        <f t="shared" si="26"/>
        <v>2030000000</v>
      </c>
      <c r="Y772" s="23">
        <f t="shared" si="25"/>
        <v>0</v>
      </c>
    </row>
    <row r="773" spans="1:25" ht="21" customHeight="1" x14ac:dyDescent="0.25">
      <c r="A773" s="865">
        <v>3</v>
      </c>
      <c r="B773" s="865">
        <v>2</v>
      </c>
      <c r="C773" s="865">
        <v>95</v>
      </c>
      <c r="D773" s="865"/>
      <c r="E773" s="865"/>
      <c r="F773" s="865"/>
      <c r="G773" s="865"/>
      <c r="H773" s="1061" t="str">
        <f>'Bid 3b'!B681</f>
        <v>: Kegiatan Bakti Penganyaran</v>
      </c>
      <c r="I773" s="1063">
        <f>SUM(I774:I788)</f>
        <v>180000000</v>
      </c>
      <c r="J773" s="865"/>
      <c r="K773" s="1061" t="s">
        <v>3599</v>
      </c>
      <c r="L773" s="1063"/>
      <c r="M773" s="1063"/>
      <c r="N773" s="1063"/>
      <c r="O773" s="1063"/>
      <c r="P773" s="1063"/>
      <c r="Q773" s="1063"/>
      <c r="R773" s="1063"/>
      <c r="S773" s="1063"/>
      <c r="T773" s="1063"/>
      <c r="U773" s="1063"/>
      <c r="V773" s="1063"/>
      <c r="W773" s="1063"/>
      <c r="X773" s="1866">
        <f t="shared" si="26"/>
        <v>0</v>
      </c>
      <c r="Y773" s="23">
        <f t="shared" si="25"/>
        <v>-180000000</v>
      </c>
    </row>
    <row r="774" spans="1:25" x14ac:dyDescent="0.25">
      <c r="A774" s="1"/>
      <c r="B774" s="1"/>
      <c r="C774" s="1"/>
      <c r="D774" s="1"/>
      <c r="E774" s="1"/>
      <c r="F774" s="1"/>
      <c r="G774" s="1"/>
      <c r="H774" s="4" t="str">
        <f>'Bid 3b'!B688</f>
        <v xml:space="preserve">Nganyarin ke Pura Batur </v>
      </c>
      <c r="I774" s="73"/>
      <c r="J774" s="1"/>
      <c r="K774" s="4" t="s">
        <v>3599</v>
      </c>
      <c r="L774" s="73"/>
      <c r="M774" s="73"/>
      <c r="N774" s="73"/>
      <c r="O774" s="73"/>
      <c r="P774" s="73"/>
      <c r="Q774" s="73"/>
      <c r="R774" s="73"/>
      <c r="S774" s="73"/>
      <c r="T774" s="73"/>
      <c r="U774" s="73"/>
      <c r="V774" s="73"/>
      <c r="W774" s="73"/>
      <c r="X774" s="1864">
        <f t="shared" si="26"/>
        <v>0</v>
      </c>
      <c r="Y774" s="23">
        <f t="shared" si="25"/>
        <v>0</v>
      </c>
    </row>
    <row r="775" spans="1:25" x14ac:dyDescent="0.25">
      <c r="A775" s="1"/>
      <c r="B775" s="1"/>
      <c r="C775" s="1"/>
      <c r="D775" s="1">
        <v>5</v>
      </c>
      <c r="E775" s="1">
        <v>2</v>
      </c>
      <c r="F775" s="1"/>
      <c r="G775" s="1"/>
      <c r="H775" s="4" t="str">
        <f>'Bid 3b'!B689</f>
        <v xml:space="preserve">Belanja Barang dan Jasa </v>
      </c>
      <c r="I775" s="73"/>
      <c r="J775" s="1"/>
      <c r="K775" s="4" t="s">
        <v>3599</v>
      </c>
      <c r="L775" s="73"/>
      <c r="M775" s="73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1864">
        <f t="shared" si="26"/>
        <v>0</v>
      </c>
      <c r="Y775" s="23">
        <f t="shared" si="25"/>
        <v>0</v>
      </c>
    </row>
    <row r="776" spans="1:25" x14ac:dyDescent="0.25">
      <c r="A776" s="1"/>
      <c r="B776" s="1"/>
      <c r="C776" s="1"/>
      <c r="D776" s="1"/>
      <c r="E776" s="1"/>
      <c r="F776" s="1">
        <v>4</v>
      </c>
      <c r="G776" s="1489"/>
      <c r="H776" s="4" t="str">
        <f>'Bid 3b'!B690</f>
        <v xml:space="preserve">Belanja Jasa Sewa </v>
      </c>
      <c r="I776" s="73"/>
      <c r="J776" s="1"/>
      <c r="K776" s="4" t="s">
        <v>3599</v>
      </c>
      <c r="L776" s="73"/>
      <c r="M776" s="73"/>
      <c r="N776" s="73"/>
      <c r="O776" s="73"/>
      <c r="P776" s="73"/>
      <c r="Q776" s="73"/>
      <c r="R776" s="73"/>
      <c r="S776" s="73"/>
      <c r="T776" s="73"/>
      <c r="U776" s="73"/>
      <c r="V776" s="73"/>
      <c r="W776" s="73"/>
      <c r="X776" s="1864">
        <f t="shared" si="26"/>
        <v>0</v>
      </c>
      <c r="Y776" s="23">
        <f t="shared" si="25"/>
        <v>0</v>
      </c>
    </row>
    <row r="777" spans="1:25" ht="30" x14ac:dyDescent="0.25">
      <c r="A777" s="1"/>
      <c r="B777" s="1"/>
      <c r="C777" s="1"/>
      <c r="D777" s="1"/>
      <c r="E777" s="1"/>
      <c r="F777" s="1"/>
      <c r="G777" s="1489" t="s">
        <v>3388</v>
      </c>
      <c r="H777" s="4" t="str">
        <f>'Bid 3b'!B691</f>
        <v>Belanja Jasa Sewa Sarana Mobilitas</v>
      </c>
      <c r="I777" s="73">
        <f>'Bid 3b'!F692</f>
        <v>11250000</v>
      </c>
      <c r="J777" s="4" t="s">
        <v>1775</v>
      </c>
      <c r="K777" s="4" t="s">
        <v>3599</v>
      </c>
      <c r="L777" s="73"/>
      <c r="M777" s="73"/>
      <c r="N777" s="73">
        <v>11250000</v>
      </c>
      <c r="O777" s="73"/>
      <c r="P777" s="73"/>
      <c r="Q777" s="73"/>
      <c r="R777" s="73"/>
      <c r="S777" s="73"/>
      <c r="T777" s="73"/>
      <c r="U777" s="73"/>
      <c r="V777" s="73"/>
      <c r="W777" s="73"/>
      <c r="X777" s="1864">
        <f t="shared" si="26"/>
        <v>11250000</v>
      </c>
      <c r="Y777" s="23">
        <f t="shared" si="25"/>
        <v>0</v>
      </c>
    </row>
    <row r="778" spans="1:25" x14ac:dyDescent="0.25">
      <c r="A778" s="1"/>
      <c r="B778" s="1"/>
      <c r="C778" s="1"/>
      <c r="D778" s="1"/>
      <c r="E778" s="1"/>
      <c r="F778" s="1"/>
      <c r="G778" s="1"/>
      <c r="H778" s="4" t="str">
        <f>'Bid 3b'!B693</f>
        <v>Nganyarin ke Pura  Besakih</v>
      </c>
      <c r="I778" s="73"/>
      <c r="J778" s="4"/>
      <c r="K778" s="4" t="s">
        <v>3599</v>
      </c>
      <c r="L778" s="73"/>
      <c r="M778" s="73"/>
      <c r="N778" s="73"/>
      <c r="O778" s="73"/>
      <c r="P778" s="73"/>
      <c r="Q778" s="73"/>
      <c r="R778" s="73"/>
      <c r="S778" s="73"/>
      <c r="T778" s="73"/>
      <c r="U778" s="73"/>
      <c r="V778" s="73"/>
      <c r="W778" s="73"/>
      <c r="X778" s="1864">
        <f t="shared" si="26"/>
        <v>0</v>
      </c>
      <c r="Y778" s="23">
        <f t="shared" si="25"/>
        <v>0</v>
      </c>
    </row>
    <row r="779" spans="1:25" x14ac:dyDescent="0.25">
      <c r="A779" s="1"/>
      <c r="B779" s="1"/>
      <c r="C779" s="1"/>
      <c r="D779" s="1">
        <v>5</v>
      </c>
      <c r="E779" s="1">
        <v>2</v>
      </c>
      <c r="F779" s="1">
        <v>4</v>
      </c>
      <c r="G779" s="1"/>
      <c r="H779" s="4" t="str">
        <f>'Bid 3b'!B694</f>
        <v xml:space="preserve">Belanja Barang dan Jasa </v>
      </c>
      <c r="I779" s="73"/>
      <c r="J779" s="4"/>
      <c r="K779" s="4" t="s">
        <v>3599</v>
      </c>
      <c r="L779" s="73"/>
      <c r="M779" s="73"/>
      <c r="N779" s="73"/>
      <c r="O779" s="73"/>
      <c r="P779" s="73"/>
      <c r="Q779" s="73"/>
      <c r="R779" s="73"/>
      <c r="S779" s="73"/>
      <c r="T779" s="73"/>
      <c r="U779" s="73"/>
      <c r="V779" s="73"/>
      <c r="W779" s="73"/>
      <c r="X779" s="1864">
        <f t="shared" si="26"/>
        <v>0</v>
      </c>
      <c r="Y779" s="23">
        <f t="shared" si="25"/>
        <v>0</v>
      </c>
    </row>
    <row r="780" spans="1:25" ht="30" x14ac:dyDescent="0.25">
      <c r="A780" s="1"/>
      <c r="B780" s="1"/>
      <c r="C780" s="1"/>
      <c r="D780" s="1"/>
      <c r="E780" s="1"/>
      <c r="F780" s="1"/>
      <c r="G780" s="1489" t="s">
        <v>3388</v>
      </c>
      <c r="H780" s="4" t="str">
        <f>'Bid 3b'!B695</f>
        <v xml:space="preserve">Belanja Jasa Sewa </v>
      </c>
      <c r="I780" s="73">
        <f>'Bid 3b'!F697</f>
        <v>11250000</v>
      </c>
      <c r="J780" s="4" t="s">
        <v>1775</v>
      </c>
      <c r="K780" s="4" t="s">
        <v>3599</v>
      </c>
      <c r="L780" s="73"/>
      <c r="M780" s="73"/>
      <c r="N780" s="73">
        <v>11250000</v>
      </c>
      <c r="O780" s="73"/>
      <c r="P780" s="73"/>
      <c r="Q780" s="73"/>
      <c r="R780" s="73"/>
      <c r="S780" s="73"/>
      <c r="T780" s="73"/>
      <c r="U780" s="73"/>
      <c r="V780" s="73"/>
      <c r="W780" s="73"/>
      <c r="X780" s="1864">
        <f t="shared" si="26"/>
        <v>11250000</v>
      </c>
      <c r="Y780" s="23">
        <f t="shared" si="25"/>
        <v>0</v>
      </c>
    </row>
    <row r="781" spans="1:25" ht="30" x14ac:dyDescent="0.25">
      <c r="A781" s="1"/>
      <c r="B781" s="1"/>
      <c r="C781" s="1"/>
      <c r="D781" s="1"/>
      <c r="E781" s="1"/>
      <c r="F781" s="1"/>
      <c r="G781" s="1"/>
      <c r="H781" s="4" t="str">
        <f>'Bid 3b'!B698</f>
        <v>Nganyarin ke Pura Mandara Giri Lumajang</v>
      </c>
      <c r="I781" s="73"/>
      <c r="J781" s="4"/>
      <c r="K781" s="4" t="s">
        <v>3599</v>
      </c>
      <c r="L781" s="73"/>
      <c r="M781" s="73"/>
      <c r="N781" s="73"/>
      <c r="O781" s="73"/>
      <c r="P781" s="73"/>
      <c r="Q781" s="73"/>
      <c r="R781" s="73"/>
      <c r="S781" s="73"/>
      <c r="T781" s="73"/>
      <c r="U781" s="73"/>
      <c r="V781" s="73"/>
      <c r="W781" s="73"/>
      <c r="X781" s="1864">
        <f t="shared" si="26"/>
        <v>0</v>
      </c>
      <c r="Y781" s="23">
        <f t="shared" si="25"/>
        <v>0</v>
      </c>
    </row>
    <row r="782" spans="1:25" x14ac:dyDescent="0.25">
      <c r="A782" s="1"/>
      <c r="B782" s="1"/>
      <c r="C782" s="1"/>
      <c r="D782" s="1">
        <v>5</v>
      </c>
      <c r="E782" s="1">
        <v>2</v>
      </c>
      <c r="F782" s="1"/>
      <c r="G782" s="1"/>
      <c r="H782" s="4" t="str">
        <f>'Bid 3b'!B699</f>
        <v xml:space="preserve">Belanja Barang dan Jasa </v>
      </c>
      <c r="I782" s="73"/>
      <c r="J782" s="4"/>
      <c r="K782" s="4" t="s">
        <v>3599</v>
      </c>
      <c r="L782" s="73"/>
      <c r="M782" s="73"/>
      <c r="N782" s="73"/>
      <c r="O782" s="73"/>
      <c r="P782" s="73"/>
      <c r="Q782" s="73"/>
      <c r="R782" s="73"/>
      <c r="S782" s="73"/>
      <c r="T782" s="73"/>
      <c r="U782" s="73"/>
      <c r="V782" s="73"/>
      <c r="W782" s="73"/>
      <c r="X782" s="1864">
        <f t="shared" si="26"/>
        <v>0</v>
      </c>
      <c r="Y782" s="23">
        <f t="shared" si="25"/>
        <v>0</v>
      </c>
    </row>
    <row r="783" spans="1:25" x14ac:dyDescent="0.25">
      <c r="A783" s="1"/>
      <c r="B783" s="1"/>
      <c r="C783" s="1"/>
      <c r="D783" s="1"/>
      <c r="E783" s="1"/>
      <c r="F783" s="1">
        <v>4</v>
      </c>
      <c r="G783" s="1"/>
      <c r="H783" s="4" t="str">
        <f>'Bid 3b'!B700</f>
        <v xml:space="preserve">Belanja Jasa Sewa </v>
      </c>
      <c r="I783" s="73"/>
      <c r="J783" s="4"/>
      <c r="K783" s="4" t="s">
        <v>3599</v>
      </c>
      <c r="L783" s="73"/>
      <c r="M783" s="73"/>
      <c r="N783" s="73"/>
      <c r="O783" s="73"/>
      <c r="P783" s="73"/>
      <c r="Q783" s="73"/>
      <c r="R783" s="73"/>
      <c r="S783" s="73"/>
      <c r="T783" s="73"/>
      <c r="U783" s="73"/>
      <c r="V783" s="73"/>
      <c r="W783" s="73"/>
      <c r="X783" s="1864">
        <f t="shared" si="26"/>
        <v>0</v>
      </c>
      <c r="Y783" s="23">
        <f t="shared" si="25"/>
        <v>0</v>
      </c>
    </row>
    <row r="784" spans="1:25" ht="30" x14ac:dyDescent="0.25">
      <c r="A784" s="1"/>
      <c r="B784" s="1"/>
      <c r="C784" s="1"/>
      <c r="D784" s="1"/>
      <c r="E784" s="1"/>
      <c r="F784" s="1"/>
      <c r="G784" s="1489" t="s">
        <v>3388</v>
      </c>
      <c r="H784" s="4" t="str">
        <f>'Bid 3b'!B701</f>
        <v>Belanja Jasa Sewa Sarana Mobilitas</v>
      </c>
      <c r="I784" s="73">
        <f>'Bid 3b'!F702</f>
        <v>67500000</v>
      </c>
      <c r="J784" s="4" t="s">
        <v>1775</v>
      </c>
      <c r="K784" s="4" t="s">
        <v>3599</v>
      </c>
      <c r="L784" s="73"/>
      <c r="M784" s="73"/>
      <c r="N784" s="73"/>
      <c r="O784" s="73">
        <v>67500000</v>
      </c>
      <c r="P784" s="73"/>
      <c r="Q784" s="73"/>
      <c r="R784" s="73"/>
      <c r="S784" s="73"/>
      <c r="T784" s="73"/>
      <c r="U784" s="73"/>
      <c r="V784" s="73"/>
      <c r="W784" s="73"/>
      <c r="X784" s="1864">
        <f t="shared" si="26"/>
        <v>67500000</v>
      </c>
      <c r="Y784" s="23">
        <f t="shared" si="25"/>
        <v>0</v>
      </c>
    </row>
    <row r="785" spans="1:25" ht="30" x14ac:dyDescent="0.25">
      <c r="A785" s="1"/>
      <c r="B785" s="1"/>
      <c r="C785" s="1"/>
      <c r="D785" s="1"/>
      <c r="E785" s="1"/>
      <c r="F785" s="1"/>
      <c r="G785" s="1"/>
      <c r="H785" s="4" t="str">
        <f>'Bid 3b'!B703</f>
        <v>Nganyarin ke Pura Penataran Agung Rinjani</v>
      </c>
      <c r="I785" s="73"/>
      <c r="J785" s="4"/>
      <c r="K785" s="4" t="s">
        <v>3599</v>
      </c>
      <c r="L785" s="73"/>
      <c r="M785" s="73"/>
      <c r="N785" s="73"/>
      <c r="O785" s="73"/>
      <c r="P785" s="73"/>
      <c r="Q785" s="73"/>
      <c r="R785" s="73"/>
      <c r="S785" s="73"/>
      <c r="T785" s="73"/>
      <c r="U785" s="73"/>
      <c r="V785" s="73"/>
      <c r="W785" s="73"/>
      <c r="X785" s="1864">
        <f t="shared" si="26"/>
        <v>0</v>
      </c>
      <c r="Y785" s="23">
        <f t="shared" si="25"/>
        <v>0</v>
      </c>
    </row>
    <row r="786" spans="1:25" x14ac:dyDescent="0.25">
      <c r="A786" s="1"/>
      <c r="B786" s="1"/>
      <c r="C786" s="1"/>
      <c r="D786" s="1">
        <v>5</v>
      </c>
      <c r="E786" s="1">
        <v>2</v>
      </c>
      <c r="F786" s="1"/>
      <c r="G786" s="1"/>
      <c r="H786" s="4" t="str">
        <f>'Bid 3b'!B704</f>
        <v xml:space="preserve">Belanja Barang dan Jasa </v>
      </c>
      <c r="I786" s="73"/>
      <c r="J786" s="4"/>
      <c r="K786" s="4" t="s">
        <v>3599</v>
      </c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1864">
        <f t="shared" si="26"/>
        <v>0</v>
      </c>
      <c r="Y786" s="23">
        <f t="shared" si="25"/>
        <v>0</v>
      </c>
    </row>
    <row r="787" spans="1:25" x14ac:dyDescent="0.25">
      <c r="A787" s="1"/>
      <c r="B787" s="1"/>
      <c r="C787" s="1"/>
      <c r="D787" s="1"/>
      <c r="E787" s="1"/>
      <c r="F787" s="1">
        <v>4</v>
      </c>
      <c r="G787" s="1"/>
      <c r="H787" s="4" t="str">
        <f>'Bid 3b'!B705</f>
        <v xml:space="preserve">Belanja Jasa Sewa </v>
      </c>
      <c r="I787" s="73"/>
      <c r="J787" s="4"/>
      <c r="K787" s="4" t="s">
        <v>3599</v>
      </c>
      <c r="L787" s="73"/>
      <c r="M787" s="73"/>
      <c r="N787" s="73"/>
      <c r="O787" s="73"/>
      <c r="P787" s="73"/>
      <c r="Q787" s="73"/>
      <c r="R787" s="73"/>
      <c r="S787" s="73"/>
      <c r="T787" s="73"/>
      <c r="U787" s="73"/>
      <c r="V787" s="73"/>
      <c r="W787" s="73"/>
      <c r="X787" s="1864">
        <f t="shared" si="26"/>
        <v>0</v>
      </c>
      <c r="Y787" s="23">
        <f t="shared" si="25"/>
        <v>0</v>
      </c>
    </row>
    <row r="788" spans="1:25" ht="30" x14ac:dyDescent="0.25">
      <c r="A788" s="1"/>
      <c r="B788" s="1"/>
      <c r="C788" s="1"/>
      <c r="D788" s="1"/>
      <c r="E788" s="1"/>
      <c r="F788" s="1"/>
      <c r="G788" s="1489" t="s">
        <v>3388</v>
      </c>
      <c r="H788" s="4" t="str">
        <f>'Bid 3b'!B706</f>
        <v>Belanja Jasa Sewa Sarana Mobilitas</v>
      </c>
      <c r="I788" s="73">
        <f>'Bid 3b'!F707</f>
        <v>90000000</v>
      </c>
      <c r="J788" s="4" t="s">
        <v>1775</v>
      </c>
      <c r="K788" s="4" t="s">
        <v>3599</v>
      </c>
      <c r="L788" s="73"/>
      <c r="M788" s="73"/>
      <c r="N788" s="73"/>
      <c r="O788" s="73"/>
      <c r="P788" s="73"/>
      <c r="Q788" s="73">
        <v>90000000</v>
      </c>
      <c r="R788" s="73"/>
      <c r="S788" s="73"/>
      <c r="T788" s="73"/>
      <c r="U788" s="73"/>
      <c r="V788" s="73"/>
      <c r="W788" s="73"/>
      <c r="X788" s="1864">
        <f t="shared" si="26"/>
        <v>90000000</v>
      </c>
      <c r="Y788" s="23">
        <f t="shared" si="25"/>
        <v>0</v>
      </c>
    </row>
    <row r="789" spans="1:25" x14ac:dyDescent="0.25">
      <c r="A789" s="865">
        <v>3</v>
      </c>
      <c r="B789" s="865">
        <v>3</v>
      </c>
      <c r="C789" s="865"/>
      <c r="D789" s="865"/>
      <c r="E789" s="865"/>
      <c r="F789" s="865"/>
      <c r="G789" s="1490"/>
      <c r="H789" s="1061" t="s">
        <v>3424</v>
      </c>
      <c r="I789" s="1063"/>
      <c r="J789" s="1061"/>
      <c r="K789" s="1061" t="s">
        <v>3599</v>
      </c>
      <c r="L789" s="1063"/>
      <c r="M789" s="1063"/>
      <c r="N789" s="1063"/>
      <c r="O789" s="1063"/>
      <c r="P789" s="1063"/>
      <c r="Q789" s="1063"/>
      <c r="R789" s="1063"/>
      <c r="S789" s="1063"/>
      <c r="T789" s="1063"/>
      <c r="U789" s="1063"/>
      <c r="V789" s="1063"/>
      <c r="W789" s="1063"/>
      <c r="X789" s="1866">
        <f t="shared" si="26"/>
        <v>0</v>
      </c>
      <c r="Y789" s="23">
        <f t="shared" si="25"/>
        <v>0</v>
      </c>
    </row>
    <row r="790" spans="1:25" ht="117" customHeight="1" x14ac:dyDescent="0.25">
      <c r="A790" s="865">
        <v>3</v>
      </c>
      <c r="B790" s="865">
        <v>3</v>
      </c>
      <c r="C790" s="1490" t="s">
        <v>3386</v>
      </c>
      <c r="D790" s="865"/>
      <c r="E790" s="865"/>
      <c r="F790" s="865"/>
      <c r="G790" s="865"/>
      <c r="H790" s="1061" t="str">
        <f>'Bid 3b'!B723</f>
        <v xml:space="preserve">: Penyelenggaraan Pelatihan Kepemudaan  ( Pelatihan dan Lomba Pidato Bungkarno Tingkat Sekaa Truna, Membaca Puisi Karya Bungkarno Tingkat Umur 13 - 15 tahun, Menyanyi Lagu Kebangsaan Tingkat umur 7 - 12 ) </v>
      </c>
      <c r="I790" s="1063">
        <f>SUM(I791:I811)</f>
        <v>40892000</v>
      </c>
      <c r="J790" s="1061" t="s">
        <v>1775</v>
      </c>
      <c r="K790" s="1061" t="s">
        <v>3599</v>
      </c>
      <c r="L790" s="1063"/>
      <c r="M790" s="1063"/>
      <c r="N790" s="1063"/>
      <c r="O790" s="1063"/>
      <c r="P790" s="1063"/>
      <c r="Q790" s="1063"/>
      <c r="R790" s="1063"/>
      <c r="S790" s="1063"/>
      <c r="T790" s="1063"/>
      <c r="U790" s="1063"/>
      <c r="V790" s="1063"/>
      <c r="W790" s="1063"/>
      <c r="X790" s="1866">
        <f t="shared" si="26"/>
        <v>0</v>
      </c>
      <c r="Y790" s="23">
        <f t="shared" si="25"/>
        <v>-40892000</v>
      </c>
    </row>
    <row r="791" spans="1:25" x14ac:dyDescent="0.25">
      <c r="A791" s="1"/>
      <c r="B791" s="1"/>
      <c r="C791" s="1"/>
      <c r="D791" s="1">
        <v>5</v>
      </c>
      <c r="E791" s="1">
        <v>2</v>
      </c>
      <c r="F791" s="1"/>
      <c r="G791" s="1"/>
      <c r="H791" s="4" t="str">
        <f>'Bid 3b'!B728</f>
        <v>Belanja Barang Jasa</v>
      </c>
      <c r="I791" s="98"/>
      <c r="J791" s="4"/>
      <c r="K791" s="4" t="s">
        <v>3599</v>
      </c>
      <c r="L791" s="73"/>
      <c r="M791" s="73"/>
      <c r="N791" s="73"/>
      <c r="O791" s="73"/>
      <c r="P791" s="73"/>
      <c r="Q791" s="73"/>
      <c r="R791" s="73"/>
      <c r="S791" s="73"/>
      <c r="T791" s="73"/>
      <c r="U791" s="73"/>
      <c r="V791" s="73"/>
      <c r="W791" s="73"/>
      <c r="X791" s="1864">
        <f t="shared" si="26"/>
        <v>0</v>
      </c>
      <c r="Y791" s="23">
        <f t="shared" si="25"/>
        <v>0</v>
      </c>
    </row>
    <row r="792" spans="1:25" ht="30" x14ac:dyDescent="0.25">
      <c r="A792" s="1"/>
      <c r="B792" s="1"/>
      <c r="C792" s="1"/>
      <c r="D792" s="1"/>
      <c r="E792" s="1"/>
      <c r="F792" s="1">
        <v>1</v>
      </c>
      <c r="G792" s="1"/>
      <c r="H792" s="4" t="str">
        <f>'Bid 3b'!B729</f>
        <v>Belanja Barang Perlengkapan</v>
      </c>
      <c r="I792" s="73"/>
      <c r="J792" s="4"/>
      <c r="K792" s="4" t="s">
        <v>3599</v>
      </c>
      <c r="L792" s="73"/>
      <c r="M792" s="73"/>
      <c r="N792" s="73"/>
      <c r="O792" s="73"/>
      <c r="P792" s="73"/>
      <c r="Q792" s="73"/>
      <c r="R792" s="73"/>
      <c r="S792" s="73"/>
      <c r="T792" s="73"/>
      <c r="U792" s="73"/>
      <c r="V792" s="73"/>
      <c r="W792" s="73"/>
      <c r="X792" s="1864">
        <f t="shared" si="26"/>
        <v>0</v>
      </c>
      <c r="Y792" s="23">
        <f t="shared" si="25"/>
        <v>0</v>
      </c>
    </row>
    <row r="793" spans="1:25" ht="30" x14ac:dyDescent="0.25">
      <c r="A793" s="1"/>
      <c r="B793" s="1"/>
      <c r="C793" s="1"/>
      <c r="D793" s="1"/>
      <c r="E793" s="1"/>
      <c r="F793" s="1"/>
      <c r="G793" s="1489" t="s">
        <v>3391</v>
      </c>
      <c r="H793" s="4" t="str">
        <f>'Bid 3b'!B730</f>
        <v>Belanja Perlengkapan Barang Konsumsi</v>
      </c>
      <c r="I793" s="73">
        <f>SUM('Bid 3b'!F731:F734)</f>
        <v>9300000</v>
      </c>
      <c r="J793" s="4" t="s">
        <v>1775</v>
      </c>
      <c r="K793" s="4" t="s">
        <v>3599</v>
      </c>
      <c r="L793" s="73"/>
      <c r="M793" s="73"/>
      <c r="N793" s="73"/>
      <c r="O793" s="73"/>
      <c r="P793" s="73">
        <v>9300000</v>
      </c>
      <c r="Q793" s="73"/>
      <c r="R793" s="73"/>
      <c r="S793" s="73"/>
      <c r="T793" s="73"/>
      <c r="U793" s="73"/>
      <c r="V793" s="73"/>
      <c r="W793" s="73"/>
      <c r="X793" s="1864">
        <f t="shared" si="26"/>
        <v>9300000</v>
      </c>
      <c r="Y793" s="23">
        <f t="shared" si="25"/>
        <v>0</v>
      </c>
    </row>
    <row r="794" spans="1:25" ht="30" x14ac:dyDescent="0.25">
      <c r="A794" s="1"/>
      <c r="B794" s="1"/>
      <c r="C794" s="1"/>
      <c r="D794" s="1"/>
      <c r="E794" s="1"/>
      <c r="F794" s="1"/>
      <c r="G794" s="1489" t="s">
        <v>3393</v>
      </c>
      <c r="H794" s="4" t="str">
        <f>'Bid 3b'!B735</f>
        <v>Belanja Bendera/Umbul - umbul/Spanduk</v>
      </c>
      <c r="I794" s="73">
        <f>'Bid 3b'!F736</f>
        <v>540000</v>
      </c>
      <c r="J794" s="4" t="s">
        <v>1775</v>
      </c>
      <c r="K794" s="4" t="s">
        <v>3599</v>
      </c>
      <c r="L794" s="73"/>
      <c r="M794" s="73"/>
      <c r="N794" s="73"/>
      <c r="O794" s="73"/>
      <c r="P794" s="73">
        <v>540000</v>
      </c>
      <c r="Q794" s="73"/>
      <c r="R794" s="73"/>
      <c r="S794" s="73"/>
      <c r="T794" s="73"/>
      <c r="U794" s="73"/>
      <c r="V794" s="73"/>
      <c r="W794" s="73"/>
      <c r="X794" s="1864">
        <f t="shared" si="26"/>
        <v>540000</v>
      </c>
      <c r="Y794" s="23">
        <f t="shared" si="25"/>
        <v>0</v>
      </c>
    </row>
    <row r="795" spans="1:25" ht="30" x14ac:dyDescent="0.25">
      <c r="A795" s="1"/>
      <c r="B795" s="1"/>
      <c r="C795" s="1"/>
      <c r="D795" s="1"/>
      <c r="E795" s="1"/>
      <c r="F795" s="1"/>
      <c r="G795" s="1">
        <v>90</v>
      </c>
      <c r="H795" s="4" t="str">
        <f>'Bid 3b'!B737</f>
        <v>Belanja Upakara, Upacara Dan Aci</v>
      </c>
      <c r="I795" s="73">
        <f>SUM('Bid 3b'!F738:F741)</f>
        <v>145000</v>
      </c>
      <c r="J795" s="4" t="s">
        <v>1775</v>
      </c>
      <c r="K795" s="4" t="s">
        <v>3599</v>
      </c>
      <c r="L795" s="73"/>
      <c r="M795" s="73"/>
      <c r="N795" s="73"/>
      <c r="O795" s="73"/>
      <c r="P795" s="73">
        <v>145000</v>
      </c>
      <c r="Q795" s="73"/>
      <c r="R795" s="73"/>
      <c r="S795" s="73"/>
      <c r="T795" s="73"/>
      <c r="U795" s="73"/>
      <c r="V795" s="73"/>
      <c r="W795" s="73"/>
      <c r="X795" s="1864">
        <f t="shared" si="26"/>
        <v>145000</v>
      </c>
      <c r="Y795" s="23">
        <f t="shared" si="25"/>
        <v>0</v>
      </c>
    </row>
    <row r="796" spans="1:25" x14ac:dyDescent="0.25">
      <c r="A796" s="1"/>
      <c r="B796" s="1"/>
      <c r="C796" s="1"/>
      <c r="D796" s="1">
        <v>5</v>
      </c>
      <c r="E796" s="1">
        <v>2</v>
      </c>
      <c r="F796" s="1">
        <v>2</v>
      </c>
      <c r="G796" s="1"/>
      <c r="H796" s="4" t="str">
        <f>'Bid 3b'!B742</f>
        <v>Belanja Jasa Honorarium</v>
      </c>
      <c r="I796" s="73"/>
      <c r="J796" s="4"/>
      <c r="K796" s="4" t="s">
        <v>3599</v>
      </c>
      <c r="L796" s="73"/>
      <c r="M796" s="73"/>
      <c r="N796" s="73"/>
      <c r="O796" s="73"/>
      <c r="P796" s="73"/>
      <c r="Q796" s="73"/>
      <c r="R796" s="73"/>
      <c r="S796" s="73"/>
      <c r="T796" s="73"/>
      <c r="U796" s="73"/>
      <c r="V796" s="73"/>
      <c r="W796" s="73"/>
      <c r="X796" s="1864">
        <f t="shared" si="26"/>
        <v>0</v>
      </c>
      <c r="Y796" s="23">
        <f t="shared" si="25"/>
        <v>0</v>
      </c>
    </row>
    <row r="797" spans="1:25" ht="60" x14ac:dyDescent="0.25">
      <c r="A797" s="1"/>
      <c r="B797" s="1"/>
      <c r="C797" s="1"/>
      <c r="D797" s="1"/>
      <c r="E797" s="1"/>
      <c r="F797" s="1"/>
      <c r="G797" s="1489" t="s">
        <v>3389</v>
      </c>
      <c r="H797" s="4" t="str">
        <f>'Bid 3b'!B743</f>
        <v>Belanja Jasa Honorarium Ahli Profesi/Konsultan/Narasumber</v>
      </c>
      <c r="I797" s="73">
        <f>SUM('Bid 3b'!F744:F746)</f>
        <v>8202000</v>
      </c>
      <c r="J797" s="4" t="s">
        <v>1775</v>
      </c>
      <c r="K797" s="4" t="s">
        <v>3599</v>
      </c>
      <c r="L797" s="73"/>
      <c r="M797" s="73"/>
      <c r="N797" s="73"/>
      <c r="O797" s="73"/>
      <c r="P797" s="73">
        <v>8202000</v>
      </c>
      <c r="Q797" s="73"/>
      <c r="R797" s="73"/>
      <c r="S797" s="73"/>
      <c r="T797" s="73"/>
      <c r="U797" s="73"/>
      <c r="V797" s="73"/>
      <c r="W797" s="73"/>
      <c r="X797" s="1864">
        <f t="shared" si="26"/>
        <v>8202000</v>
      </c>
      <c r="Y797" s="23">
        <f t="shared" si="25"/>
        <v>0</v>
      </c>
    </row>
    <row r="798" spans="1:25" ht="45" x14ac:dyDescent="0.25">
      <c r="A798" s="1"/>
      <c r="B798" s="1"/>
      <c r="C798" s="1"/>
      <c r="D798" s="1">
        <v>5</v>
      </c>
      <c r="E798" s="1">
        <v>2</v>
      </c>
      <c r="F798" s="1">
        <v>7</v>
      </c>
      <c r="G798" s="1"/>
      <c r="H798" s="4" t="str">
        <f>'Bid 3b'!B747</f>
        <v>Belanja Barang dan Jasa yang Diserahkan Kepada Masyarakat</v>
      </c>
      <c r="I798" s="73"/>
      <c r="J798" s="4"/>
      <c r="K798" s="4" t="s">
        <v>3599</v>
      </c>
      <c r="L798" s="73"/>
      <c r="M798" s="73"/>
      <c r="N798" s="73"/>
      <c r="O798" s="73"/>
      <c r="P798" s="73"/>
      <c r="Q798" s="73"/>
      <c r="R798" s="73"/>
      <c r="S798" s="73"/>
      <c r="T798" s="73"/>
      <c r="U798" s="73"/>
      <c r="V798" s="73"/>
      <c r="W798" s="73"/>
      <c r="X798" s="1864">
        <f t="shared" si="26"/>
        <v>0</v>
      </c>
      <c r="Y798" s="23">
        <f t="shared" si="25"/>
        <v>0</v>
      </c>
    </row>
    <row r="799" spans="1:25" ht="30" x14ac:dyDescent="0.25">
      <c r="A799" s="1"/>
      <c r="B799" s="1"/>
      <c r="C799" s="1"/>
      <c r="D799" s="1"/>
      <c r="E799" s="1"/>
      <c r="F799" s="1"/>
      <c r="G799" s="1">
        <v>90</v>
      </c>
      <c r="H799" s="4" t="str">
        <f>'Bid 3b'!B748</f>
        <v>Belanja Jasa Atlit dan Seniman Berprestasi</v>
      </c>
      <c r="I799" s="73">
        <f>SUM('Bid 3b'!F750:F759)</f>
        <v>10605000</v>
      </c>
      <c r="J799" s="4" t="s">
        <v>1775</v>
      </c>
      <c r="K799" s="4" t="s">
        <v>3599</v>
      </c>
      <c r="L799" s="73"/>
      <c r="M799" s="73"/>
      <c r="N799" s="73"/>
      <c r="O799" s="73"/>
      <c r="P799" s="73">
        <v>10605000</v>
      </c>
      <c r="Q799" s="73"/>
      <c r="R799" s="73"/>
      <c r="S799" s="73"/>
      <c r="T799" s="73"/>
      <c r="U799" s="73"/>
      <c r="V799" s="73"/>
      <c r="W799" s="73"/>
      <c r="X799" s="1864">
        <f t="shared" si="26"/>
        <v>10605000</v>
      </c>
      <c r="Y799" s="23">
        <f t="shared" si="25"/>
        <v>0</v>
      </c>
    </row>
    <row r="800" spans="1:25" x14ac:dyDescent="0.25">
      <c r="A800" s="1"/>
      <c r="B800" s="1"/>
      <c r="C800" s="1"/>
      <c r="D800" s="1">
        <v>5</v>
      </c>
      <c r="E800" s="1">
        <v>2</v>
      </c>
      <c r="F800" s="1">
        <v>1</v>
      </c>
      <c r="G800" s="1"/>
      <c r="H800" s="4" t="str">
        <f>'Bid 3b'!B760</f>
        <v>Belanja Jasa Sewa</v>
      </c>
      <c r="I800" s="73"/>
      <c r="J800" s="4"/>
      <c r="K800" s="4" t="s">
        <v>3599</v>
      </c>
      <c r="L800" s="73"/>
      <c r="M800" s="73"/>
      <c r="N800" s="73"/>
      <c r="O800" s="73"/>
      <c r="P800" s="73"/>
      <c r="Q800" s="73"/>
      <c r="R800" s="73"/>
      <c r="S800" s="73"/>
      <c r="T800" s="73"/>
      <c r="U800" s="73"/>
      <c r="V800" s="73"/>
      <c r="W800" s="73"/>
      <c r="X800" s="1864">
        <f t="shared" si="26"/>
        <v>0</v>
      </c>
      <c r="Y800" s="23">
        <f t="shared" si="25"/>
        <v>0</v>
      </c>
    </row>
    <row r="801" spans="1:25" ht="30" x14ac:dyDescent="0.25">
      <c r="A801" s="1"/>
      <c r="B801" s="1"/>
      <c r="C801" s="1"/>
      <c r="D801" s="1"/>
      <c r="E801" s="1"/>
      <c r="F801" s="1"/>
      <c r="G801" s="1489" t="s">
        <v>3391</v>
      </c>
      <c r="H801" s="4" t="str">
        <f>'Bid 3b'!B761</f>
        <v>Belanja Jasa Sewa Peralatan perlengkapan</v>
      </c>
      <c r="I801" s="73">
        <f>'Bid 3b'!F762</f>
        <v>1000000</v>
      </c>
      <c r="J801" s="4" t="s">
        <v>1775</v>
      </c>
      <c r="K801" s="4" t="s">
        <v>3599</v>
      </c>
      <c r="L801" s="73"/>
      <c r="M801" s="73"/>
      <c r="N801" s="73"/>
      <c r="O801" s="73"/>
      <c r="P801" s="73">
        <v>1000000</v>
      </c>
      <c r="Q801" s="73"/>
      <c r="R801" s="73"/>
      <c r="S801" s="73"/>
      <c r="T801" s="73"/>
      <c r="U801" s="73"/>
      <c r="V801" s="73"/>
      <c r="W801" s="73"/>
      <c r="X801" s="1864">
        <f t="shared" si="26"/>
        <v>1000000</v>
      </c>
      <c r="Y801" s="23">
        <f t="shared" si="25"/>
        <v>0</v>
      </c>
    </row>
    <row r="802" spans="1:25" ht="120" x14ac:dyDescent="0.25">
      <c r="A802" s="1"/>
      <c r="B802" s="1"/>
      <c r="C802" s="1"/>
      <c r="D802" s="1"/>
      <c r="E802" s="1"/>
      <c r="F802" s="1"/>
      <c r="G802" s="1"/>
      <c r="H802" s="4" t="str">
        <f>'Bid 3b'!B763</f>
        <v xml:space="preserve">Pengiriman lomba Pidato Bungkarno Tingkat Sekaa Truna 1 orang, Membaca Puisi Karya Bungkarno Tingkat SMP 1 Orang, Menyanyi Lagu Kebangsaan Tingkat SD 1 Orang Ke Tingkat Kecamatan </v>
      </c>
      <c r="I802" s="73"/>
      <c r="J802" s="4"/>
      <c r="K802" s="4" t="s">
        <v>3599</v>
      </c>
      <c r="L802" s="73"/>
      <c r="M802" s="73"/>
      <c r="N802" s="73"/>
      <c r="O802" s="73"/>
      <c r="P802" s="73"/>
      <c r="Q802" s="73"/>
      <c r="R802" s="73"/>
      <c r="S802" s="73"/>
      <c r="T802" s="73"/>
      <c r="U802" s="73"/>
      <c r="V802" s="73"/>
      <c r="W802" s="73"/>
      <c r="X802" s="1864">
        <f t="shared" si="26"/>
        <v>0</v>
      </c>
      <c r="Y802" s="23">
        <f t="shared" si="25"/>
        <v>0</v>
      </c>
    </row>
    <row r="803" spans="1:25" x14ac:dyDescent="0.25">
      <c r="A803" s="1"/>
      <c r="B803" s="1"/>
      <c r="C803" s="1"/>
      <c r="D803" s="1">
        <v>5</v>
      </c>
      <c r="E803" s="1">
        <v>2</v>
      </c>
      <c r="F803" s="1"/>
      <c r="G803" s="1"/>
      <c r="H803" s="4" t="str">
        <f>'Bid 3b'!B764</f>
        <v>Belanja Barang Jasa</v>
      </c>
      <c r="I803" s="73"/>
      <c r="J803" s="4"/>
      <c r="K803" s="4" t="s">
        <v>3599</v>
      </c>
      <c r="L803" s="73"/>
      <c r="M803" s="73"/>
      <c r="N803" s="73"/>
      <c r="O803" s="73"/>
      <c r="P803" s="73"/>
      <c r="Q803" s="73"/>
      <c r="R803" s="73"/>
      <c r="S803" s="73"/>
      <c r="T803" s="73"/>
      <c r="U803" s="73"/>
      <c r="V803" s="73"/>
      <c r="W803" s="73"/>
      <c r="X803" s="1864">
        <f t="shared" si="26"/>
        <v>0</v>
      </c>
      <c r="Y803" s="23">
        <f t="shared" si="25"/>
        <v>0</v>
      </c>
    </row>
    <row r="804" spans="1:25" ht="30" x14ac:dyDescent="0.25">
      <c r="A804" s="1"/>
      <c r="B804" s="1"/>
      <c r="C804" s="1"/>
      <c r="D804" s="1"/>
      <c r="E804" s="1"/>
      <c r="F804" s="1">
        <v>1</v>
      </c>
      <c r="G804" s="1"/>
      <c r="H804" s="4" t="str">
        <f>'Bid 3b'!B765</f>
        <v>Belanja Barang Perlengkapan</v>
      </c>
      <c r="I804" s="73"/>
      <c r="J804" s="4"/>
      <c r="K804" s="4" t="s">
        <v>3599</v>
      </c>
      <c r="L804" s="73"/>
      <c r="M804" s="73"/>
      <c r="N804" s="73"/>
      <c r="O804" s="73"/>
      <c r="P804" s="73"/>
      <c r="Q804" s="73"/>
      <c r="R804" s="73"/>
      <c r="S804" s="73"/>
      <c r="T804" s="73"/>
      <c r="U804" s="73"/>
      <c r="V804" s="73"/>
      <c r="W804" s="73"/>
      <c r="X804" s="1864">
        <f t="shared" si="26"/>
        <v>0</v>
      </c>
      <c r="Y804" s="23">
        <f t="shared" si="25"/>
        <v>0</v>
      </c>
    </row>
    <row r="805" spans="1:25" ht="45" x14ac:dyDescent="0.25">
      <c r="A805" s="1"/>
      <c r="B805" s="1"/>
      <c r="C805" s="1"/>
      <c r="D805" s="1"/>
      <c r="E805" s="1"/>
      <c r="F805" s="1"/>
      <c r="G805" s="1489" t="s">
        <v>3391</v>
      </c>
      <c r="H805" s="4" t="str">
        <f>'Bid 3b'!B766</f>
        <v>Belanja Barang Perlengkapan Barang Konsumsi</v>
      </c>
      <c r="I805" s="73">
        <f>'Bid 3b'!F767+'Bid 3b'!F768</f>
        <v>2300000</v>
      </c>
      <c r="J805" s="4" t="s">
        <v>1775</v>
      </c>
      <c r="K805" s="4" t="s">
        <v>3599</v>
      </c>
      <c r="L805" s="73"/>
      <c r="M805" s="73"/>
      <c r="N805" s="73"/>
      <c r="O805" s="73"/>
      <c r="P805" s="73">
        <v>2300000</v>
      </c>
      <c r="Q805" s="73"/>
      <c r="R805" s="73"/>
      <c r="S805" s="73"/>
      <c r="T805" s="73"/>
      <c r="U805" s="73"/>
      <c r="V805" s="73"/>
      <c r="W805" s="73"/>
      <c r="X805" s="1864">
        <f t="shared" si="26"/>
        <v>2300000</v>
      </c>
      <c r="Y805" s="23">
        <f t="shared" si="25"/>
        <v>0</v>
      </c>
    </row>
    <row r="806" spans="1:25" ht="30" x14ac:dyDescent="0.25">
      <c r="A806" s="1"/>
      <c r="B806" s="1"/>
      <c r="C806" s="1"/>
      <c r="D806" s="1"/>
      <c r="E806" s="1"/>
      <c r="F806" s="1"/>
      <c r="G806" s="1489" t="s">
        <v>3392</v>
      </c>
      <c r="H806" s="4" t="str">
        <f>'Bid 3b'!B769</f>
        <v>Belanja Bahan Material</v>
      </c>
      <c r="I806" s="73">
        <f>'Bid 3b'!F770+'Bid 3b'!F771</f>
        <v>2250000</v>
      </c>
      <c r="J806" s="4" t="s">
        <v>1775</v>
      </c>
      <c r="K806" s="4" t="s">
        <v>3599</v>
      </c>
      <c r="L806" s="73"/>
      <c r="M806" s="73"/>
      <c r="N806" s="73"/>
      <c r="O806" s="73"/>
      <c r="P806" s="73">
        <v>2250000</v>
      </c>
      <c r="Q806" s="73"/>
      <c r="R806" s="73"/>
      <c r="S806" s="73"/>
      <c r="T806" s="73"/>
      <c r="U806" s="73"/>
      <c r="V806" s="73"/>
      <c r="W806" s="73"/>
      <c r="X806" s="1864">
        <f t="shared" si="26"/>
        <v>2250000</v>
      </c>
      <c r="Y806" s="23">
        <f t="shared" si="25"/>
        <v>0</v>
      </c>
    </row>
    <row r="807" spans="1:25" x14ac:dyDescent="0.25">
      <c r="A807" s="1"/>
      <c r="B807" s="1"/>
      <c r="C807" s="1"/>
      <c r="D807" s="1">
        <v>5</v>
      </c>
      <c r="E807" s="1">
        <v>2</v>
      </c>
      <c r="F807" s="1">
        <v>2</v>
      </c>
      <c r="G807" s="1"/>
      <c r="H807" s="4" t="str">
        <f>'Bid 3b'!B772</f>
        <v>Belanja Honorarium</v>
      </c>
      <c r="I807" s="73"/>
      <c r="J807" s="4"/>
      <c r="K807" s="4" t="s">
        <v>3599</v>
      </c>
      <c r="L807" s="73"/>
      <c r="M807" s="73"/>
      <c r="N807" s="73"/>
      <c r="O807" s="73"/>
      <c r="P807" s="73"/>
      <c r="Q807" s="73"/>
      <c r="R807" s="73"/>
      <c r="S807" s="73"/>
      <c r="T807" s="73"/>
      <c r="U807" s="73"/>
      <c r="V807" s="73"/>
      <c r="W807" s="73"/>
      <c r="X807" s="1864">
        <f t="shared" si="26"/>
        <v>0</v>
      </c>
      <c r="Y807" s="23">
        <f t="shared" si="25"/>
        <v>0</v>
      </c>
    </row>
    <row r="808" spans="1:25" ht="30" x14ac:dyDescent="0.25">
      <c r="A808" s="1"/>
      <c r="B808" s="1"/>
      <c r="C808" s="1"/>
      <c r="D808" s="1"/>
      <c r="E808" s="1"/>
      <c r="F808" s="1"/>
      <c r="G808" s="1489" t="s">
        <v>3389</v>
      </c>
      <c r="H808" s="4" t="str">
        <f>'Bid 3b'!B773</f>
        <v>Belanja Honorarium Pelatih</v>
      </c>
      <c r="I808" s="73">
        <f>'Bid 3b'!F774</f>
        <v>4500000</v>
      </c>
      <c r="J808" s="4" t="s">
        <v>1775</v>
      </c>
      <c r="K808" s="4" t="s">
        <v>3599</v>
      </c>
      <c r="L808" s="73"/>
      <c r="M808" s="73"/>
      <c r="N808" s="73"/>
      <c r="O808" s="73"/>
      <c r="P808" s="73">
        <v>4500000</v>
      </c>
      <c r="Q808" s="73"/>
      <c r="R808" s="73"/>
      <c r="S808" s="73"/>
      <c r="T808" s="73"/>
      <c r="U808" s="73"/>
      <c r="V808" s="73"/>
      <c r="W808" s="73"/>
      <c r="X808" s="1864">
        <f t="shared" si="26"/>
        <v>4500000</v>
      </c>
      <c r="Y808" s="23">
        <f t="shared" si="25"/>
        <v>0</v>
      </c>
    </row>
    <row r="809" spans="1:25" ht="30" x14ac:dyDescent="0.25">
      <c r="A809" s="1"/>
      <c r="B809" s="1"/>
      <c r="C809" s="1"/>
      <c r="D809" s="1"/>
      <c r="E809" s="1"/>
      <c r="F809" s="1"/>
      <c r="G809" s="1489" t="s">
        <v>3366</v>
      </c>
      <c r="H809" s="4" t="str">
        <f>'Bid 3b'!B775</f>
        <v>Belanja Jasa Honor Tim yang Melaksanakan Kegiatan</v>
      </c>
      <c r="I809" s="73">
        <f>'Bid 3b'!F776+'Bid 3b'!F777+'Bid 3b'!F778</f>
        <v>1150000</v>
      </c>
      <c r="J809" s="4" t="s">
        <v>1775</v>
      </c>
      <c r="K809" s="4" t="s">
        <v>3599</v>
      </c>
      <c r="L809" s="73"/>
      <c r="M809" s="73"/>
      <c r="N809" s="73"/>
      <c r="O809" s="73"/>
      <c r="P809" s="73">
        <v>1150000</v>
      </c>
      <c r="Q809" s="73"/>
      <c r="R809" s="73"/>
      <c r="S809" s="73"/>
      <c r="T809" s="73"/>
      <c r="U809" s="73"/>
      <c r="V809" s="73"/>
      <c r="W809" s="73"/>
      <c r="X809" s="1864">
        <f t="shared" si="26"/>
        <v>1150000</v>
      </c>
      <c r="Y809" s="23">
        <f t="shared" si="25"/>
        <v>0</v>
      </c>
    </row>
    <row r="810" spans="1:25" ht="45" x14ac:dyDescent="0.25">
      <c r="A810" s="1"/>
      <c r="B810" s="1"/>
      <c r="C810" s="1"/>
      <c r="D810" s="1">
        <v>5</v>
      </c>
      <c r="E810" s="1">
        <v>2</v>
      </c>
      <c r="F810" s="1">
        <v>7</v>
      </c>
      <c r="G810" s="1"/>
      <c r="H810" s="4" t="str">
        <f>'Bid 3b'!B779</f>
        <v>Belanja Barang dan Jasa yang Diserahkan Kepada Masyarakat</v>
      </c>
      <c r="I810" s="73"/>
      <c r="J810" s="4"/>
      <c r="K810" s="4" t="s">
        <v>3599</v>
      </c>
      <c r="L810" s="73"/>
      <c r="M810" s="73"/>
      <c r="N810" s="73"/>
      <c r="O810" s="73"/>
      <c r="P810" s="73"/>
      <c r="Q810" s="73"/>
      <c r="R810" s="73"/>
      <c r="S810" s="73"/>
      <c r="T810" s="73"/>
      <c r="U810" s="73"/>
      <c r="V810" s="73"/>
      <c r="W810" s="73"/>
      <c r="X810" s="1864">
        <f t="shared" si="26"/>
        <v>0</v>
      </c>
      <c r="Y810" s="23">
        <f t="shared" si="25"/>
        <v>0</v>
      </c>
    </row>
    <row r="811" spans="1:25" ht="30" x14ac:dyDescent="0.25">
      <c r="A811" s="1"/>
      <c r="B811" s="1"/>
      <c r="C811" s="1"/>
      <c r="D811" s="1"/>
      <c r="E811" s="1"/>
      <c r="F811" s="1"/>
      <c r="G811" s="1">
        <v>91</v>
      </c>
      <c r="H811" s="4" t="str">
        <f>'Bid 3b'!B780</f>
        <v>Belanja Uang Saku</v>
      </c>
      <c r="I811" s="73">
        <f>'Bid 3b'!F781+'Bid 3b'!F782</f>
        <v>900000</v>
      </c>
      <c r="J811" s="4" t="s">
        <v>1775</v>
      </c>
      <c r="K811" s="4" t="s">
        <v>3599</v>
      </c>
      <c r="L811" s="73"/>
      <c r="M811" s="73"/>
      <c r="N811" s="73"/>
      <c r="O811" s="73"/>
      <c r="P811" s="73">
        <v>900000</v>
      </c>
      <c r="Q811" s="73"/>
      <c r="R811" s="73"/>
      <c r="S811" s="73"/>
      <c r="T811" s="73"/>
      <c r="U811" s="73"/>
      <c r="V811" s="73"/>
      <c r="W811" s="73"/>
      <c r="X811" s="1864">
        <f t="shared" si="26"/>
        <v>900000</v>
      </c>
      <c r="Y811" s="23">
        <f t="shared" si="25"/>
        <v>0</v>
      </c>
    </row>
    <row r="812" spans="1:25" ht="75" x14ac:dyDescent="0.25">
      <c r="A812" s="865">
        <v>3</v>
      </c>
      <c r="B812" s="865">
        <v>3</v>
      </c>
      <c r="C812" s="1490" t="s">
        <v>3386</v>
      </c>
      <c r="D812" s="865"/>
      <c r="E812" s="865"/>
      <c r="F812" s="865"/>
      <c r="G812" s="865"/>
      <c r="H812" s="1061" t="str">
        <f>'Bid 3b'!B796</f>
        <v>: Pengiriman Kontingen Group Kesenian &amp; Kebudayaan (Wakil Desa tkt. Kec/Kab/Kot) (Lomba Defile Budaya Kader PKK)</v>
      </c>
      <c r="I812" s="1063">
        <f>SUM(I813:I821)</f>
        <v>44630000</v>
      </c>
      <c r="J812" s="1061" t="s">
        <v>1775</v>
      </c>
      <c r="K812" s="1061" t="s">
        <v>3599</v>
      </c>
      <c r="L812" s="1063"/>
      <c r="M812" s="1063"/>
      <c r="N812" s="1063"/>
      <c r="O812" s="1063"/>
      <c r="P812" s="1063"/>
      <c r="Q812" s="1063"/>
      <c r="R812" s="1063"/>
      <c r="S812" s="1063"/>
      <c r="T812" s="1063"/>
      <c r="U812" s="1063"/>
      <c r="V812" s="1063"/>
      <c r="W812" s="1063"/>
      <c r="X812" s="1866">
        <f t="shared" si="26"/>
        <v>0</v>
      </c>
      <c r="Y812" s="23">
        <f t="shared" si="25"/>
        <v>-44630000</v>
      </c>
    </row>
    <row r="813" spans="1:25" x14ac:dyDescent="0.25">
      <c r="A813" s="1"/>
      <c r="B813" s="1"/>
      <c r="C813" s="1"/>
      <c r="D813" s="1">
        <v>5</v>
      </c>
      <c r="E813" s="1">
        <v>2</v>
      </c>
      <c r="F813" s="1"/>
      <c r="G813" s="1"/>
      <c r="H813" s="4" t="str">
        <f>'Bid 3b'!B802</f>
        <v>Belanja Barang Jasa</v>
      </c>
      <c r="I813" s="73"/>
      <c r="J813" s="1"/>
      <c r="K813" s="4" t="s">
        <v>3599</v>
      </c>
      <c r="L813" s="73"/>
      <c r="M813" s="73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1864">
        <f t="shared" si="26"/>
        <v>0</v>
      </c>
      <c r="Y813" s="23">
        <f t="shared" ref="Y813:Y876" si="27">X813-I813</f>
        <v>0</v>
      </c>
    </row>
    <row r="814" spans="1:25" ht="30" x14ac:dyDescent="0.25">
      <c r="A814" s="1"/>
      <c r="B814" s="1"/>
      <c r="C814" s="1"/>
      <c r="D814" s="1"/>
      <c r="E814" s="1"/>
      <c r="F814" s="1">
        <v>1</v>
      </c>
      <c r="G814" s="1"/>
      <c r="H814" s="4" t="str">
        <f>'Bid 3b'!B803</f>
        <v>Belanja Barang Perlengkapan</v>
      </c>
      <c r="I814" s="73"/>
      <c r="J814" s="1"/>
      <c r="K814" s="4" t="s">
        <v>3599</v>
      </c>
      <c r="L814" s="73"/>
      <c r="M814" s="73"/>
      <c r="N814" s="73"/>
      <c r="O814" s="73"/>
      <c r="P814" s="73"/>
      <c r="Q814" s="73"/>
      <c r="R814" s="73"/>
      <c r="S814" s="73"/>
      <c r="T814" s="73"/>
      <c r="U814" s="73"/>
      <c r="V814" s="73"/>
      <c r="W814" s="73"/>
      <c r="X814" s="1864">
        <f t="shared" si="26"/>
        <v>0</v>
      </c>
      <c r="Y814" s="23">
        <f t="shared" si="27"/>
        <v>0</v>
      </c>
    </row>
    <row r="815" spans="1:25" ht="45" x14ac:dyDescent="0.25">
      <c r="A815" s="1"/>
      <c r="B815" s="1"/>
      <c r="C815" s="1"/>
      <c r="D815" s="1"/>
      <c r="E815" s="1"/>
      <c r="F815" s="1"/>
      <c r="G815" s="1489" t="s">
        <v>3391</v>
      </c>
      <c r="H815" s="4" t="str">
        <f>'Bid 3b'!B804</f>
        <v>Belanja Barang Perlengkapan Barang Konsumsi</v>
      </c>
      <c r="I815" s="73">
        <f>SUM('Bid 3b'!F805:F806)</f>
        <v>10280000</v>
      </c>
      <c r="J815" s="4" t="s">
        <v>1775</v>
      </c>
      <c r="K815" s="4" t="s">
        <v>3599</v>
      </c>
      <c r="L815" s="73"/>
      <c r="M815" s="73"/>
      <c r="N815" s="73"/>
      <c r="O815" s="73"/>
      <c r="P815" s="73">
        <v>10280000</v>
      </c>
      <c r="Q815" s="73"/>
      <c r="R815" s="73"/>
      <c r="S815" s="73"/>
      <c r="T815" s="73"/>
      <c r="U815" s="73"/>
      <c r="V815" s="73"/>
      <c r="W815" s="73"/>
      <c r="X815" s="1864">
        <f t="shared" si="26"/>
        <v>10280000</v>
      </c>
      <c r="Y815" s="23">
        <f t="shared" si="27"/>
        <v>0</v>
      </c>
    </row>
    <row r="816" spans="1:25" ht="30" x14ac:dyDescent="0.25">
      <c r="A816" s="1"/>
      <c r="B816" s="1"/>
      <c r="C816" s="1"/>
      <c r="D816" s="1"/>
      <c r="E816" s="1"/>
      <c r="F816" s="1"/>
      <c r="G816" s="1489" t="s">
        <v>3392</v>
      </c>
      <c r="H816" s="1" t="str">
        <f>'Bid 3b'!B807</f>
        <v>Belanja Bahan Material</v>
      </c>
      <c r="I816" s="73">
        <f>SUM('Bid 3b'!F808:F809)</f>
        <v>8500000</v>
      </c>
      <c r="J816" s="4" t="s">
        <v>1775</v>
      </c>
      <c r="K816" s="4" t="s">
        <v>3599</v>
      </c>
      <c r="L816" s="73"/>
      <c r="M816" s="73"/>
      <c r="N816" s="73"/>
      <c r="O816" s="73"/>
      <c r="P816" s="73">
        <v>8500000</v>
      </c>
      <c r="Q816" s="73"/>
      <c r="R816" s="73"/>
      <c r="S816" s="73"/>
      <c r="T816" s="73"/>
      <c r="U816" s="73"/>
      <c r="V816" s="73"/>
      <c r="W816" s="73"/>
      <c r="X816" s="1864">
        <f t="shared" si="26"/>
        <v>8500000</v>
      </c>
      <c r="Y816" s="23">
        <f t="shared" si="27"/>
        <v>0</v>
      </c>
    </row>
    <row r="817" spans="1:25" x14ac:dyDescent="0.25">
      <c r="A817" s="1"/>
      <c r="B817" s="1"/>
      <c r="C817" s="1"/>
      <c r="D817" s="1">
        <v>5</v>
      </c>
      <c r="E817" s="1">
        <v>2</v>
      </c>
      <c r="F817" s="1">
        <v>2</v>
      </c>
      <c r="G817" s="1"/>
      <c r="H817" s="4" t="str">
        <f>'Bid 3b'!B810</f>
        <v>Belanja Honorarium</v>
      </c>
      <c r="I817" s="73"/>
      <c r="J817" s="1"/>
      <c r="K817" s="4" t="s">
        <v>3599</v>
      </c>
      <c r="L817" s="73"/>
      <c r="M817" s="73"/>
      <c r="N817" s="73"/>
      <c r="O817" s="73"/>
      <c r="P817" s="73"/>
      <c r="Q817" s="73"/>
      <c r="R817" s="73"/>
      <c r="S817" s="73"/>
      <c r="T817" s="73"/>
      <c r="U817" s="73"/>
      <c r="V817" s="73"/>
      <c r="W817" s="73"/>
      <c r="X817" s="1864">
        <f t="shared" si="26"/>
        <v>0</v>
      </c>
      <c r="Y817" s="23">
        <f t="shared" si="27"/>
        <v>0</v>
      </c>
    </row>
    <row r="818" spans="1:25" ht="60" x14ac:dyDescent="0.25">
      <c r="A818" s="1"/>
      <c r="B818" s="1"/>
      <c r="C818" s="1"/>
      <c r="D818" s="1"/>
      <c r="E818" s="1"/>
      <c r="F818" s="1"/>
      <c r="G818" s="1489" t="s">
        <v>3389</v>
      </c>
      <c r="H818" s="4" t="str">
        <f>'Bid 3b'!B811</f>
        <v>Belanja Jasa Honorarium Ahli Profesi/Konsultan/Narasumber</v>
      </c>
      <c r="I818" s="73">
        <f>SUM('Bid 3b'!F812:F813)</f>
        <v>23000000</v>
      </c>
      <c r="J818" s="4" t="s">
        <v>1775</v>
      </c>
      <c r="K818" s="4" t="s">
        <v>3599</v>
      </c>
      <c r="L818" s="73"/>
      <c r="M818" s="73"/>
      <c r="N818" s="73"/>
      <c r="O818" s="73"/>
      <c r="P818" s="73">
        <v>23000000</v>
      </c>
      <c r="Q818" s="73"/>
      <c r="R818" s="73"/>
      <c r="S818" s="73"/>
      <c r="T818" s="73"/>
      <c r="U818" s="73"/>
      <c r="V818" s="73"/>
      <c r="W818" s="73"/>
      <c r="X818" s="1864">
        <f t="shared" si="26"/>
        <v>23000000</v>
      </c>
      <c r="Y818" s="23">
        <f t="shared" si="27"/>
        <v>0</v>
      </c>
    </row>
    <row r="819" spans="1:25" ht="30" x14ac:dyDescent="0.25">
      <c r="A819" s="1"/>
      <c r="B819" s="1"/>
      <c r="C819" s="1"/>
      <c r="D819" s="1"/>
      <c r="E819" s="1"/>
      <c r="F819" s="1"/>
      <c r="G819" s="1489" t="s">
        <v>3366</v>
      </c>
      <c r="H819" s="4" t="str">
        <f>'Bid 3b'!B814</f>
        <v>Belanja Jasa Honor Tim yang Melaksanakan Kegiatan</v>
      </c>
      <c r="I819" s="73">
        <f>SUM('Bid 3b'!F815:F817)</f>
        <v>1150000</v>
      </c>
      <c r="J819" s="4" t="s">
        <v>1775</v>
      </c>
      <c r="K819" s="4" t="s">
        <v>3599</v>
      </c>
      <c r="L819" s="73"/>
      <c r="M819" s="73"/>
      <c r="N819" s="73"/>
      <c r="O819" s="73"/>
      <c r="P819" s="73">
        <v>1150000</v>
      </c>
      <c r="Q819" s="73"/>
      <c r="R819" s="73"/>
      <c r="S819" s="73"/>
      <c r="T819" s="73"/>
      <c r="U819" s="73"/>
      <c r="V819" s="73"/>
      <c r="W819" s="73"/>
      <c r="X819" s="1864">
        <f t="shared" si="26"/>
        <v>1150000</v>
      </c>
      <c r="Y819" s="23">
        <f t="shared" si="27"/>
        <v>0</v>
      </c>
    </row>
    <row r="820" spans="1:25" ht="45" x14ac:dyDescent="0.25">
      <c r="A820" s="1"/>
      <c r="B820" s="1"/>
      <c r="C820" s="1"/>
      <c r="D820" s="1">
        <v>5</v>
      </c>
      <c r="E820" s="1">
        <v>2</v>
      </c>
      <c r="F820" s="1">
        <v>7</v>
      </c>
      <c r="G820" s="1"/>
      <c r="H820" s="4" t="str">
        <f>'Bid 3b'!B818</f>
        <v>Belanja Barang dan Jasa yang Diserahkan Kepada Masyarakat</v>
      </c>
      <c r="I820" s="73"/>
      <c r="J820" s="1"/>
      <c r="K820" s="4" t="s">
        <v>3599</v>
      </c>
      <c r="L820" s="73"/>
      <c r="M820" s="73"/>
      <c r="N820" s="73"/>
      <c r="O820" s="73"/>
      <c r="P820" s="73"/>
      <c r="Q820" s="73"/>
      <c r="R820" s="73"/>
      <c r="S820" s="73"/>
      <c r="T820" s="73"/>
      <c r="U820" s="73"/>
      <c r="V820" s="73"/>
      <c r="W820" s="73"/>
      <c r="X820" s="1864">
        <f t="shared" si="26"/>
        <v>0</v>
      </c>
      <c r="Y820" s="23">
        <f t="shared" si="27"/>
        <v>0</v>
      </c>
    </row>
    <row r="821" spans="1:25" ht="45" x14ac:dyDescent="0.25">
      <c r="A821" s="1"/>
      <c r="B821" s="1"/>
      <c r="C821" s="1"/>
      <c r="D821" s="1"/>
      <c r="E821" s="1"/>
      <c r="F821" s="1"/>
      <c r="G821" s="1">
        <v>91</v>
      </c>
      <c r="H821" s="4" t="str">
        <f>'Bid 3b'!B819</f>
        <v>Uang Saku Peserta Lomba ( 15or peserta , 2or Cadangan  x 2 Kl )</v>
      </c>
      <c r="I821" s="73">
        <f>'Bid 3b'!F819</f>
        <v>1700000</v>
      </c>
      <c r="J821" s="4" t="s">
        <v>1775</v>
      </c>
      <c r="K821" s="4" t="s">
        <v>3599</v>
      </c>
      <c r="L821" s="73"/>
      <c r="M821" s="73"/>
      <c r="N821" s="73"/>
      <c r="O821" s="73"/>
      <c r="P821" s="73">
        <v>1700000</v>
      </c>
      <c r="Q821" s="73"/>
      <c r="R821" s="73"/>
      <c r="S821" s="73"/>
      <c r="T821" s="73"/>
      <c r="U821" s="73"/>
      <c r="V821" s="73"/>
      <c r="W821" s="73"/>
      <c r="X821" s="1864">
        <f t="shared" ref="X821:X884" si="28">SUM(L821:W821)</f>
        <v>1700000</v>
      </c>
      <c r="Y821" s="23">
        <f t="shared" si="27"/>
        <v>0</v>
      </c>
    </row>
    <row r="822" spans="1:25" x14ac:dyDescent="0.25">
      <c r="A822" s="865">
        <v>3</v>
      </c>
      <c r="B822" s="865">
        <v>3</v>
      </c>
      <c r="C822" s="1490" t="s">
        <v>3391</v>
      </c>
      <c r="D822" s="865"/>
      <c r="E822" s="865"/>
      <c r="F822" s="865"/>
      <c r="G822" s="865"/>
      <c r="H822" s="1061" t="str">
        <f>'Bid 3b'!B836</f>
        <v>: Pembinaan Karang Taruna</v>
      </c>
      <c r="I822" s="1063">
        <f>SUM(I823:I829)</f>
        <v>20600000</v>
      </c>
      <c r="J822" s="865" t="s">
        <v>1220</v>
      </c>
      <c r="K822" s="1061" t="s">
        <v>3599</v>
      </c>
      <c r="L822" s="1063"/>
      <c r="M822" s="1063"/>
      <c r="N822" s="1063"/>
      <c r="O822" s="1063"/>
      <c r="P822" s="1063"/>
      <c r="Q822" s="1063"/>
      <c r="R822" s="1063"/>
      <c r="S822" s="1063"/>
      <c r="T822" s="1063"/>
      <c r="U822" s="1063"/>
      <c r="V822" s="1063"/>
      <c r="W822" s="1063"/>
      <c r="X822" s="1866">
        <f t="shared" si="28"/>
        <v>0</v>
      </c>
      <c r="Y822" s="23">
        <f t="shared" si="27"/>
        <v>-20600000</v>
      </c>
    </row>
    <row r="823" spans="1:25" x14ac:dyDescent="0.25">
      <c r="A823" s="1"/>
      <c r="B823" s="1"/>
      <c r="C823" s="1"/>
      <c r="D823" s="1">
        <v>5</v>
      </c>
      <c r="E823" s="1">
        <v>2</v>
      </c>
      <c r="F823" s="1"/>
      <c r="G823" s="1"/>
      <c r="H823" s="4" t="str">
        <f>'Bid 3b'!B842</f>
        <v>Belanja Barang Jasa</v>
      </c>
      <c r="I823" s="73"/>
      <c r="J823" s="1"/>
      <c r="K823" s="4" t="s">
        <v>3599</v>
      </c>
      <c r="L823" s="73"/>
      <c r="M823" s="73"/>
      <c r="N823" s="73"/>
      <c r="O823" s="73"/>
      <c r="P823" s="73"/>
      <c r="Q823" s="73"/>
      <c r="R823" s="73"/>
      <c r="S823" s="73"/>
      <c r="T823" s="73"/>
      <c r="U823" s="73"/>
      <c r="V823" s="73"/>
      <c r="W823" s="73"/>
      <c r="X823" s="1864">
        <f t="shared" si="28"/>
        <v>0</v>
      </c>
      <c r="Y823" s="23">
        <f t="shared" si="27"/>
        <v>0</v>
      </c>
    </row>
    <row r="824" spans="1:25" ht="30" x14ac:dyDescent="0.25">
      <c r="A824" s="1"/>
      <c r="B824" s="1"/>
      <c r="C824" s="1"/>
      <c r="D824" s="1"/>
      <c r="E824" s="1"/>
      <c r="F824" s="1">
        <v>1</v>
      </c>
      <c r="G824" s="1"/>
      <c r="H824" s="4" t="str">
        <f>'Bid 3b'!B843</f>
        <v>Belanja Barang Perlengkapan</v>
      </c>
      <c r="I824" s="73"/>
      <c r="J824" s="1"/>
      <c r="K824" s="4" t="s">
        <v>3599</v>
      </c>
      <c r="L824" s="73"/>
      <c r="M824" s="73"/>
      <c r="N824" s="73"/>
      <c r="O824" s="73"/>
      <c r="P824" s="73"/>
      <c r="Q824" s="73"/>
      <c r="R824" s="73"/>
      <c r="S824" s="73"/>
      <c r="T824" s="73"/>
      <c r="U824" s="73"/>
      <c r="V824" s="73"/>
      <c r="W824" s="73"/>
      <c r="X824" s="1864">
        <f t="shared" si="28"/>
        <v>0</v>
      </c>
      <c r="Y824" s="23">
        <f t="shared" si="27"/>
        <v>0</v>
      </c>
    </row>
    <row r="825" spans="1:25" ht="30" x14ac:dyDescent="0.25">
      <c r="A825" s="1"/>
      <c r="B825" s="1"/>
      <c r="C825" s="1"/>
      <c r="D825" s="1"/>
      <c r="E825" s="1"/>
      <c r="F825" s="1"/>
      <c r="G825" s="1489" t="s">
        <v>3391</v>
      </c>
      <c r="H825" s="4" t="str">
        <f>'Bid 3b'!B844</f>
        <v>Belanja Perlengkapan Barang Konsumsi</v>
      </c>
      <c r="I825" s="73">
        <f>'Bid 3b'!F845+'Bid 3b'!F846</f>
        <v>11700000</v>
      </c>
      <c r="J825" s="1" t="s">
        <v>1220</v>
      </c>
      <c r="K825" s="4" t="s">
        <v>3599</v>
      </c>
      <c r="L825" s="73"/>
      <c r="M825" s="73"/>
      <c r="N825" s="73"/>
      <c r="O825" s="73"/>
      <c r="P825" s="73"/>
      <c r="Q825" s="73"/>
      <c r="R825" s="73">
        <v>11700000</v>
      </c>
      <c r="S825" s="73"/>
      <c r="T825" s="73"/>
      <c r="U825" s="73"/>
      <c r="V825" s="73"/>
      <c r="W825" s="73"/>
      <c r="X825" s="1864">
        <f t="shared" si="28"/>
        <v>11700000</v>
      </c>
      <c r="Y825" s="23">
        <f t="shared" si="27"/>
        <v>0</v>
      </c>
    </row>
    <row r="826" spans="1:25" ht="30" x14ac:dyDescent="0.25">
      <c r="A826" s="1"/>
      <c r="B826" s="1"/>
      <c r="C826" s="1"/>
      <c r="D826" s="1"/>
      <c r="E826" s="1"/>
      <c r="F826" s="1"/>
      <c r="G826" s="1489" t="s">
        <v>3393</v>
      </c>
      <c r="H826" s="4" t="str">
        <f>'Bid 3b'!B847</f>
        <v>Belanja Bendera/ Umbul-umbul/ Spanduk</v>
      </c>
      <c r="I826" s="73">
        <f>'Bid 3b'!F848</f>
        <v>200000</v>
      </c>
      <c r="J826" s="1" t="s">
        <v>1220</v>
      </c>
      <c r="K826" s="4" t="s">
        <v>3599</v>
      </c>
      <c r="L826" s="73"/>
      <c r="M826" s="73"/>
      <c r="N826" s="73"/>
      <c r="O826" s="73"/>
      <c r="P826" s="73"/>
      <c r="Q826" s="73"/>
      <c r="R826" s="73">
        <v>200000</v>
      </c>
      <c r="S826" s="73"/>
      <c r="T826" s="73"/>
      <c r="U826" s="73"/>
      <c r="V826" s="73"/>
      <c r="W826" s="73"/>
      <c r="X826" s="1864">
        <f t="shared" si="28"/>
        <v>200000</v>
      </c>
      <c r="Y826" s="23">
        <f t="shared" si="27"/>
        <v>0</v>
      </c>
    </row>
    <row r="827" spans="1:25" x14ac:dyDescent="0.25">
      <c r="A827" s="1"/>
      <c r="B827" s="1"/>
      <c r="C827" s="1"/>
      <c r="D827" s="1"/>
      <c r="E827" s="1"/>
      <c r="F827" s="1"/>
      <c r="G827" s="1489" t="s">
        <v>3394</v>
      </c>
      <c r="H827" s="1" t="str">
        <f>'Bid 3b'!B849</f>
        <v>Belanja Seragam</v>
      </c>
      <c r="I827" s="73">
        <f>'Bid 3b'!F850</f>
        <v>8400000</v>
      </c>
      <c r="J827" s="1" t="s">
        <v>1220</v>
      </c>
      <c r="K827" s="4" t="s">
        <v>3599</v>
      </c>
      <c r="L827" s="73"/>
      <c r="M827" s="73"/>
      <c r="N827" s="73"/>
      <c r="O827" s="73"/>
      <c r="P827" s="73"/>
      <c r="Q827" s="73"/>
      <c r="R827" s="73">
        <v>8400000</v>
      </c>
      <c r="S827" s="73"/>
      <c r="T827" s="73"/>
      <c r="U827" s="73"/>
      <c r="V827" s="73"/>
      <c r="W827" s="73"/>
      <c r="X827" s="1864">
        <f t="shared" si="28"/>
        <v>8400000</v>
      </c>
      <c r="Y827" s="23">
        <f t="shared" si="27"/>
        <v>0</v>
      </c>
    </row>
    <row r="828" spans="1:25" x14ac:dyDescent="0.25">
      <c r="A828" s="1"/>
      <c r="B828" s="1"/>
      <c r="C828" s="1"/>
      <c r="D828" s="1">
        <v>5</v>
      </c>
      <c r="E828" s="1">
        <v>2</v>
      </c>
      <c r="F828" s="1">
        <v>2</v>
      </c>
      <c r="G828" s="1"/>
      <c r="H828" s="4" t="str">
        <f>'Bid 3b'!B851</f>
        <v>Belanja  Jasa Honorarium</v>
      </c>
      <c r="I828" s="73"/>
      <c r="J828" s="1"/>
      <c r="K828" s="4" t="s">
        <v>3599</v>
      </c>
      <c r="L828" s="73"/>
      <c r="M828" s="73"/>
      <c r="N828" s="73"/>
      <c r="O828" s="73"/>
      <c r="P828" s="73"/>
      <c r="Q828" s="73"/>
      <c r="R828" s="73"/>
      <c r="S828" s="73"/>
      <c r="T828" s="73"/>
      <c r="U828" s="73"/>
      <c r="V828" s="73"/>
      <c r="W828" s="73"/>
      <c r="X828" s="1864">
        <f t="shared" si="28"/>
        <v>0</v>
      </c>
      <c r="Y828" s="23">
        <f t="shared" si="27"/>
        <v>0</v>
      </c>
    </row>
    <row r="829" spans="1:25" ht="30" x14ac:dyDescent="0.25">
      <c r="A829" s="1"/>
      <c r="B829" s="1"/>
      <c r="C829" s="1"/>
      <c r="D829" s="1"/>
      <c r="E829" s="1"/>
      <c r="F829" s="1"/>
      <c r="G829" s="1489" t="s">
        <v>3389</v>
      </c>
      <c r="H829" s="4" t="str">
        <f>'Bid 3b'!B852</f>
        <v>Belanja Jasa Honorarium Ahli/Profesi/Narasumber</v>
      </c>
      <c r="I829" s="73">
        <f>SUM('Bid 3b'!F853)</f>
        <v>300000</v>
      </c>
      <c r="J829" s="1" t="s">
        <v>1220</v>
      </c>
      <c r="K829" s="4" t="s">
        <v>3599</v>
      </c>
      <c r="L829" s="73"/>
      <c r="M829" s="73"/>
      <c r="N829" s="73"/>
      <c r="O829" s="73"/>
      <c r="P829" s="73"/>
      <c r="Q829" s="73"/>
      <c r="R829" s="73">
        <v>300000</v>
      </c>
      <c r="S829" s="73"/>
      <c r="T829" s="73"/>
      <c r="U829" s="73"/>
      <c r="V829" s="73"/>
      <c r="W829" s="73"/>
      <c r="X829" s="1864">
        <f t="shared" si="28"/>
        <v>300000</v>
      </c>
      <c r="Y829" s="23">
        <f t="shared" si="27"/>
        <v>0</v>
      </c>
    </row>
    <row r="830" spans="1:25" ht="45" x14ac:dyDescent="0.25">
      <c r="A830" s="865">
        <v>3</v>
      </c>
      <c r="B830" s="865">
        <v>3</v>
      </c>
      <c r="C830" s="1490" t="s">
        <v>3391</v>
      </c>
      <c r="D830" s="865"/>
      <c r="E830" s="865"/>
      <c r="F830" s="865"/>
      <c r="G830" s="865"/>
      <c r="H830" s="1061" t="str">
        <f>'Bid 3b'!B868</f>
        <v>: Pembinaan Karang Taruna (Sosialisasi Pemuda Pelopor Desa)</v>
      </c>
      <c r="I830" s="1063">
        <f>SUM(I831:I837)</f>
        <v>9840000</v>
      </c>
      <c r="J830" s="865" t="s">
        <v>1220</v>
      </c>
      <c r="K830" s="1061" t="s">
        <v>3599</v>
      </c>
      <c r="L830" s="1063"/>
      <c r="M830" s="1063"/>
      <c r="N830" s="1063"/>
      <c r="O830" s="1063"/>
      <c r="P830" s="1063"/>
      <c r="Q830" s="1063"/>
      <c r="R830" s="1063"/>
      <c r="S830" s="1063"/>
      <c r="T830" s="1063"/>
      <c r="U830" s="1063"/>
      <c r="V830" s="1063"/>
      <c r="W830" s="1063"/>
      <c r="X830" s="1866">
        <f t="shared" si="28"/>
        <v>0</v>
      </c>
      <c r="Y830" s="23">
        <f t="shared" si="27"/>
        <v>-9840000</v>
      </c>
    </row>
    <row r="831" spans="1:25" x14ac:dyDescent="0.25">
      <c r="A831" s="1"/>
      <c r="B831" s="1"/>
      <c r="C831" s="1"/>
      <c r="D831" s="1">
        <v>5</v>
      </c>
      <c r="E831" s="1">
        <v>2</v>
      </c>
      <c r="F831" s="1"/>
      <c r="G831" s="1"/>
      <c r="H831" s="4" t="str">
        <f>'Bid 3b'!B874</f>
        <v>Belanja Barang Jasa</v>
      </c>
      <c r="I831" s="73"/>
      <c r="J831" s="1"/>
      <c r="K831" s="4" t="s">
        <v>3599</v>
      </c>
      <c r="L831" s="73"/>
      <c r="M831" s="73"/>
      <c r="N831" s="73"/>
      <c r="O831" s="73"/>
      <c r="P831" s="73"/>
      <c r="Q831" s="73"/>
      <c r="R831" s="73"/>
      <c r="S831" s="73"/>
      <c r="T831" s="73"/>
      <c r="U831" s="73"/>
      <c r="V831" s="73"/>
      <c r="W831" s="73"/>
      <c r="X831" s="1864">
        <f t="shared" si="28"/>
        <v>0</v>
      </c>
      <c r="Y831" s="23">
        <f t="shared" si="27"/>
        <v>0</v>
      </c>
    </row>
    <row r="832" spans="1:25" ht="30" x14ac:dyDescent="0.25">
      <c r="A832" s="1"/>
      <c r="B832" s="1"/>
      <c r="C832" s="1"/>
      <c r="D832" s="1"/>
      <c r="E832" s="1"/>
      <c r="F832" s="1">
        <v>1</v>
      </c>
      <c r="G832" s="1"/>
      <c r="H832" s="4" t="str">
        <f>'Bid 3b'!B875</f>
        <v>Belanja Barang Perlengkapan</v>
      </c>
      <c r="I832" s="73"/>
      <c r="J832" s="1"/>
      <c r="K832" s="4" t="s">
        <v>3599</v>
      </c>
      <c r="L832" s="73"/>
      <c r="M832" s="73"/>
      <c r="N832" s="73"/>
      <c r="O832" s="73"/>
      <c r="P832" s="73"/>
      <c r="Q832" s="73"/>
      <c r="R832" s="73"/>
      <c r="S832" s="73"/>
      <c r="T832" s="73"/>
      <c r="U832" s="73"/>
      <c r="V832" s="73"/>
      <c r="W832" s="73"/>
      <c r="X832" s="1864">
        <f t="shared" si="28"/>
        <v>0</v>
      </c>
      <c r="Y832" s="23">
        <f t="shared" si="27"/>
        <v>0</v>
      </c>
    </row>
    <row r="833" spans="1:25" ht="30" x14ac:dyDescent="0.25">
      <c r="A833" s="1"/>
      <c r="B833" s="1"/>
      <c r="C833" s="1"/>
      <c r="D833" s="1"/>
      <c r="E833" s="1"/>
      <c r="F833" s="1"/>
      <c r="G833" s="1489" t="s">
        <v>3391</v>
      </c>
      <c r="H833" s="4" t="str">
        <f>'Bid 3b'!B876</f>
        <v>Belanja Perlengkapan Barang Konsumsi</v>
      </c>
      <c r="I833" s="73">
        <f>'Bid 3b'!F877</f>
        <v>940000</v>
      </c>
      <c r="J833" s="1" t="s">
        <v>1220</v>
      </c>
      <c r="K833" s="4" t="s">
        <v>3599</v>
      </c>
      <c r="L833" s="73"/>
      <c r="M833" s="73"/>
      <c r="N833" s="73"/>
      <c r="O833" s="73"/>
      <c r="P833" s="73"/>
      <c r="Q833" s="73">
        <v>940000</v>
      </c>
      <c r="R833" s="73"/>
      <c r="S833" s="73"/>
      <c r="T833" s="73"/>
      <c r="U833" s="73"/>
      <c r="V833" s="73"/>
      <c r="W833" s="73"/>
      <c r="X833" s="1864">
        <f t="shared" si="28"/>
        <v>940000</v>
      </c>
      <c r="Y833" s="23">
        <f t="shared" si="27"/>
        <v>0</v>
      </c>
    </row>
    <row r="834" spans="1:25" ht="30" x14ac:dyDescent="0.25">
      <c r="A834" s="1"/>
      <c r="B834" s="1"/>
      <c r="C834" s="1"/>
      <c r="D834" s="1"/>
      <c r="E834" s="1"/>
      <c r="F834" s="1"/>
      <c r="G834" s="1489" t="s">
        <v>3393</v>
      </c>
      <c r="H834" s="4" t="str">
        <f>'Bid 3b'!B878</f>
        <v>Belanja Bendera/ Umbul-umbul/ Spanduk</v>
      </c>
      <c r="I834" s="73">
        <f>'Bid 3b'!F879</f>
        <v>200000</v>
      </c>
      <c r="J834" s="1" t="s">
        <v>1220</v>
      </c>
      <c r="K834" s="4" t="s">
        <v>3599</v>
      </c>
      <c r="L834" s="73"/>
      <c r="M834" s="73"/>
      <c r="N834" s="73"/>
      <c r="O834" s="73"/>
      <c r="P834" s="73"/>
      <c r="Q834" s="73">
        <v>200000</v>
      </c>
      <c r="R834" s="73"/>
      <c r="S834" s="73"/>
      <c r="T834" s="73"/>
      <c r="U834" s="73"/>
      <c r="V834" s="73"/>
      <c r="W834" s="73"/>
      <c r="X834" s="1864">
        <f t="shared" si="28"/>
        <v>200000</v>
      </c>
      <c r="Y834" s="23">
        <f t="shared" si="27"/>
        <v>0</v>
      </c>
    </row>
    <row r="835" spans="1:25" x14ac:dyDescent="0.25">
      <c r="A835" s="1"/>
      <c r="B835" s="1"/>
      <c r="C835" s="1"/>
      <c r="D835" s="1"/>
      <c r="E835" s="1"/>
      <c r="F835" s="1"/>
      <c r="G835" s="1489" t="s">
        <v>3394</v>
      </c>
      <c r="H835" s="1" t="str">
        <f>'Bid 3b'!B880</f>
        <v>Belanja Seragam</v>
      </c>
      <c r="I835" s="73">
        <f>'Bid 3b'!F881</f>
        <v>8400000</v>
      </c>
      <c r="J835" s="1" t="s">
        <v>1220</v>
      </c>
      <c r="K835" s="4" t="s">
        <v>3599</v>
      </c>
      <c r="L835" s="73"/>
      <c r="M835" s="73"/>
      <c r="N835" s="73"/>
      <c r="O835" s="73"/>
      <c r="P835" s="73"/>
      <c r="Q835" s="73">
        <v>8400000</v>
      </c>
      <c r="R835" s="73"/>
      <c r="S835" s="73"/>
      <c r="T835" s="73"/>
      <c r="U835" s="73"/>
      <c r="V835" s="73"/>
      <c r="W835" s="73"/>
      <c r="X835" s="1864">
        <f t="shared" si="28"/>
        <v>8400000</v>
      </c>
      <c r="Y835" s="23">
        <f t="shared" si="27"/>
        <v>0</v>
      </c>
    </row>
    <row r="836" spans="1:25" x14ac:dyDescent="0.25">
      <c r="A836" s="1"/>
      <c r="B836" s="1"/>
      <c r="C836" s="1"/>
      <c r="D836" s="1">
        <v>5</v>
      </c>
      <c r="E836" s="1">
        <v>2</v>
      </c>
      <c r="F836" s="1">
        <v>2</v>
      </c>
      <c r="G836" s="1"/>
      <c r="H836" s="4" t="str">
        <f>'Bid 3b'!B882</f>
        <v>Belanja  Jasa Honorarium</v>
      </c>
      <c r="I836" s="73"/>
      <c r="J836" s="1"/>
      <c r="K836" s="4" t="s">
        <v>3599</v>
      </c>
      <c r="L836" s="73"/>
      <c r="M836" s="73"/>
      <c r="N836" s="73"/>
      <c r="O836" s="73"/>
      <c r="P836" s="73"/>
      <c r="Q836" s="73"/>
      <c r="R836" s="73"/>
      <c r="S836" s="73"/>
      <c r="T836" s="73"/>
      <c r="U836" s="73"/>
      <c r="V836" s="73"/>
      <c r="W836" s="73"/>
      <c r="X836" s="1864">
        <f t="shared" si="28"/>
        <v>0</v>
      </c>
      <c r="Y836" s="23">
        <f t="shared" si="27"/>
        <v>0</v>
      </c>
    </row>
    <row r="837" spans="1:25" ht="30" x14ac:dyDescent="0.25">
      <c r="A837" s="1"/>
      <c r="B837" s="1"/>
      <c r="C837" s="1"/>
      <c r="D837" s="1"/>
      <c r="E837" s="1"/>
      <c r="F837" s="1"/>
      <c r="G837" s="1489" t="s">
        <v>3389</v>
      </c>
      <c r="H837" s="4" t="str">
        <f>'Bid 3b'!B883</f>
        <v>Belanja Jasa Honorarium Ahli/Profesi/Narasumber</v>
      </c>
      <c r="I837" s="73">
        <f>SUM('Bid 3b'!F884)</f>
        <v>300000</v>
      </c>
      <c r="J837" s="1" t="s">
        <v>1220</v>
      </c>
      <c r="K837" s="4" t="s">
        <v>3599</v>
      </c>
      <c r="L837" s="73"/>
      <c r="M837" s="73"/>
      <c r="N837" s="73"/>
      <c r="O837" s="73"/>
      <c r="P837" s="73"/>
      <c r="Q837" s="73">
        <v>300000</v>
      </c>
      <c r="R837" s="73"/>
      <c r="S837" s="73"/>
      <c r="T837" s="73"/>
      <c r="U837" s="73"/>
      <c r="V837" s="73"/>
      <c r="W837" s="73"/>
      <c r="X837" s="1864">
        <f t="shared" si="28"/>
        <v>300000</v>
      </c>
      <c r="Y837" s="23">
        <f t="shared" si="27"/>
        <v>0</v>
      </c>
    </row>
    <row r="838" spans="1:25" ht="45" x14ac:dyDescent="0.25">
      <c r="A838" s="865">
        <v>3</v>
      </c>
      <c r="B838" s="865">
        <v>3</v>
      </c>
      <c r="C838" s="865">
        <v>90</v>
      </c>
      <c r="D838" s="865"/>
      <c r="E838" s="865"/>
      <c r="F838" s="865"/>
      <c r="G838" s="865"/>
      <c r="H838" s="1061" t="str">
        <f>'Bid 3b'!B897</f>
        <v>: Penunjang Kegiatan Ekonomi Produktif untuk Sekeha Teruna (BKK Kota)</v>
      </c>
      <c r="I838" s="1063">
        <f>I841</f>
        <v>420000000</v>
      </c>
      <c r="J838" s="1061" t="s">
        <v>1365</v>
      </c>
      <c r="K838" s="1061" t="s">
        <v>3599</v>
      </c>
      <c r="L838" s="1063"/>
      <c r="M838" s="1063"/>
      <c r="N838" s="1063"/>
      <c r="O838" s="1063"/>
      <c r="P838" s="1063"/>
      <c r="Q838" s="1063"/>
      <c r="R838" s="1063"/>
      <c r="S838" s="1063"/>
      <c r="T838" s="1063"/>
      <c r="U838" s="1063"/>
      <c r="V838" s="1063"/>
      <c r="W838" s="1063"/>
      <c r="X838" s="1866">
        <f t="shared" si="28"/>
        <v>0</v>
      </c>
      <c r="Y838" s="23">
        <f t="shared" si="27"/>
        <v>-420000000</v>
      </c>
    </row>
    <row r="839" spans="1:25" x14ac:dyDescent="0.25">
      <c r="A839" s="1"/>
      <c r="B839" s="1"/>
      <c r="C839" s="1"/>
      <c r="D839" s="1">
        <v>5</v>
      </c>
      <c r="E839" s="1">
        <v>2</v>
      </c>
      <c r="F839" s="1"/>
      <c r="G839" s="1"/>
      <c r="H839" s="4" t="str">
        <f>'Bid 3b'!B902</f>
        <v>Belanja Barang dan Jasa</v>
      </c>
      <c r="I839" s="73"/>
      <c r="J839" s="1"/>
      <c r="K839" s="4" t="s">
        <v>3599</v>
      </c>
      <c r="L839" s="73"/>
      <c r="M839" s="73"/>
      <c r="N839" s="73"/>
      <c r="O839" s="73"/>
      <c r="P839" s="73"/>
      <c r="Q839" s="73"/>
      <c r="R839" s="73"/>
      <c r="S839" s="73"/>
      <c r="T839" s="73"/>
      <c r="U839" s="73"/>
      <c r="V839" s="73"/>
      <c r="W839" s="73"/>
      <c r="X839" s="1864">
        <f t="shared" si="28"/>
        <v>0</v>
      </c>
      <c r="Y839" s="23">
        <f t="shared" si="27"/>
        <v>0</v>
      </c>
    </row>
    <row r="840" spans="1:25" ht="45" x14ac:dyDescent="0.25">
      <c r="A840" s="1"/>
      <c r="B840" s="1"/>
      <c r="C840" s="1"/>
      <c r="D840" s="1"/>
      <c r="E840" s="1"/>
      <c r="F840" s="1">
        <v>7</v>
      </c>
      <c r="G840" s="1"/>
      <c r="H840" s="4" t="str">
        <f>'Bid 3b'!B903</f>
        <v>Belanja Barang dan Jasa yang Diserahkan Kepada Masyarakat</v>
      </c>
      <c r="I840" s="73"/>
      <c r="J840" s="1"/>
      <c r="K840" s="4" t="s">
        <v>3599</v>
      </c>
      <c r="L840" s="73"/>
      <c r="M840" s="73"/>
      <c r="N840" s="73"/>
      <c r="O840" s="73"/>
      <c r="P840" s="73"/>
      <c r="Q840" s="73"/>
      <c r="R840" s="73"/>
      <c r="S840" s="73"/>
      <c r="T840" s="73"/>
      <c r="U840" s="73"/>
      <c r="V840" s="73"/>
      <c r="W840" s="73"/>
      <c r="X840" s="1864">
        <f t="shared" si="28"/>
        <v>0</v>
      </c>
      <c r="Y840" s="23">
        <f t="shared" si="27"/>
        <v>0</v>
      </c>
    </row>
    <row r="841" spans="1:25" ht="30" x14ac:dyDescent="0.25">
      <c r="A841" s="1"/>
      <c r="B841" s="1"/>
      <c r="C841" s="1"/>
      <c r="D841" s="1"/>
      <c r="E841" s="1"/>
      <c r="F841" s="1"/>
      <c r="G841" s="1489" t="s">
        <v>3366</v>
      </c>
      <c r="H841" s="4" t="str">
        <f>'Bid 3b'!B904</f>
        <v>Belanaja Barang  Yang Diserahkan</v>
      </c>
      <c r="I841" s="73">
        <f>'Bid 3b'!F905</f>
        <v>420000000</v>
      </c>
      <c r="J841" s="4" t="s">
        <v>1365</v>
      </c>
      <c r="K841" s="4" t="s">
        <v>3599</v>
      </c>
      <c r="L841" s="73"/>
      <c r="M841" s="73">
        <v>420000000</v>
      </c>
      <c r="N841" s="73"/>
      <c r="O841" s="73"/>
      <c r="P841" s="73"/>
      <c r="Q841" s="73"/>
      <c r="R841" s="73"/>
      <c r="S841" s="73"/>
      <c r="T841" s="73"/>
      <c r="U841" s="73"/>
      <c r="V841" s="73"/>
      <c r="W841" s="73"/>
      <c r="X841" s="1864">
        <f t="shared" si="28"/>
        <v>420000000</v>
      </c>
      <c r="Y841" s="23">
        <f t="shared" si="27"/>
        <v>0</v>
      </c>
    </row>
    <row r="842" spans="1:25" ht="30" x14ac:dyDescent="0.25">
      <c r="A842" s="865">
        <v>3</v>
      </c>
      <c r="B842" s="865">
        <v>4</v>
      </c>
      <c r="C842" s="865"/>
      <c r="D842" s="865"/>
      <c r="E842" s="865"/>
      <c r="F842" s="865"/>
      <c r="G842" s="1490"/>
      <c r="H842" s="1061" t="s">
        <v>3425</v>
      </c>
      <c r="I842" s="1063"/>
      <c r="J842" s="1061"/>
      <c r="K842" s="1061" t="s">
        <v>3599</v>
      </c>
      <c r="L842" s="1063"/>
      <c r="M842" s="1063"/>
      <c r="N842" s="1063"/>
      <c r="O842" s="1063"/>
      <c r="P842" s="1063"/>
      <c r="Q842" s="1063"/>
      <c r="R842" s="1063"/>
      <c r="S842" s="1063"/>
      <c r="T842" s="1063"/>
      <c r="U842" s="1063"/>
      <c r="V842" s="1063"/>
      <c r="W842" s="1063"/>
      <c r="X842" s="1866">
        <f t="shared" si="28"/>
        <v>0</v>
      </c>
      <c r="Y842" s="23">
        <f t="shared" si="27"/>
        <v>0</v>
      </c>
    </row>
    <row r="843" spans="1:25" ht="60" x14ac:dyDescent="0.25">
      <c r="A843" s="865">
        <v>3</v>
      </c>
      <c r="B843" s="865">
        <v>4</v>
      </c>
      <c r="C843" s="1490" t="s">
        <v>3386</v>
      </c>
      <c r="D843" s="865"/>
      <c r="E843" s="865"/>
      <c r="F843" s="865"/>
      <c r="G843" s="865"/>
      <c r="H843" s="1061" t="str">
        <f>'Bid 3b'!B921</f>
        <v>: Pelatihan Pembinaan Lembaga Kemasyarakatan (Bulan bakti Gotong royong LPM)</v>
      </c>
      <c r="I843" s="1063">
        <f>SUM(I844:I851)</f>
        <v>31775000</v>
      </c>
      <c r="J843" s="865" t="s">
        <v>1506</v>
      </c>
      <c r="K843" s="1061" t="s">
        <v>3599</v>
      </c>
      <c r="L843" s="1063"/>
      <c r="M843" s="1063"/>
      <c r="N843" s="1063"/>
      <c r="O843" s="1063"/>
      <c r="P843" s="1063"/>
      <c r="Q843" s="1063"/>
      <c r="R843" s="1063"/>
      <c r="S843" s="1063"/>
      <c r="T843" s="1063"/>
      <c r="U843" s="1063"/>
      <c r="V843" s="1063"/>
      <c r="W843" s="1063"/>
      <c r="X843" s="1866">
        <f t="shared" si="28"/>
        <v>0</v>
      </c>
      <c r="Y843" s="23">
        <f t="shared" si="27"/>
        <v>-31775000</v>
      </c>
    </row>
    <row r="844" spans="1:25" x14ac:dyDescent="0.25">
      <c r="A844" s="1"/>
      <c r="B844" s="1"/>
      <c r="C844" s="1"/>
      <c r="D844" s="1">
        <v>5</v>
      </c>
      <c r="E844" s="1">
        <v>2</v>
      </c>
      <c r="F844" s="1"/>
      <c r="G844" s="1"/>
      <c r="H844" s="4" t="str">
        <f>'Bid 3b'!B927</f>
        <v>Belanja Barang  Dan Jasa</v>
      </c>
      <c r="I844" s="73"/>
      <c r="J844" s="1"/>
      <c r="K844" s="4" t="s">
        <v>3599</v>
      </c>
      <c r="L844" s="73"/>
      <c r="M844" s="73"/>
      <c r="N844" s="73"/>
      <c r="O844" s="73"/>
      <c r="P844" s="73"/>
      <c r="Q844" s="73"/>
      <c r="R844" s="73"/>
      <c r="S844" s="73"/>
      <c r="T844" s="73"/>
      <c r="U844" s="73"/>
      <c r="V844" s="73"/>
      <c r="W844" s="73"/>
      <c r="X844" s="1864">
        <f t="shared" si="28"/>
        <v>0</v>
      </c>
      <c r="Y844" s="23">
        <f t="shared" si="27"/>
        <v>0</v>
      </c>
    </row>
    <row r="845" spans="1:25" ht="30" x14ac:dyDescent="0.25">
      <c r="A845" s="1"/>
      <c r="B845" s="1"/>
      <c r="C845" s="1"/>
      <c r="D845" s="1"/>
      <c r="E845" s="1"/>
      <c r="F845" s="1">
        <v>1</v>
      </c>
      <c r="G845" s="1"/>
      <c r="H845" s="4" t="str">
        <f>'Bid 3b'!B928</f>
        <v>Belanja Barang Perlengkapan</v>
      </c>
      <c r="I845" s="73"/>
      <c r="J845" s="1"/>
      <c r="K845" s="4" t="s">
        <v>3599</v>
      </c>
      <c r="L845" s="73"/>
      <c r="M845" s="73"/>
      <c r="N845" s="73"/>
      <c r="O845" s="73"/>
      <c r="P845" s="73"/>
      <c r="Q845" s="73"/>
      <c r="R845" s="73"/>
      <c r="S845" s="73"/>
      <c r="T845" s="73"/>
      <c r="U845" s="73"/>
      <c r="V845" s="73"/>
      <c r="W845" s="73"/>
      <c r="X845" s="1864">
        <f t="shared" si="28"/>
        <v>0</v>
      </c>
      <c r="Y845" s="23">
        <f t="shared" si="27"/>
        <v>0</v>
      </c>
    </row>
    <row r="846" spans="1:25" ht="30" x14ac:dyDescent="0.25">
      <c r="A846" s="1"/>
      <c r="B846" s="1"/>
      <c r="C846" s="1"/>
      <c r="D846" s="1"/>
      <c r="E846" s="1"/>
      <c r="F846" s="1"/>
      <c r="G846" s="1489" t="s">
        <v>3391</v>
      </c>
      <c r="H846" s="4" t="str">
        <f>'Bid 3b'!B929</f>
        <v>Belanja Perlengkapan Barang Konsumsi</v>
      </c>
      <c r="I846" s="73">
        <f>'Bid 3b'!F930+'Bid 3b'!F931</f>
        <v>7200000</v>
      </c>
      <c r="J846" s="1" t="s">
        <v>1506</v>
      </c>
      <c r="K846" s="4" t="s">
        <v>3599</v>
      </c>
      <c r="L846" s="73"/>
      <c r="M846" s="73"/>
      <c r="N846" s="73"/>
      <c r="O846" s="73"/>
      <c r="P846" s="73"/>
      <c r="Q846" s="73"/>
      <c r="R846" s="73">
        <v>600000</v>
      </c>
      <c r="S846" s="73">
        <v>6600000</v>
      </c>
      <c r="T846" s="73"/>
      <c r="U846" s="73"/>
      <c r="V846" s="73"/>
      <c r="W846" s="73"/>
      <c r="X846" s="1864">
        <f t="shared" si="28"/>
        <v>7200000</v>
      </c>
      <c r="Y846" s="23">
        <f t="shared" si="27"/>
        <v>0</v>
      </c>
    </row>
    <row r="847" spans="1:25" ht="30" x14ac:dyDescent="0.25">
      <c r="A847" s="1"/>
      <c r="B847" s="1"/>
      <c r="C847" s="1"/>
      <c r="D847" s="1"/>
      <c r="E847" s="1"/>
      <c r="F847" s="1"/>
      <c r="G847" s="1489" t="s">
        <v>3393</v>
      </c>
      <c r="H847" s="4" t="str">
        <f>'Bid 3b'!B968</f>
        <v>Belanja Bendera/ Umbul-umbul/ Spanduk</v>
      </c>
      <c r="I847" s="73">
        <f>'Bid 3b'!F933</f>
        <v>90000</v>
      </c>
      <c r="J847" s="1" t="s">
        <v>1506</v>
      </c>
      <c r="K847" s="4" t="s">
        <v>3599</v>
      </c>
      <c r="L847" s="73"/>
      <c r="M847" s="73"/>
      <c r="N847" s="73"/>
      <c r="O847" s="73"/>
      <c r="P847" s="73"/>
      <c r="Q847" s="73"/>
      <c r="R847" s="73">
        <v>90000</v>
      </c>
      <c r="S847" s="73"/>
      <c r="T847" s="73"/>
      <c r="U847" s="73"/>
      <c r="V847" s="73"/>
      <c r="W847" s="73"/>
      <c r="X847" s="1864">
        <f t="shared" si="28"/>
        <v>90000</v>
      </c>
      <c r="Y847" s="23">
        <f t="shared" si="27"/>
        <v>0</v>
      </c>
    </row>
    <row r="848" spans="1:25" ht="30" x14ac:dyDescent="0.25">
      <c r="A848" s="1"/>
      <c r="B848" s="1"/>
      <c r="C848" s="1"/>
      <c r="D848" s="1"/>
      <c r="E848" s="1"/>
      <c r="F848" s="1"/>
      <c r="G848" s="1489"/>
      <c r="H848" s="4" t="str">
        <f>'Bid 3b'!B934</f>
        <v>Belanja Pakaian Dinas Seragam Dan Atribut</v>
      </c>
      <c r="I848" s="73">
        <f>'Bid 3b'!F935</f>
        <v>10200000</v>
      </c>
      <c r="J848" s="1" t="s">
        <v>1506</v>
      </c>
      <c r="K848" s="4" t="s">
        <v>3599</v>
      </c>
      <c r="L848" s="73"/>
      <c r="M848" s="73"/>
      <c r="N848" s="73"/>
      <c r="O848" s="73"/>
      <c r="P848" s="73"/>
      <c r="Q848" s="73"/>
      <c r="R848" s="73">
        <v>10200000</v>
      </c>
      <c r="S848" s="73"/>
      <c r="T848" s="73"/>
      <c r="U848" s="73"/>
      <c r="V848" s="73"/>
      <c r="W848" s="73"/>
      <c r="X848" s="1864">
        <f t="shared" si="28"/>
        <v>10200000</v>
      </c>
      <c r="Y848" s="23">
        <f t="shared" si="27"/>
        <v>0</v>
      </c>
    </row>
    <row r="849" spans="1:25" ht="30" x14ac:dyDescent="0.25">
      <c r="A849" s="1"/>
      <c r="B849" s="1"/>
      <c r="C849" s="1"/>
      <c r="D849" s="1"/>
      <c r="E849" s="1"/>
      <c r="F849" s="1"/>
      <c r="G849" s="1">
        <v>90</v>
      </c>
      <c r="H849" s="4" t="str">
        <f>'Bid 3b'!B936</f>
        <v>Belanja Upakara, Upacara Dan Aci</v>
      </c>
      <c r="I849" s="73">
        <f>SUM('Bid 3b'!F937+'Bid 3b'!F938+'Bid 3b'!F939)</f>
        <v>285000</v>
      </c>
      <c r="J849" s="1" t="s">
        <v>1506</v>
      </c>
      <c r="K849" s="4" t="s">
        <v>3599</v>
      </c>
      <c r="L849" s="73"/>
      <c r="M849" s="73"/>
      <c r="N849" s="73"/>
      <c r="O849" s="73"/>
      <c r="P849" s="73"/>
      <c r="Q849" s="73"/>
      <c r="R849" s="73"/>
      <c r="S849" s="73">
        <v>285000</v>
      </c>
      <c r="T849" s="73"/>
      <c r="U849" s="73"/>
      <c r="V849" s="73"/>
      <c r="W849" s="73"/>
      <c r="X849" s="1864">
        <f t="shared" si="28"/>
        <v>285000</v>
      </c>
      <c r="Y849" s="23">
        <f t="shared" si="27"/>
        <v>0</v>
      </c>
    </row>
    <row r="850" spans="1:25" ht="45" x14ac:dyDescent="0.25">
      <c r="A850" s="1"/>
      <c r="B850" s="1"/>
      <c r="C850" s="1"/>
      <c r="D850" s="1">
        <v>5</v>
      </c>
      <c r="E850" s="1">
        <v>2</v>
      </c>
      <c r="F850" s="1">
        <v>7</v>
      </c>
      <c r="G850" s="1"/>
      <c r="H850" s="4" t="str">
        <f>'Bid 3b'!B940</f>
        <v>Belanja Bahan Perlengkapan Yang Diserahkan Ke Masyarakat</v>
      </c>
      <c r="I850" s="73"/>
      <c r="J850" s="1"/>
      <c r="K850" s="4" t="s">
        <v>3599</v>
      </c>
      <c r="L850" s="73"/>
      <c r="M850" s="73"/>
      <c r="N850" s="73"/>
      <c r="O850" s="73"/>
      <c r="P850" s="73"/>
      <c r="Q850" s="73"/>
      <c r="R850" s="73"/>
      <c r="S850" s="73"/>
      <c r="T850" s="73"/>
      <c r="U850" s="73"/>
      <c r="V850" s="73"/>
      <c r="W850" s="73"/>
      <c r="X850" s="1864">
        <f t="shared" si="28"/>
        <v>0</v>
      </c>
      <c r="Y850" s="23">
        <f t="shared" si="27"/>
        <v>0</v>
      </c>
    </row>
    <row r="851" spans="1:25" ht="45" x14ac:dyDescent="0.25">
      <c r="A851" s="1"/>
      <c r="B851" s="1"/>
      <c r="C851" s="1"/>
      <c r="D851" s="1"/>
      <c r="E851" s="1"/>
      <c r="F851" s="1"/>
      <c r="G851" s="1489" t="s">
        <v>3366</v>
      </c>
      <c r="H851" s="4" t="str">
        <f>'Bid 3b'!B941</f>
        <v>Belanja Bahan Perlengkapan Yang Diserahkan Ke Masyarakat</v>
      </c>
      <c r="I851" s="73">
        <f>'Bid 3b'!F942</f>
        <v>14000000</v>
      </c>
      <c r="J851" s="1" t="s">
        <v>1506</v>
      </c>
      <c r="K851" s="4" t="s">
        <v>3599</v>
      </c>
      <c r="L851" s="73"/>
      <c r="M851" s="73"/>
      <c r="N851" s="73"/>
      <c r="O851" s="73"/>
      <c r="P851" s="73"/>
      <c r="Q851" s="73"/>
      <c r="R851" s="73"/>
      <c r="S851" s="73">
        <v>14000000</v>
      </c>
      <c r="T851" s="73"/>
      <c r="U851" s="73"/>
      <c r="V851" s="73"/>
      <c r="W851" s="73"/>
      <c r="X851" s="1864">
        <f t="shared" si="28"/>
        <v>14000000</v>
      </c>
      <c r="Y851" s="23">
        <f t="shared" si="27"/>
        <v>0</v>
      </c>
    </row>
    <row r="852" spans="1:25" ht="44.45" customHeight="1" x14ac:dyDescent="0.25">
      <c r="A852" s="865">
        <v>3</v>
      </c>
      <c r="B852" s="865">
        <v>4</v>
      </c>
      <c r="C852" s="1490" t="s">
        <v>3386</v>
      </c>
      <c r="D852" s="865"/>
      <c r="E852" s="865"/>
      <c r="F852" s="865"/>
      <c r="G852" s="865"/>
      <c r="H852" s="1061" t="str">
        <f>'Bid 3b'!B1088</f>
        <v>: Pembinaan LKMD / LPM / LPMD (Pelatihan LPM)</v>
      </c>
      <c r="I852" s="1063">
        <f>SUM(I853:I861)</f>
        <v>11598584.66</v>
      </c>
      <c r="J852" s="1061" t="s">
        <v>3297</v>
      </c>
      <c r="K852" s="1061" t="s">
        <v>3599</v>
      </c>
      <c r="L852" s="1063"/>
      <c r="M852" s="1063"/>
      <c r="N852" s="1063"/>
      <c r="O852" s="1063"/>
      <c r="P852" s="1063"/>
      <c r="Q852" s="1063"/>
      <c r="R852" s="1063"/>
      <c r="S852" s="1063"/>
      <c r="T852" s="1063"/>
      <c r="U852" s="1063"/>
      <c r="V852" s="1063"/>
      <c r="W852" s="1063"/>
      <c r="X852" s="1866">
        <f t="shared" si="28"/>
        <v>0</v>
      </c>
      <c r="Y852" s="23">
        <f t="shared" si="27"/>
        <v>-11598584.66</v>
      </c>
    </row>
    <row r="853" spans="1:25" x14ac:dyDescent="0.25">
      <c r="A853" s="1"/>
      <c r="B853" s="1"/>
      <c r="C853" s="1"/>
      <c r="D853" s="1">
        <v>5</v>
      </c>
      <c r="E853" s="1">
        <v>2</v>
      </c>
      <c r="F853" s="1"/>
      <c r="G853" s="1"/>
      <c r="H853" s="1" t="str">
        <f>'Bid 3b'!B1094</f>
        <v>Belanja Barang Dan Jasa</v>
      </c>
      <c r="I853" s="73"/>
      <c r="J853" s="1"/>
      <c r="K853" s="4" t="s">
        <v>3599</v>
      </c>
      <c r="L853" s="73"/>
      <c r="M853" s="73"/>
      <c r="N853" s="73"/>
      <c r="O853" s="73"/>
      <c r="P853" s="73"/>
      <c r="Q853" s="73"/>
      <c r="R853" s="73"/>
      <c r="S853" s="73"/>
      <c r="T853" s="73"/>
      <c r="U853" s="73"/>
      <c r="V853" s="73"/>
      <c r="W853" s="73"/>
      <c r="X853" s="1864">
        <f t="shared" si="28"/>
        <v>0</v>
      </c>
      <c r="Y853" s="23">
        <f t="shared" si="27"/>
        <v>0</v>
      </c>
    </row>
    <row r="854" spans="1:25" ht="30" x14ac:dyDescent="0.25">
      <c r="A854" s="1"/>
      <c r="B854" s="1"/>
      <c r="C854" s="1"/>
      <c r="D854" s="1"/>
      <c r="E854" s="1"/>
      <c r="F854" s="1">
        <v>1</v>
      </c>
      <c r="G854" s="1"/>
      <c r="H854" s="4" t="str">
        <f>'Bid 3b'!B1095</f>
        <v>Belanja Barang Perlengkapan</v>
      </c>
      <c r="I854" s="73"/>
      <c r="J854" s="1"/>
      <c r="K854" s="4" t="s">
        <v>3599</v>
      </c>
      <c r="L854" s="73"/>
      <c r="M854" s="73"/>
      <c r="N854" s="73"/>
      <c r="O854" s="73"/>
      <c r="P854" s="73"/>
      <c r="Q854" s="73"/>
      <c r="R854" s="73"/>
      <c r="S854" s="73"/>
      <c r="T854" s="73"/>
      <c r="U854" s="73"/>
      <c r="V854" s="73"/>
      <c r="W854" s="73"/>
      <c r="X854" s="1864">
        <f t="shared" si="28"/>
        <v>0</v>
      </c>
      <c r="Y854" s="23">
        <f t="shared" si="27"/>
        <v>0</v>
      </c>
    </row>
    <row r="855" spans="1:25" ht="45" x14ac:dyDescent="0.25">
      <c r="A855" s="1"/>
      <c r="B855" s="1"/>
      <c r="C855" s="1"/>
      <c r="D855" s="1"/>
      <c r="E855" s="1"/>
      <c r="F855" s="1"/>
      <c r="G855" s="1489" t="s">
        <v>3366</v>
      </c>
      <c r="H855" s="4" t="str">
        <f>'Bid 3b'!B1096</f>
        <v>Belanja Perlengkapam Alat Tulis</v>
      </c>
      <c r="I855" s="73">
        <f>'Bid 3b'!F1097</f>
        <v>140000</v>
      </c>
      <c r="J855" s="4" t="s">
        <v>3297</v>
      </c>
      <c r="K855" s="4" t="s">
        <v>3599</v>
      </c>
      <c r="L855" s="73"/>
      <c r="M855" s="73"/>
      <c r="N855" s="73"/>
      <c r="O855" s="73"/>
      <c r="P855" s="73"/>
      <c r="Q855" s="73"/>
      <c r="R855" s="73">
        <v>140000</v>
      </c>
      <c r="S855" s="73"/>
      <c r="T855" s="73"/>
      <c r="U855" s="73"/>
      <c r="V855" s="73"/>
      <c r="W855" s="73"/>
      <c r="X855" s="1864">
        <f t="shared" si="28"/>
        <v>140000</v>
      </c>
      <c r="Y855" s="23">
        <f t="shared" si="27"/>
        <v>0</v>
      </c>
    </row>
    <row r="856" spans="1:25" ht="45" x14ac:dyDescent="0.25">
      <c r="A856" s="1"/>
      <c r="B856" s="1"/>
      <c r="C856" s="1"/>
      <c r="D856" s="1"/>
      <c r="E856" s="1"/>
      <c r="F856" s="1"/>
      <c r="G856" s="1489" t="s">
        <v>3391</v>
      </c>
      <c r="H856" s="4" t="str">
        <f>'Bid 3b'!B1098</f>
        <v>Belanja Perlengkapan Barang Konsumsi</v>
      </c>
      <c r="I856" s="73">
        <f>SUM('Bid 3b'!F1099:F1100)</f>
        <v>5400000</v>
      </c>
      <c r="J856" s="4" t="s">
        <v>3297</v>
      </c>
      <c r="K856" s="4" t="s">
        <v>3599</v>
      </c>
      <c r="L856" s="73"/>
      <c r="M856" s="73"/>
      <c r="N856" s="73"/>
      <c r="O856" s="73"/>
      <c r="P856" s="73"/>
      <c r="Q856" s="73"/>
      <c r="R856" s="73">
        <v>5400000</v>
      </c>
      <c r="S856" s="73"/>
      <c r="T856" s="73"/>
      <c r="U856" s="73"/>
      <c r="V856" s="73"/>
      <c r="W856" s="73"/>
      <c r="X856" s="1864">
        <f t="shared" si="28"/>
        <v>5400000</v>
      </c>
      <c r="Y856" s="23">
        <f t="shared" si="27"/>
        <v>0</v>
      </c>
    </row>
    <row r="857" spans="1:25" ht="45" x14ac:dyDescent="0.25">
      <c r="A857" s="1"/>
      <c r="B857" s="1"/>
      <c r="C857" s="1"/>
      <c r="D857" s="1"/>
      <c r="E857" s="1"/>
      <c r="F857" s="1"/>
      <c r="G857" s="1489" t="s">
        <v>3393</v>
      </c>
      <c r="H857" s="4" t="str">
        <f>'Bid 3b'!B1101</f>
        <v>Belanja Bendera/ Umbul-umbul/ Spanduk</v>
      </c>
      <c r="I857" s="73">
        <f>'Bid 3b'!F1102</f>
        <v>123584.66</v>
      </c>
      <c r="J857" s="4" t="s">
        <v>3297</v>
      </c>
      <c r="K857" s="4" t="s">
        <v>3599</v>
      </c>
      <c r="L857" s="73"/>
      <c r="M857" s="73"/>
      <c r="N857" s="73"/>
      <c r="O857" s="73"/>
      <c r="P857" s="73"/>
      <c r="Q857" s="73"/>
      <c r="R857" s="73">
        <v>123584.66</v>
      </c>
      <c r="S857" s="73"/>
      <c r="T857" s="73"/>
      <c r="U857" s="73"/>
      <c r="V857" s="73"/>
      <c r="W857" s="73"/>
      <c r="X857" s="1864">
        <f t="shared" si="28"/>
        <v>123584.66</v>
      </c>
      <c r="Y857" s="23">
        <f t="shared" si="27"/>
        <v>0</v>
      </c>
    </row>
    <row r="858" spans="1:25" ht="45" x14ac:dyDescent="0.25">
      <c r="A858" s="1"/>
      <c r="B858" s="1"/>
      <c r="C858" s="1"/>
      <c r="D858" s="1"/>
      <c r="E858" s="1"/>
      <c r="F858" s="1"/>
      <c r="G858" s="1489" t="s">
        <v>3394</v>
      </c>
      <c r="H858" s="4" t="str">
        <f>'Bid 3b'!B1103</f>
        <v xml:space="preserve">Belanja Pakaian Dinas/Seragam/Atribut
</v>
      </c>
      <c r="I858" s="73">
        <f>'Bid 3b'!F1104</f>
        <v>5270000</v>
      </c>
      <c r="J858" s="4" t="s">
        <v>3297</v>
      </c>
      <c r="K858" s="4" t="s">
        <v>3599</v>
      </c>
      <c r="L858" s="73"/>
      <c r="M858" s="73"/>
      <c r="N858" s="73"/>
      <c r="O858" s="73"/>
      <c r="P858" s="73"/>
      <c r="Q858" s="73"/>
      <c r="R858" s="73">
        <v>5270000</v>
      </c>
      <c r="S858" s="73"/>
      <c r="T858" s="73"/>
      <c r="U858" s="73"/>
      <c r="V858" s="73"/>
      <c r="W858" s="73"/>
      <c r="X858" s="1864">
        <f t="shared" si="28"/>
        <v>5270000</v>
      </c>
      <c r="Y858" s="23">
        <f t="shared" si="27"/>
        <v>0</v>
      </c>
    </row>
    <row r="859" spans="1:25" ht="45" x14ac:dyDescent="0.25">
      <c r="A859" s="1"/>
      <c r="B859" s="1"/>
      <c r="C859" s="1"/>
      <c r="D859" s="1"/>
      <c r="E859" s="1"/>
      <c r="F859" s="1"/>
      <c r="G859" s="1">
        <v>90</v>
      </c>
      <c r="H859" s="4" t="str">
        <f>'Bid 3b'!B1106</f>
        <v>Belanja Upakara, Upacara Dan Aci</v>
      </c>
      <c r="I859" s="73">
        <f>SUM('Bid 3b'!F1107:F1109)</f>
        <v>65000</v>
      </c>
      <c r="J859" s="4" t="s">
        <v>3297</v>
      </c>
      <c r="K859" s="4" t="s">
        <v>3599</v>
      </c>
      <c r="L859" s="73"/>
      <c r="M859" s="73"/>
      <c r="N859" s="73"/>
      <c r="O859" s="73"/>
      <c r="P859" s="73"/>
      <c r="Q859" s="73"/>
      <c r="R859" s="73">
        <v>65000</v>
      </c>
      <c r="S859" s="73"/>
      <c r="T859" s="73"/>
      <c r="U859" s="73"/>
      <c r="V859" s="73"/>
      <c r="W859" s="73"/>
      <c r="X859" s="1864">
        <f t="shared" si="28"/>
        <v>65000</v>
      </c>
      <c r="Y859" s="23">
        <f t="shared" si="27"/>
        <v>0</v>
      </c>
    </row>
    <row r="860" spans="1:25" x14ac:dyDescent="0.25">
      <c r="A860" s="1"/>
      <c r="B860" s="1"/>
      <c r="C860" s="1"/>
      <c r="D860" s="1">
        <v>5</v>
      </c>
      <c r="E860" s="1">
        <v>2</v>
      </c>
      <c r="F860" s="1">
        <v>2</v>
      </c>
      <c r="G860" s="1"/>
      <c r="H860" s="4" t="str">
        <f>'Bid 3b'!B1110</f>
        <v>Belanja Honorarium</v>
      </c>
      <c r="I860" s="73"/>
      <c r="J860" s="1"/>
      <c r="K860" s="4" t="s">
        <v>3599</v>
      </c>
      <c r="L860" s="73"/>
      <c r="M860" s="73"/>
      <c r="N860" s="73"/>
      <c r="O860" s="73"/>
      <c r="P860" s="73"/>
      <c r="Q860" s="73"/>
      <c r="R860" s="73"/>
      <c r="S860" s="73"/>
      <c r="T860" s="73"/>
      <c r="U860" s="73"/>
      <c r="V860" s="73"/>
      <c r="W860" s="73"/>
      <c r="X860" s="1864">
        <f t="shared" si="28"/>
        <v>0</v>
      </c>
      <c r="Y860" s="23">
        <f t="shared" si="27"/>
        <v>0</v>
      </c>
    </row>
    <row r="861" spans="1:25" ht="45" x14ac:dyDescent="0.25">
      <c r="A861" s="1"/>
      <c r="B861" s="1"/>
      <c r="C861" s="1"/>
      <c r="D861" s="1"/>
      <c r="E861" s="1"/>
      <c r="F861" s="1"/>
      <c r="G861" s="1489" t="s">
        <v>3389</v>
      </c>
      <c r="H861" s="4" t="str">
        <f>'Bid 3b'!B1111</f>
        <v>Belanja Jasa Honorarium Ahli/Profesi/Konsultan/ Narasumber</v>
      </c>
      <c r="I861" s="73">
        <f>SUM('Bid 3b'!F1112)</f>
        <v>600000</v>
      </c>
      <c r="J861" s="4" t="s">
        <v>3297</v>
      </c>
      <c r="K861" s="4" t="s">
        <v>3599</v>
      </c>
      <c r="L861" s="73"/>
      <c r="M861" s="73"/>
      <c r="N861" s="73"/>
      <c r="O861" s="73"/>
      <c r="P861" s="73"/>
      <c r="Q861" s="73"/>
      <c r="R861" s="73">
        <v>600000</v>
      </c>
      <c r="S861" s="73"/>
      <c r="T861" s="73"/>
      <c r="U861" s="73"/>
      <c r="V861" s="73"/>
      <c r="W861" s="73"/>
      <c r="X861" s="1864">
        <f t="shared" si="28"/>
        <v>600000</v>
      </c>
      <c r="Y861" s="23">
        <f t="shared" si="27"/>
        <v>0</v>
      </c>
    </row>
    <row r="862" spans="1:25" ht="45" x14ac:dyDescent="0.25">
      <c r="A862" s="865">
        <v>3</v>
      </c>
      <c r="B862" s="865">
        <v>4</v>
      </c>
      <c r="C862" s="1490" t="s">
        <v>3389</v>
      </c>
      <c r="D862" s="865"/>
      <c r="E862" s="865"/>
      <c r="F862" s="865"/>
      <c r="G862" s="865"/>
      <c r="H862" s="1061" t="str">
        <f>'Bid 3b'!B1127</f>
        <v>: Pembinaan PKK  ( Pembinaan Administrasi dan Pokja PKK Desa  )</v>
      </c>
      <c r="I862" s="1063">
        <f>SUM(I863:I873)</f>
        <v>68435000</v>
      </c>
      <c r="J862" s="865"/>
      <c r="K862" s="1061" t="s">
        <v>3599</v>
      </c>
      <c r="L862" s="1063"/>
      <c r="M862" s="1063"/>
      <c r="N862" s="1063"/>
      <c r="O862" s="1063"/>
      <c r="P862" s="1063"/>
      <c r="Q862" s="1063"/>
      <c r="R862" s="1063"/>
      <c r="S862" s="1063"/>
      <c r="T862" s="1063"/>
      <c r="U862" s="1063"/>
      <c r="V862" s="1063"/>
      <c r="W862" s="1063"/>
      <c r="X862" s="1866">
        <f t="shared" si="28"/>
        <v>0</v>
      </c>
      <c r="Y862" s="23">
        <f t="shared" si="27"/>
        <v>-68435000</v>
      </c>
    </row>
    <row r="863" spans="1:25" x14ac:dyDescent="0.25">
      <c r="A863" s="1"/>
      <c r="B863" s="1"/>
      <c r="C863" s="1"/>
      <c r="D863" s="1">
        <v>5</v>
      </c>
      <c r="E863" s="1">
        <v>2</v>
      </c>
      <c r="F863" s="1"/>
      <c r="G863" s="1"/>
      <c r="H863" s="4" t="str">
        <f>'Bid 3b'!B1132</f>
        <v>Belanja Barang Jasa</v>
      </c>
      <c r="I863" s="73"/>
      <c r="J863" s="1"/>
      <c r="K863" s="4" t="s">
        <v>3599</v>
      </c>
      <c r="L863" s="73"/>
      <c r="M863" s="73"/>
      <c r="N863" s="73"/>
      <c r="O863" s="73"/>
      <c r="P863" s="73"/>
      <c r="Q863" s="73"/>
      <c r="R863" s="73"/>
      <c r="S863" s="73"/>
      <c r="T863" s="73"/>
      <c r="U863" s="73"/>
      <c r="V863" s="73"/>
      <c r="W863" s="73"/>
      <c r="X863" s="1864">
        <f t="shared" si="28"/>
        <v>0</v>
      </c>
      <c r="Y863" s="23">
        <f t="shared" si="27"/>
        <v>0</v>
      </c>
    </row>
    <row r="864" spans="1:25" ht="30" x14ac:dyDescent="0.25">
      <c r="A864" s="1"/>
      <c r="B864" s="1"/>
      <c r="C864" s="1"/>
      <c r="D864" s="1"/>
      <c r="E864" s="1"/>
      <c r="F864" s="1">
        <v>1</v>
      </c>
      <c r="G864" s="1"/>
      <c r="H864" s="4" t="str">
        <f>'Bid 3b'!B1133</f>
        <v>Belanja Barang Perlengkapan</v>
      </c>
      <c r="I864" s="73"/>
      <c r="J864" s="1"/>
      <c r="K864" s="4" t="s">
        <v>3599</v>
      </c>
      <c r="L864" s="73"/>
      <c r="M864" s="73"/>
      <c r="N864" s="73"/>
      <c r="O864" s="73"/>
      <c r="P864" s="73"/>
      <c r="Q864" s="73"/>
      <c r="R864" s="73"/>
      <c r="S864" s="73"/>
      <c r="T864" s="73"/>
      <c r="U864" s="73"/>
      <c r="V864" s="73"/>
      <c r="W864" s="73"/>
      <c r="X864" s="1864">
        <f t="shared" si="28"/>
        <v>0</v>
      </c>
      <c r="Y864" s="23">
        <f t="shared" si="27"/>
        <v>0</v>
      </c>
    </row>
    <row r="865" spans="1:25" ht="30" x14ac:dyDescent="0.25">
      <c r="A865" s="1"/>
      <c r="B865" s="1"/>
      <c r="C865" s="1"/>
      <c r="D865" s="1"/>
      <c r="E865" s="1"/>
      <c r="F865" s="1"/>
      <c r="G865" s="1489" t="s">
        <v>3366</v>
      </c>
      <c r="H865" s="4" t="str">
        <f>'Bid 3b'!B1134</f>
        <v>Belanja Alat Tulis Kantor dan Benda Pos</v>
      </c>
      <c r="I865" s="73">
        <f>SUM('Bid 3b'!F1135:F1137)</f>
        <v>1750000</v>
      </c>
      <c r="J865" s="1" t="s">
        <v>1220</v>
      </c>
      <c r="K865" s="4" t="s">
        <v>3599</v>
      </c>
      <c r="L865" s="73"/>
      <c r="M865" s="73">
        <v>1750000</v>
      </c>
      <c r="N865" s="73"/>
      <c r="O865" s="73"/>
      <c r="P865" s="73"/>
      <c r="Q865" s="73"/>
      <c r="R865" s="73"/>
      <c r="S865" s="73"/>
      <c r="T865" s="73"/>
      <c r="U865" s="73"/>
      <c r="V865" s="73"/>
      <c r="W865" s="73"/>
      <c r="X865" s="1864">
        <f t="shared" si="28"/>
        <v>1750000</v>
      </c>
      <c r="Y865" s="23">
        <f t="shared" si="27"/>
        <v>0</v>
      </c>
    </row>
    <row r="866" spans="1:25" ht="30" x14ac:dyDescent="0.25">
      <c r="A866" s="1"/>
      <c r="B866" s="1"/>
      <c r="C866" s="1"/>
      <c r="D866" s="1"/>
      <c r="E866" s="1"/>
      <c r="F866" s="1"/>
      <c r="G866" s="1489" t="s">
        <v>3391</v>
      </c>
      <c r="H866" s="4" t="str">
        <f>'Bid 3b'!B1138</f>
        <v>Belanja Perlengkapan Barang Konsumsi</v>
      </c>
      <c r="I866" s="73">
        <f>'Bid 3b'!F1139</f>
        <v>800000</v>
      </c>
      <c r="J866" s="1" t="s">
        <v>1220</v>
      </c>
      <c r="K866" s="4" t="s">
        <v>3599</v>
      </c>
      <c r="L866" s="73"/>
      <c r="M866" s="73">
        <v>800000</v>
      </c>
      <c r="N866" s="73"/>
      <c r="O866" s="73"/>
      <c r="P866" s="73"/>
      <c r="Q866" s="73"/>
      <c r="R866" s="73"/>
      <c r="S866" s="73"/>
      <c r="T866" s="73"/>
      <c r="U866" s="73"/>
      <c r="V866" s="73"/>
      <c r="W866" s="73"/>
      <c r="X866" s="1864">
        <f t="shared" si="28"/>
        <v>800000</v>
      </c>
      <c r="Y866" s="23">
        <f t="shared" si="27"/>
        <v>0</v>
      </c>
    </row>
    <row r="867" spans="1:25" ht="45" x14ac:dyDescent="0.25">
      <c r="A867" s="1"/>
      <c r="B867" s="1"/>
      <c r="C867" s="1"/>
      <c r="D867" s="1"/>
      <c r="E867" s="1"/>
      <c r="F867" s="1"/>
      <c r="G867" s="1489" t="s">
        <v>3391</v>
      </c>
      <c r="H867" s="4" t="str">
        <f>'Bid 3b'!B1138</f>
        <v>Belanja Perlengkapan Barang Konsumsi</v>
      </c>
      <c r="I867" s="73">
        <f>'Bid 3b'!F1140</f>
        <v>9600000</v>
      </c>
      <c r="J867" s="4" t="s">
        <v>3297</v>
      </c>
      <c r="K867" s="4" t="s">
        <v>3599</v>
      </c>
      <c r="L867" s="73"/>
      <c r="M867" s="73">
        <v>9600000</v>
      </c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1864">
        <f t="shared" si="28"/>
        <v>9600000</v>
      </c>
      <c r="Y867" s="23">
        <f t="shared" si="27"/>
        <v>0</v>
      </c>
    </row>
    <row r="868" spans="1:25" ht="30" x14ac:dyDescent="0.25">
      <c r="A868" s="1"/>
      <c r="B868" s="1"/>
      <c r="C868" s="1"/>
      <c r="D868" s="1"/>
      <c r="E868" s="1"/>
      <c r="F868" s="1"/>
      <c r="G868" s="1489" t="s">
        <v>3393</v>
      </c>
      <c r="H868" s="4" t="str">
        <f>'Bid 3b'!B1141</f>
        <v>Belanja Bendera/ Umbul-umbul/ Spanduk</v>
      </c>
      <c r="I868" s="73">
        <f>SUM('Bid 3b'!F1142)</f>
        <v>90000</v>
      </c>
      <c r="J868" s="1" t="s">
        <v>1220</v>
      </c>
      <c r="K868" s="4" t="s">
        <v>3599</v>
      </c>
      <c r="L868" s="73"/>
      <c r="M868" s="73">
        <v>90000</v>
      </c>
      <c r="N868" s="73"/>
      <c r="O868" s="73"/>
      <c r="P868" s="73"/>
      <c r="Q868" s="73"/>
      <c r="R868" s="73"/>
      <c r="S868" s="73"/>
      <c r="T868" s="73"/>
      <c r="U868" s="73"/>
      <c r="V868" s="73"/>
      <c r="W868" s="73"/>
      <c r="X868" s="1864">
        <f t="shared" si="28"/>
        <v>90000</v>
      </c>
      <c r="Y868" s="23">
        <f t="shared" si="27"/>
        <v>0</v>
      </c>
    </row>
    <row r="869" spans="1:25" ht="30" x14ac:dyDescent="0.25">
      <c r="A869" s="1"/>
      <c r="B869" s="1"/>
      <c r="C869" s="1"/>
      <c r="D869" s="1"/>
      <c r="E869" s="1"/>
      <c r="F869" s="1"/>
      <c r="G869" s="1489" t="s">
        <v>3394</v>
      </c>
      <c r="H869" s="4" t="str">
        <f>'Bid 3b'!B1143</f>
        <v>Belanja Pakaian Dinas / Seragam/ Atribut</v>
      </c>
      <c r="I869" s="73">
        <f>SUM('Bid 3b'!F1144)</f>
        <v>35595000</v>
      </c>
      <c r="J869" s="1" t="s">
        <v>1220</v>
      </c>
      <c r="K869" s="4" t="s">
        <v>3599</v>
      </c>
      <c r="L869" s="73"/>
      <c r="M869" s="73">
        <v>35595000</v>
      </c>
      <c r="N869" s="73"/>
      <c r="O869" s="73"/>
      <c r="P869" s="73"/>
      <c r="Q869" s="73"/>
      <c r="R869" s="73"/>
      <c r="S869" s="73"/>
      <c r="T869" s="73"/>
      <c r="U869" s="73"/>
      <c r="V869" s="73"/>
      <c r="W869" s="73"/>
      <c r="X869" s="1864">
        <f t="shared" si="28"/>
        <v>35595000</v>
      </c>
      <c r="Y869" s="23">
        <f t="shared" si="27"/>
        <v>0</v>
      </c>
    </row>
    <row r="870" spans="1:25" x14ac:dyDescent="0.25">
      <c r="A870" s="1"/>
      <c r="B870" s="1"/>
      <c r="C870" s="1"/>
      <c r="D870" s="1">
        <v>5</v>
      </c>
      <c r="E870" s="1">
        <v>2</v>
      </c>
      <c r="F870" s="1">
        <v>2</v>
      </c>
      <c r="G870" s="1"/>
      <c r="H870" s="4" t="str">
        <f>'Bid 3b'!B1145</f>
        <v>Belanja  Jasa Honorarium</v>
      </c>
      <c r="I870" s="73"/>
      <c r="J870" s="1"/>
      <c r="K870" s="4" t="s">
        <v>3599</v>
      </c>
      <c r="L870" s="73"/>
      <c r="M870" s="73"/>
      <c r="N870" s="73"/>
      <c r="O870" s="73"/>
      <c r="P870" s="73"/>
      <c r="Q870" s="73"/>
      <c r="R870" s="73"/>
      <c r="S870" s="73"/>
      <c r="T870" s="73"/>
      <c r="U870" s="73"/>
      <c r="V870" s="73"/>
      <c r="W870" s="73"/>
      <c r="X870" s="1864">
        <f t="shared" si="28"/>
        <v>0</v>
      </c>
      <c r="Y870" s="23">
        <f t="shared" si="27"/>
        <v>0</v>
      </c>
    </row>
    <row r="871" spans="1:25" ht="45" x14ac:dyDescent="0.25">
      <c r="A871" s="1"/>
      <c r="B871" s="1"/>
      <c r="C871" s="1"/>
      <c r="D871" s="1"/>
      <c r="E871" s="1"/>
      <c r="F871" s="1"/>
      <c r="G871" s="1489" t="s">
        <v>3390</v>
      </c>
      <c r="H871" s="4" t="str">
        <f>'Bid 3b'!B1146</f>
        <v>Belanja Jasa Honorarium Ahli/ Profesi/Konsultan/ Narasumber</v>
      </c>
      <c r="I871" s="73">
        <f>SUM('Bid 3b'!F1147)</f>
        <v>600000</v>
      </c>
      <c r="J871" s="1" t="s">
        <v>1220</v>
      </c>
      <c r="K871" s="4" t="s">
        <v>3599</v>
      </c>
      <c r="L871" s="73"/>
      <c r="M871" s="73">
        <v>600000</v>
      </c>
      <c r="N871" s="73"/>
      <c r="O871" s="73"/>
      <c r="P871" s="73"/>
      <c r="Q871" s="73"/>
      <c r="R871" s="73"/>
      <c r="S871" s="73"/>
      <c r="T871" s="73"/>
      <c r="U871" s="73"/>
      <c r="V871" s="73"/>
      <c r="W871" s="73"/>
      <c r="X871" s="1864">
        <f t="shared" si="28"/>
        <v>600000</v>
      </c>
      <c r="Y871" s="23">
        <f t="shared" si="27"/>
        <v>0</v>
      </c>
    </row>
    <row r="872" spans="1:25" x14ac:dyDescent="0.25">
      <c r="A872" s="1"/>
      <c r="B872" s="1"/>
      <c r="C872" s="1"/>
      <c r="D872" s="1">
        <v>5</v>
      </c>
      <c r="E872" s="1">
        <v>2</v>
      </c>
      <c r="F872" s="1">
        <v>4</v>
      </c>
      <c r="G872" s="1"/>
      <c r="H872" s="4" t="str">
        <f>'Bid 3b'!B1149</f>
        <v>Belanja Jasa Sewa</v>
      </c>
      <c r="I872" s="73"/>
      <c r="J872" s="1"/>
      <c r="K872" s="4" t="s">
        <v>3599</v>
      </c>
      <c r="L872" s="73"/>
      <c r="M872" s="73"/>
      <c r="N872" s="73"/>
      <c r="O872" s="73"/>
      <c r="P872" s="73"/>
      <c r="Q872" s="73"/>
      <c r="R872" s="73"/>
      <c r="S872" s="73"/>
      <c r="T872" s="73"/>
      <c r="U872" s="73"/>
      <c r="V872" s="73"/>
      <c r="W872" s="73"/>
      <c r="X872" s="1864">
        <f t="shared" si="28"/>
        <v>0</v>
      </c>
      <c r="Y872" s="23">
        <f t="shared" si="27"/>
        <v>0</v>
      </c>
    </row>
    <row r="873" spans="1:25" ht="30" x14ac:dyDescent="0.25">
      <c r="A873" s="1"/>
      <c r="B873" s="1"/>
      <c r="C873" s="1"/>
      <c r="D873" s="1"/>
      <c r="E873" s="1"/>
      <c r="F873" s="1"/>
      <c r="G873" s="1489" t="s">
        <v>3388</v>
      </c>
      <c r="H873" s="4" t="str">
        <f>'Bid 3b'!B1150</f>
        <v>Belanja Jasa Sewa Mobiltas dan Akomodasi</v>
      </c>
      <c r="I873" s="73">
        <f>'Bid 3b'!F1151</f>
        <v>20000000</v>
      </c>
      <c r="J873" s="1" t="s">
        <v>1223</v>
      </c>
      <c r="K873" s="4" t="s">
        <v>3599</v>
      </c>
      <c r="L873" s="73"/>
      <c r="M873" s="73">
        <v>20000000</v>
      </c>
      <c r="N873" s="73"/>
      <c r="O873" s="73"/>
      <c r="P873" s="73"/>
      <c r="Q873" s="73"/>
      <c r="R873" s="73"/>
      <c r="S873" s="73"/>
      <c r="T873" s="73"/>
      <c r="U873" s="73"/>
      <c r="V873" s="73"/>
      <c r="W873" s="73"/>
      <c r="X873" s="1864">
        <f t="shared" si="28"/>
        <v>20000000</v>
      </c>
      <c r="Y873" s="23">
        <f t="shared" si="27"/>
        <v>0</v>
      </c>
    </row>
    <row r="874" spans="1:25" ht="45" x14ac:dyDescent="0.25">
      <c r="A874" s="865">
        <v>3</v>
      </c>
      <c r="B874" s="865">
        <v>4</v>
      </c>
      <c r="C874" s="1490" t="s">
        <v>3389</v>
      </c>
      <c r="D874" s="865"/>
      <c r="E874" s="865"/>
      <c r="F874" s="865"/>
      <c r="G874" s="865"/>
      <c r="H874" s="1061" t="str">
        <f>'Bid 3b'!B1167</f>
        <v>:Pelatihan Pembinaan Lembaga Kemasyarakatan (Input data  Dasawisma)</v>
      </c>
      <c r="I874" s="1063">
        <f>SUM(I875:I884)</f>
        <v>11628000</v>
      </c>
      <c r="J874" s="1061"/>
      <c r="K874" s="1061" t="s">
        <v>3599</v>
      </c>
      <c r="L874" s="1063"/>
      <c r="M874" s="1063"/>
      <c r="N874" s="1063"/>
      <c r="O874" s="1063"/>
      <c r="P874" s="1063"/>
      <c r="Q874" s="1063"/>
      <c r="R874" s="1063"/>
      <c r="S874" s="1063"/>
      <c r="T874" s="1063"/>
      <c r="U874" s="1063"/>
      <c r="V874" s="1063"/>
      <c r="W874" s="1063"/>
      <c r="X874" s="1866">
        <f t="shared" si="28"/>
        <v>0</v>
      </c>
      <c r="Y874" s="23">
        <f t="shared" si="27"/>
        <v>-11628000</v>
      </c>
    </row>
    <row r="875" spans="1:25" x14ac:dyDescent="0.25">
      <c r="A875" s="1"/>
      <c r="B875" s="1"/>
      <c r="C875" s="1"/>
      <c r="D875" s="1">
        <v>5</v>
      </c>
      <c r="E875" s="1">
        <v>2</v>
      </c>
      <c r="F875" s="1"/>
      <c r="G875" s="1"/>
      <c r="H875" s="4" t="str">
        <f>'Bid 3b'!B1172</f>
        <v>Belanja Barang Jasa</v>
      </c>
      <c r="I875" s="73"/>
      <c r="J875" s="1"/>
      <c r="K875" s="4" t="s">
        <v>3599</v>
      </c>
      <c r="L875" s="73"/>
      <c r="M875" s="73"/>
      <c r="N875" s="73"/>
      <c r="O875" s="73"/>
      <c r="P875" s="73"/>
      <c r="Q875" s="73"/>
      <c r="R875" s="73"/>
      <c r="S875" s="73"/>
      <c r="T875" s="73"/>
      <c r="U875" s="73"/>
      <c r="V875" s="73"/>
      <c r="W875" s="73"/>
      <c r="X875" s="1864">
        <f t="shared" si="28"/>
        <v>0</v>
      </c>
      <c r="Y875" s="23">
        <f t="shared" si="27"/>
        <v>0</v>
      </c>
    </row>
    <row r="876" spans="1:25" ht="30" x14ac:dyDescent="0.25">
      <c r="A876" s="1"/>
      <c r="B876" s="1"/>
      <c r="C876" s="1"/>
      <c r="D876" s="1"/>
      <c r="E876" s="1"/>
      <c r="F876" s="1">
        <v>1</v>
      </c>
      <c r="G876" s="1"/>
      <c r="H876" s="4" t="str">
        <f>'Bid 3b'!B1173</f>
        <v>Belanja Barang Perlengkapan</v>
      </c>
      <c r="I876" s="73"/>
      <c r="J876" s="1"/>
      <c r="K876" s="4" t="s">
        <v>3599</v>
      </c>
      <c r="L876" s="73"/>
      <c r="M876" s="73"/>
      <c r="N876" s="73"/>
      <c r="O876" s="73"/>
      <c r="P876" s="73"/>
      <c r="Q876" s="73"/>
      <c r="R876" s="73"/>
      <c r="S876" s="73"/>
      <c r="T876" s="73"/>
      <c r="U876" s="73"/>
      <c r="V876" s="73"/>
      <c r="W876" s="73"/>
      <c r="X876" s="1864">
        <f t="shared" si="28"/>
        <v>0</v>
      </c>
      <c r="Y876" s="23">
        <f t="shared" si="27"/>
        <v>0</v>
      </c>
    </row>
    <row r="877" spans="1:25" ht="45" x14ac:dyDescent="0.25">
      <c r="A877" s="1"/>
      <c r="B877" s="1"/>
      <c r="C877" s="1"/>
      <c r="D877" s="1"/>
      <c r="E877" s="1"/>
      <c r="F877" s="1"/>
      <c r="G877" s="1489" t="s">
        <v>3366</v>
      </c>
      <c r="H877" s="4" t="str">
        <f>'Bid 3b'!B1174</f>
        <v>Belanja Perlengkapan Alat Tulis Kantor dan Benda Pos</v>
      </c>
      <c r="I877" s="73">
        <f>SUM('Bid 3b'!F1175+'Bid 3b'!F1176+'Bid 3b'!F1177)</f>
        <v>714000</v>
      </c>
      <c r="J877" s="4" t="s">
        <v>3297</v>
      </c>
      <c r="K877" s="4" t="s">
        <v>3599</v>
      </c>
      <c r="L877" s="73"/>
      <c r="M877" s="73"/>
      <c r="N877" s="73"/>
      <c r="O877" s="73"/>
      <c r="P877" s="73"/>
      <c r="Q877" s="73"/>
      <c r="R877" s="73">
        <v>714000</v>
      </c>
      <c r="S877" s="73"/>
      <c r="T877" s="73"/>
      <c r="U877" s="73"/>
      <c r="V877" s="73"/>
      <c r="W877" s="73"/>
      <c r="X877" s="1864">
        <f t="shared" si="28"/>
        <v>714000</v>
      </c>
      <c r="Y877" s="23">
        <f t="shared" ref="Y877:Y940" si="29">X877-I877</f>
        <v>0</v>
      </c>
    </row>
    <row r="878" spans="1:25" ht="30" x14ac:dyDescent="0.25">
      <c r="A878" s="1"/>
      <c r="B878" s="1"/>
      <c r="C878" s="1"/>
      <c r="D878" s="1"/>
      <c r="E878" s="1"/>
      <c r="F878" s="1"/>
      <c r="G878" s="1489" t="s">
        <v>3390</v>
      </c>
      <c r="H878" s="4" t="str">
        <f>'Bid 3b'!B1178</f>
        <v>Belanja Perlengkapan Cetak</v>
      </c>
      <c r="I878" s="73">
        <f>'Bid 3b'!F1179+'Bid 3b'!F1180</f>
        <v>4144000</v>
      </c>
      <c r="J878" s="4" t="s">
        <v>1775</v>
      </c>
      <c r="K878" s="4" t="s">
        <v>3599</v>
      </c>
      <c r="L878" s="73"/>
      <c r="M878" s="73"/>
      <c r="N878" s="73"/>
      <c r="O878" s="73"/>
      <c r="P878" s="73"/>
      <c r="Q878" s="73"/>
      <c r="R878" s="73">
        <v>4144000</v>
      </c>
      <c r="S878" s="73"/>
      <c r="T878" s="73"/>
      <c r="U878" s="73"/>
      <c r="V878" s="73"/>
      <c r="W878" s="73"/>
      <c r="X878" s="1864">
        <f t="shared" si="28"/>
        <v>4144000</v>
      </c>
      <c r="Y878" s="23">
        <f t="shared" si="29"/>
        <v>0</v>
      </c>
    </row>
    <row r="879" spans="1:25" ht="45" x14ac:dyDescent="0.25">
      <c r="A879" s="1"/>
      <c r="B879" s="1"/>
      <c r="C879" s="1"/>
      <c r="D879" s="1"/>
      <c r="E879" s="1"/>
      <c r="F879" s="1"/>
      <c r="G879" s="1489" t="s">
        <v>3391</v>
      </c>
      <c r="H879" s="4" t="str">
        <f>'Bid 3b'!B1181</f>
        <v>Belanja Perlengkapan Barang Konsumsi</v>
      </c>
      <c r="I879" s="73">
        <f>SUM('Bid 3b'!F1182)</f>
        <v>420000</v>
      </c>
      <c r="J879" s="4" t="s">
        <v>3297</v>
      </c>
      <c r="K879" s="4" t="s">
        <v>3599</v>
      </c>
      <c r="L879" s="73"/>
      <c r="M879" s="73"/>
      <c r="N879" s="73"/>
      <c r="O879" s="73"/>
      <c r="P879" s="73"/>
      <c r="Q879" s="73"/>
      <c r="R879" s="73">
        <v>420000</v>
      </c>
      <c r="S879" s="73"/>
      <c r="T879" s="73"/>
      <c r="U879" s="73"/>
      <c r="V879" s="73"/>
      <c r="W879" s="73"/>
      <c r="X879" s="1864">
        <f t="shared" si="28"/>
        <v>420000</v>
      </c>
      <c r="Y879" s="23">
        <f t="shared" si="29"/>
        <v>0</v>
      </c>
    </row>
    <row r="880" spans="1:25" ht="45" x14ac:dyDescent="0.25">
      <c r="A880" s="1"/>
      <c r="B880" s="1"/>
      <c r="C880" s="1"/>
      <c r="D880" s="1"/>
      <c r="E880" s="1"/>
      <c r="F880" s="1"/>
      <c r="G880" s="1489" t="s">
        <v>3393</v>
      </c>
      <c r="H880" s="4" t="str">
        <f>'Bid 3b'!B1183</f>
        <v>Belanja Spanduk</v>
      </c>
      <c r="I880" s="73">
        <f>'Bid 3b'!F1184</f>
        <v>90000</v>
      </c>
      <c r="J880" s="4" t="s">
        <v>3297</v>
      </c>
      <c r="K880" s="4" t="s">
        <v>3599</v>
      </c>
      <c r="L880" s="73"/>
      <c r="M880" s="73"/>
      <c r="N880" s="73"/>
      <c r="O880" s="73"/>
      <c r="P880" s="73"/>
      <c r="Q880" s="73"/>
      <c r="R880" s="73">
        <v>90000</v>
      </c>
      <c r="S880" s="73"/>
      <c r="T880" s="73"/>
      <c r="U880" s="73"/>
      <c r="V880" s="73"/>
      <c r="W880" s="73"/>
      <c r="X880" s="1864">
        <f t="shared" si="28"/>
        <v>90000</v>
      </c>
      <c r="Y880" s="23">
        <f t="shared" si="29"/>
        <v>0</v>
      </c>
    </row>
    <row r="881" spans="1:25" ht="45" x14ac:dyDescent="0.25">
      <c r="A881" s="1"/>
      <c r="B881" s="1"/>
      <c r="C881" s="1"/>
      <c r="D881" s="1"/>
      <c r="E881" s="1"/>
      <c r="F881" s="1"/>
      <c r="G881" s="1">
        <v>90</v>
      </c>
      <c r="H881" s="4" t="str">
        <f>'Bid 3b'!B1185</f>
        <v>Belanja Upakara, Upacara Dan Aci</v>
      </c>
      <c r="I881" s="73">
        <f>'Bid 3b'!F1186</f>
        <v>50000</v>
      </c>
      <c r="J881" s="4" t="s">
        <v>3297</v>
      </c>
      <c r="K881" s="4" t="s">
        <v>3599</v>
      </c>
      <c r="L881" s="73"/>
      <c r="M881" s="73"/>
      <c r="N881" s="73"/>
      <c r="O881" s="73"/>
      <c r="P881" s="73"/>
      <c r="Q881" s="73"/>
      <c r="R881" s="73">
        <v>50000</v>
      </c>
      <c r="S881" s="73"/>
      <c r="T881" s="73"/>
      <c r="U881" s="73"/>
      <c r="V881" s="73"/>
      <c r="W881" s="73"/>
      <c r="X881" s="1864">
        <f t="shared" si="28"/>
        <v>50000</v>
      </c>
      <c r="Y881" s="23">
        <f t="shared" si="29"/>
        <v>0</v>
      </c>
    </row>
    <row r="882" spans="1:25" x14ac:dyDescent="0.25">
      <c r="A882" s="1"/>
      <c r="B882" s="1"/>
      <c r="C882" s="1"/>
      <c r="D882" s="1">
        <v>5</v>
      </c>
      <c r="E882" s="1">
        <v>2</v>
      </c>
      <c r="F882" s="1">
        <v>2</v>
      </c>
      <c r="G882" s="1"/>
      <c r="H882" s="4" t="str">
        <f>'Bid 3b'!B1188</f>
        <v>Belanja Jasa Honorarium</v>
      </c>
      <c r="I882" s="73"/>
      <c r="J882" s="4"/>
      <c r="K882" s="4" t="s">
        <v>3599</v>
      </c>
      <c r="L882" s="73"/>
      <c r="M882" s="73"/>
      <c r="N882" s="73"/>
      <c r="O882" s="73"/>
      <c r="P882" s="73"/>
      <c r="Q882" s="73"/>
      <c r="R882" s="73"/>
      <c r="S882" s="73"/>
      <c r="T882" s="73"/>
      <c r="U882" s="73"/>
      <c r="V882" s="73"/>
      <c r="W882" s="73"/>
      <c r="X882" s="1864">
        <f t="shared" si="28"/>
        <v>0</v>
      </c>
      <c r="Y882" s="23">
        <f t="shared" si="29"/>
        <v>0</v>
      </c>
    </row>
    <row r="883" spans="1:25" ht="45" x14ac:dyDescent="0.25">
      <c r="A883" s="1"/>
      <c r="B883" s="1"/>
      <c r="C883" s="1"/>
      <c r="D883" s="1"/>
      <c r="E883" s="1"/>
      <c r="F883" s="1"/>
      <c r="G883" s="1489" t="s">
        <v>3389</v>
      </c>
      <c r="H883" s="4" t="str">
        <f>'Bid 3b'!B1189</f>
        <v>Belanja Jasa Honorarium Ahli/Profesi/Konsultan/Narasumber</v>
      </c>
      <c r="I883" s="73">
        <f>SUM('Bid 3b'!F1190)</f>
        <v>300000</v>
      </c>
      <c r="J883" s="4" t="s">
        <v>3297</v>
      </c>
      <c r="K883" s="4" t="s">
        <v>3599</v>
      </c>
      <c r="L883" s="73"/>
      <c r="M883" s="73"/>
      <c r="N883" s="73"/>
      <c r="O883" s="73"/>
      <c r="P883" s="73"/>
      <c r="Q883" s="73"/>
      <c r="R883" s="73">
        <v>300000</v>
      </c>
      <c r="S883" s="73"/>
      <c r="T883" s="73"/>
      <c r="U883" s="73"/>
      <c r="V883" s="73"/>
      <c r="W883" s="73"/>
      <c r="X883" s="1864">
        <f t="shared" si="28"/>
        <v>300000</v>
      </c>
      <c r="Y883" s="23">
        <f t="shared" si="29"/>
        <v>0</v>
      </c>
    </row>
    <row r="884" spans="1:25" ht="45" x14ac:dyDescent="0.25">
      <c r="A884" s="1"/>
      <c r="B884" s="1"/>
      <c r="C884" s="1"/>
      <c r="D884" s="1"/>
      <c r="E884" s="1"/>
      <c r="F884" s="1"/>
      <c r="G884" s="1489" t="s">
        <v>3390</v>
      </c>
      <c r="H884" s="4" t="str">
        <f>'Bid 3b'!B1192</f>
        <v>Belanja Jasa Honorarium Petugas</v>
      </c>
      <c r="I884" s="73">
        <f>'Bid 3b'!F1193</f>
        <v>5910000</v>
      </c>
      <c r="J884" s="4" t="s">
        <v>3297</v>
      </c>
      <c r="K884" s="4" t="s">
        <v>3599</v>
      </c>
      <c r="L884" s="73"/>
      <c r="M884" s="73"/>
      <c r="N884" s="73"/>
      <c r="O884" s="73"/>
      <c r="P884" s="73"/>
      <c r="Q884" s="73"/>
      <c r="R884" s="73">
        <v>5910000</v>
      </c>
      <c r="S884" s="73"/>
      <c r="T884" s="73"/>
      <c r="U884" s="73"/>
      <c r="V884" s="73"/>
      <c r="W884" s="73"/>
      <c r="X884" s="1864">
        <f t="shared" si="28"/>
        <v>5910000</v>
      </c>
      <c r="Y884" s="23">
        <f t="shared" si="29"/>
        <v>0</v>
      </c>
    </row>
    <row r="885" spans="1:25" ht="30" x14ac:dyDescent="0.25">
      <c r="A885" s="1869">
        <v>4</v>
      </c>
      <c r="B885" s="1869"/>
      <c r="C885" s="1869"/>
      <c r="D885" s="1869"/>
      <c r="E885" s="1869"/>
      <c r="F885" s="1869"/>
      <c r="G885" s="1869"/>
      <c r="H885" s="1870" t="str">
        <f>'BID 4 b'!B5</f>
        <v>: Pemberdayaan Masyarakat Desa</v>
      </c>
      <c r="I885" s="1871">
        <f>I886+I898+I909+I920+I926+I934+I943+I954+I962+I972+I983+I992+I1003</f>
        <v>512798699.82999998</v>
      </c>
      <c r="J885" s="1869"/>
      <c r="K885" s="1870"/>
      <c r="L885" s="1871"/>
      <c r="M885" s="1871"/>
      <c r="N885" s="1871"/>
      <c r="O885" s="1871"/>
      <c r="P885" s="1871"/>
      <c r="Q885" s="1871"/>
      <c r="R885" s="1871"/>
      <c r="S885" s="1871"/>
      <c r="T885" s="1871"/>
      <c r="U885" s="1871"/>
      <c r="V885" s="1871"/>
      <c r="W885" s="1871"/>
      <c r="X885" s="1872">
        <f t="shared" ref="X885:X948" si="30">SUM(L885:W885)</f>
        <v>0</v>
      </c>
      <c r="Y885" s="23">
        <f t="shared" si="29"/>
        <v>-512798699.82999998</v>
      </c>
    </row>
    <row r="886" spans="1:25" ht="60" x14ac:dyDescent="0.25">
      <c r="A886" s="865">
        <v>4</v>
      </c>
      <c r="B886" s="865">
        <v>1</v>
      </c>
      <c r="C886" s="1490" t="s">
        <v>3366</v>
      </c>
      <c r="D886" s="865"/>
      <c r="E886" s="865"/>
      <c r="F886" s="865"/>
      <c r="G886" s="865"/>
      <c r="H886" s="1061" t="str">
        <f>'BID 4 b'!B7</f>
        <v>: Pemeliharaan Karamba/Kolam Perikanan Darat  (Pelatihan Kelompok Lele)</v>
      </c>
      <c r="I886" s="1063">
        <f>SUM(I887:I896)</f>
        <v>175300000</v>
      </c>
      <c r="J886" s="1061" t="s">
        <v>2179</v>
      </c>
      <c r="K886" s="1061" t="s">
        <v>3596</v>
      </c>
      <c r="L886" s="1063"/>
      <c r="M886" s="1063"/>
      <c r="N886" s="1063"/>
      <c r="O886" s="1063"/>
      <c r="P886" s="1063"/>
      <c r="Q886" s="1063"/>
      <c r="R886" s="1063"/>
      <c r="S886" s="1063"/>
      <c r="T886" s="1063"/>
      <c r="U886" s="1063"/>
      <c r="V886" s="1063"/>
      <c r="W886" s="1063"/>
      <c r="X886" s="1866"/>
      <c r="Y886" s="23">
        <f t="shared" si="29"/>
        <v>-175300000</v>
      </c>
    </row>
    <row r="887" spans="1:25" x14ac:dyDescent="0.25">
      <c r="A887" s="1"/>
      <c r="B887" s="1"/>
      <c r="C887" s="1"/>
      <c r="D887" s="1">
        <v>5</v>
      </c>
      <c r="E887" s="1">
        <v>2</v>
      </c>
      <c r="F887" s="1"/>
      <c r="G887" s="1"/>
      <c r="H887" s="4" t="str">
        <f>'BID 4 b'!B12</f>
        <v>Belanja Barang Dan Jasa</v>
      </c>
      <c r="I887" s="73"/>
      <c r="J887" s="4"/>
      <c r="K887" s="4" t="s">
        <v>3596</v>
      </c>
      <c r="L887" s="73"/>
      <c r="M887" s="73"/>
      <c r="N887" s="73"/>
      <c r="O887" s="73"/>
      <c r="P887" s="73"/>
      <c r="Q887" s="73"/>
      <c r="R887" s="73"/>
      <c r="S887" s="73"/>
      <c r="T887" s="73"/>
      <c r="U887" s="73"/>
      <c r="V887" s="73"/>
      <c r="W887" s="73"/>
      <c r="X887" s="1864">
        <f t="shared" si="30"/>
        <v>0</v>
      </c>
      <c r="Y887" s="23">
        <f t="shared" si="29"/>
        <v>0</v>
      </c>
    </row>
    <row r="888" spans="1:25" ht="30" x14ac:dyDescent="0.25">
      <c r="A888" s="1"/>
      <c r="B888" s="1"/>
      <c r="C888" s="1"/>
      <c r="D888" s="1"/>
      <c r="E888" s="1"/>
      <c r="F888" s="1">
        <v>1</v>
      </c>
      <c r="G888" s="1"/>
      <c r="H888" s="4" t="str">
        <f>'BID 4 b'!B13</f>
        <v>Belanja Barang Perlengkapan</v>
      </c>
      <c r="I888" s="73"/>
      <c r="J888" s="4"/>
      <c r="K888" s="4" t="s">
        <v>3596</v>
      </c>
      <c r="L888" s="73"/>
      <c r="M888" s="73"/>
      <c r="N888" s="73"/>
      <c r="O888" s="73"/>
      <c r="P888" s="73"/>
      <c r="Q888" s="73"/>
      <c r="R888" s="73"/>
      <c r="S888" s="73"/>
      <c r="T888" s="73"/>
      <c r="U888" s="73"/>
      <c r="V888" s="73"/>
      <c r="W888" s="73"/>
      <c r="X888" s="1864">
        <f t="shared" si="30"/>
        <v>0</v>
      </c>
      <c r="Y888" s="23">
        <f t="shared" si="29"/>
        <v>0</v>
      </c>
    </row>
    <row r="889" spans="1:25" ht="30" x14ac:dyDescent="0.25">
      <c r="A889" s="1"/>
      <c r="B889" s="1"/>
      <c r="C889" s="1"/>
      <c r="D889" s="1"/>
      <c r="E889" s="1"/>
      <c r="F889" s="1"/>
      <c r="G889" s="1489" t="s">
        <v>3391</v>
      </c>
      <c r="H889" s="4" t="str">
        <f>'BID 4 b'!B14</f>
        <v>Belanja Perlengkapan Barang Konsumsi</v>
      </c>
      <c r="I889" s="73">
        <f>SUM('BID 4 b'!F15)</f>
        <v>400000</v>
      </c>
      <c r="J889" s="4" t="s">
        <v>2179</v>
      </c>
      <c r="K889" s="4" t="s">
        <v>3596</v>
      </c>
      <c r="L889" s="73"/>
      <c r="M889" s="73"/>
      <c r="N889" s="73"/>
      <c r="O889" s="73">
        <v>400000</v>
      </c>
      <c r="P889" s="73"/>
      <c r="Q889" s="73"/>
      <c r="R889" s="73"/>
      <c r="S889" s="73"/>
      <c r="T889" s="73"/>
      <c r="U889" s="73"/>
      <c r="V889" s="73"/>
      <c r="W889" s="73"/>
      <c r="X889" s="1864">
        <f t="shared" si="30"/>
        <v>400000</v>
      </c>
      <c r="Y889" s="23">
        <f t="shared" si="29"/>
        <v>0</v>
      </c>
    </row>
    <row r="890" spans="1:25" ht="30" x14ac:dyDescent="0.25">
      <c r="A890" s="1"/>
      <c r="B890" s="1"/>
      <c r="C890" s="1"/>
      <c r="D890" s="1"/>
      <c r="E890" s="1"/>
      <c r="F890" s="1"/>
      <c r="G890" s="1489" t="s">
        <v>3393</v>
      </c>
      <c r="H890" s="4" t="str">
        <f>'BID 4 b'!B17</f>
        <v>Belanja Bendera/ Umbul-umbul/ Spanduk</v>
      </c>
      <c r="I890" s="73">
        <f>'BID 4 b'!F18</f>
        <v>90000</v>
      </c>
      <c r="J890" s="4" t="s">
        <v>2179</v>
      </c>
      <c r="K890" s="4" t="s">
        <v>3596</v>
      </c>
      <c r="L890" s="73"/>
      <c r="M890" s="73"/>
      <c r="N890" s="73"/>
      <c r="O890" s="73">
        <v>90000</v>
      </c>
      <c r="P890" s="73"/>
      <c r="Q890" s="73"/>
      <c r="R890" s="73"/>
      <c r="S890" s="73"/>
      <c r="T890" s="73"/>
      <c r="U890" s="73"/>
      <c r="V890" s="73"/>
      <c r="W890" s="73"/>
      <c r="X890" s="1864">
        <f t="shared" si="30"/>
        <v>90000</v>
      </c>
      <c r="Y890" s="23">
        <f t="shared" si="29"/>
        <v>0</v>
      </c>
    </row>
    <row r="891" spans="1:25" ht="30" x14ac:dyDescent="0.25">
      <c r="A891" s="1"/>
      <c r="B891" s="1"/>
      <c r="C891" s="1"/>
      <c r="D891" s="1"/>
      <c r="E891" s="1"/>
      <c r="F891" s="1"/>
      <c r="G891" s="1">
        <v>90</v>
      </c>
      <c r="H891" s="4" t="str">
        <f>'BID 4 b'!B20</f>
        <v>Belanja Upakara, Upacara dan Aci</v>
      </c>
      <c r="I891" s="73">
        <f>SUM('BID 4 b'!F21:F23)</f>
        <v>75000</v>
      </c>
      <c r="J891" s="4" t="s">
        <v>2179</v>
      </c>
      <c r="K891" s="4" t="s">
        <v>3596</v>
      </c>
      <c r="L891" s="73"/>
      <c r="M891" s="73"/>
      <c r="N891" s="73"/>
      <c r="O891" s="73">
        <v>75000</v>
      </c>
      <c r="P891" s="73"/>
      <c r="Q891" s="73"/>
      <c r="R891" s="73"/>
      <c r="S891" s="73"/>
      <c r="T891" s="73"/>
      <c r="U891" s="73"/>
      <c r="V891" s="73"/>
      <c r="W891" s="73"/>
      <c r="X891" s="1864">
        <f t="shared" si="30"/>
        <v>75000</v>
      </c>
      <c r="Y891" s="23">
        <f t="shared" si="29"/>
        <v>0</v>
      </c>
    </row>
    <row r="892" spans="1:25" x14ac:dyDescent="0.25">
      <c r="A892" s="1"/>
      <c r="B892" s="1"/>
      <c r="C892" s="1"/>
      <c r="D892" s="1">
        <v>5</v>
      </c>
      <c r="E892" s="1">
        <v>2</v>
      </c>
      <c r="F892" s="1">
        <v>2</v>
      </c>
      <c r="G892" s="1"/>
      <c r="H892" s="4" t="str">
        <f>'BID 4 b'!B25</f>
        <v>Belanja Jasa Honorarium</v>
      </c>
      <c r="I892" s="73"/>
      <c r="J892" s="4"/>
      <c r="K892" s="4" t="s">
        <v>3596</v>
      </c>
      <c r="L892" s="73"/>
      <c r="M892" s="73"/>
      <c r="N892" s="73"/>
      <c r="O892" s="73"/>
      <c r="P892" s="73"/>
      <c r="Q892" s="73"/>
      <c r="R892" s="73"/>
      <c r="S892" s="73"/>
      <c r="T892" s="73"/>
      <c r="U892" s="73"/>
      <c r="V892" s="73"/>
      <c r="W892" s="73"/>
      <c r="X892" s="1864">
        <f t="shared" si="30"/>
        <v>0</v>
      </c>
      <c r="Y892" s="23">
        <f t="shared" si="29"/>
        <v>0</v>
      </c>
    </row>
    <row r="893" spans="1:25" ht="30" x14ac:dyDescent="0.25">
      <c r="A893" s="1"/>
      <c r="B893" s="1"/>
      <c r="C893" s="1"/>
      <c r="D893" s="1"/>
      <c r="E893" s="1"/>
      <c r="F893" s="1"/>
      <c r="G893" s="1489" t="s">
        <v>3366</v>
      </c>
      <c r="H893" s="4" t="str">
        <f>'BID 4 b'!B26</f>
        <v>Belanja Jasa Honorarium Tim Yang Melaksanakan Kegiatan</v>
      </c>
      <c r="I893" s="73">
        <f>SUM('BID 4 b'!F27:F29)</f>
        <v>1150000</v>
      </c>
      <c r="J893" s="4" t="s">
        <v>2179</v>
      </c>
      <c r="K893" s="4" t="s">
        <v>3596</v>
      </c>
      <c r="L893" s="73"/>
      <c r="M893" s="73"/>
      <c r="N893" s="73"/>
      <c r="O893" s="73">
        <v>1150000</v>
      </c>
      <c r="P893" s="73"/>
      <c r="Q893" s="73"/>
      <c r="R893" s="73"/>
      <c r="S893" s="73"/>
      <c r="T893" s="73"/>
      <c r="U893" s="73"/>
      <c r="V893" s="73"/>
      <c r="W893" s="73"/>
      <c r="X893" s="1864">
        <f t="shared" si="30"/>
        <v>1150000</v>
      </c>
      <c r="Y893" s="23">
        <f t="shared" si="29"/>
        <v>0</v>
      </c>
    </row>
    <row r="894" spans="1:25" ht="45" x14ac:dyDescent="0.25">
      <c r="A894" s="1"/>
      <c r="B894" s="1"/>
      <c r="C894" s="1"/>
      <c r="D894" s="1"/>
      <c r="E894" s="1"/>
      <c r="F894" s="1"/>
      <c r="G894" s="1489" t="s">
        <v>3389</v>
      </c>
      <c r="H894" s="4" t="str">
        <f>'BID 4 b'!B31</f>
        <v>Belanja Jasa Honorarium Ahli/Profesi/Konsultan/Narasumber</v>
      </c>
      <c r="I894" s="73">
        <f>SUM('BID 4 b'!F32)</f>
        <v>600000</v>
      </c>
      <c r="J894" s="4" t="s">
        <v>2179</v>
      </c>
      <c r="K894" s="4" t="s">
        <v>3596</v>
      </c>
      <c r="L894" s="73"/>
      <c r="M894" s="73"/>
      <c r="N894" s="73"/>
      <c r="O894" s="73">
        <v>600000</v>
      </c>
      <c r="P894" s="73"/>
      <c r="Q894" s="73"/>
      <c r="R894" s="73"/>
      <c r="S894" s="73"/>
      <c r="T894" s="73"/>
      <c r="U894" s="73"/>
      <c r="V894" s="73"/>
      <c r="W894" s="73"/>
      <c r="X894" s="1864">
        <f t="shared" si="30"/>
        <v>600000</v>
      </c>
      <c r="Y894" s="23">
        <f t="shared" si="29"/>
        <v>0</v>
      </c>
    </row>
    <row r="895" spans="1:25" ht="45" x14ac:dyDescent="0.25">
      <c r="A895" s="1"/>
      <c r="B895" s="1"/>
      <c r="C895" s="1"/>
      <c r="D895" s="1">
        <v>5</v>
      </c>
      <c r="E895" s="1">
        <v>2</v>
      </c>
      <c r="F895" s="1">
        <v>7</v>
      </c>
      <c r="G895" s="1"/>
      <c r="H895" s="4" t="str">
        <f>'BID 4 b'!B34</f>
        <v>Belanja Barang Dan jasa Yang Diserahkan Kepada Masyarakat</v>
      </c>
      <c r="I895" s="73"/>
      <c r="J895" s="4"/>
      <c r="K895" s="4" t="s">
        <v>3596</v>
      </c>
      <c r="L895" s="73"/>
      <c r="M895" s="73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1864">
        <f t="shared" si="30"/>
        <v>0</v>
      </c>
      <c r="Y895" s="23">
        <f t="shared" si="29"/>
        <v>0</v>
      </c>
    </row>
    <row r="896" spans="1:25" ht="30" x14ac:dyDescent="0.25">
      <c r="A896" s="1"/>
      <c r="B896" s="1"/>
      <c r="C896" s="1"/>
      <c r="D896" s="1"/>
      <c r="E896" s="1"/>
      <c r="F896" s="1"/>
      <c r="G896" s="1489" t="s">
        <v>3366</v>
      </c>
      <c r="H896" s="4" t="str">
        <f>'BID 4 b'!B35</f>
        <v>Belanja Bahan Perlengkapan Diserahkan Kemasyarakat</v>
      </c>
      <c r="I896" s="73">
        <f>SUM('BID 4 b'!F36:F47)</f>
        <v>172985000</v>
      </c>
      <c r="J896" s="4" t="s">
        <v>2179</v>
      </c>
      <c r="K896" s="4" t="s">
        <v>3596</v>
      </c>
      <c r="L896" s="73"/>
      <c r="M896" s="73"/>
      <c r="N896" s="73"/>
      <c r="O896" s="73">
        <v>172985000</v>
      </c>
      <c r="P896" s="73"/>
      <c r="Q896" s="73"/>
      <c r="R896" s="73"/>
      <c r="S896" s="73"/>
      <c r="T896" s="73"/>
      <c r="U896" s="73"/>
      <c r="V896" s="73"/>
      <c r="W896" s="73"/>
      <c r="X896" s="1864">
        <f t="shared" si="30"/>
        <v>172985000</v>
      </c>
      <c r="Y896" s="23">
        <f t="shared" si="29"/>
        <v>0</v>
      </c>
    </row>
    <row r="897" spans="1:25" x14ac:dyDescent="0.25">
      <c r="A897" s="865">
        <v>4</v>
      </c>
      <c r="B897" s="865">
        <v>2</v>
      </c>
      <c r="C897" s="865"/>
      <c r="D897" s="865"/>
      <c r="E897" s="865"/>
      <c r="F897" s="865"/>
      <c r="G897" s="1490"/>
      <c r="H897" s="1061" t="s">
        <v>3426</v>
      </c>
      <c r="I897" s="1063"/>
      <c r="J897" s="1061"/>
      <c r="K897" s="1061" t="s">
        <v>3596</v>
      </c>
      <c r="L897" s="1063"/>
      <c r="M897" s="1063"/>
      <c r="N897" s="1063"/>
      <c r="O897" s="1063"/>
      <c r="P897" s="1063"/>
      <c r="Q897" s="1063"/>
      <c r="R897" s="1063"/>
      <c r="S897" s="1063"/>
      <c r="T897" s="1063"/>
      <c r="U897" s="1063"/>
      <c r="V897" s="1063"/>
      <c r="W897" s="1063"/>
      <c r="X897" s="1866">
        <f t="shared" si="30"/>
        <v>0</v>
      </c>
      <c r="Y897" s="23">
        <f t="shared" si="29"/>
        <v>0</v>
      </c>
    </row>
    <row r="898" spans="1:25" ht="45.6" customHeight="1" x14ac:dyDescent="0.25">
      <c r="A898" s="865">
        <v>4</v>
      </c>
      <c r="B898" s="865">
        <v>2</v>
      </c>
      <c r="C898" s="1490" t="s">
        <v>3366</v>
      </c>
      <c r="D898" s="865"/>
      <c r="E898" s="865"/>
      <c r="F898" s="865"/>
      <c r="G898" s="865"/>
      <c r="H898" s="1061" t="str">
        <f>'BID 4 b'!B62</f>
        <v>: Peningkatan Produksi Tanaman Pangan (Pelatihan Pembuatan Media Tanam)</v>
      </c>
      <c r="I898" s="1063">
        <f>SUM(I899:I908)</f>
        <v>32421000</v>
      </c>
      <c r="J898" s="1061" t="s">
        <v>1410</v>
      </c>
      <c r="K898" s="1061" t="s">
        <v>3596</v>
      </c>
      <c r="L898" s="1063"/>
      <c r="M898" s="1063"/>
      <c r="N898" s="1063"/>
      <c r="O898" s="1063"/>
      <c r="P898" s="1063"/>
      <c r="Q898" s="1063"/>
      <c r="R898" s="1063"/>
      <c r="S898" s="1063"/>
      <c r="T898" s="1063"/>
      <c r="U898" s="1063"/>
      <c r="V898" s="1063"/>
      <c r="W898" s="1063"/>
      <c r="X898" s="1866">
        <f t="shared" si="30"/>
        <v>0</v>
      </c>
      <c r="Y898" s="23">
        <f t="shared" si="29"/>
        <v>-32421000</v>
      </c>
    </row>
    <row r="899" spans="1:25" x14ac:dyDescent="0.25">
      <c r="A899" s="1"/>
      <c r="B899" s="1"/>
      <c r="C899" s="1"/>
      <c r="D899" s="1">
        <v>5</v>
      </c>
      <c r="E899" s="1">
        <v>2</v>
      </c>
      <c r="F899" s="1"/>
      <c r="G899" s="1"/>
      <c r="H899" s="4" t="str">
        <f>'BID 4 b'!B67</f>
        <v>Belanja Barang Dan Jasa</v>
      </c>
      <c r="I899" s="73"/>
      <c r="J899" s="4"/>
      <c r="K899" s="4" t="s">
        <v>3596</v>
      </c>
      <c r="L899" s="73"/>
      <c r="M899" s="73"/>
      <c r="N899" s="73"/>
      <c r="O899" s="73"/>
      <c r="P899" s="73"/>
      <c r="Q899" s="73"/>
      <c r="R899" s="73"/>
      <c r="S899" s="73"/>
      <c r="T899" s="73"/>
      <c r="U899" s="73"/>
      <c r="V899" s="73"/>
      <c r="W899" s="73"/>
      <c r="X899" s="1864">
        <f t="shared" si="30"/>
        <v>0</v>
      </c>
      <c r="Y899" s="23">
        <f t="shared" si="29"/>
        <v>0</v>
      </c>
    </row>
    <row r="900" spans="1:25" ht="30" x14ac:dyDescent="0.25">
      <c r="A900" s="1"/>
      <c r="B900" s="1"/>
      <c r="C900" s="1"/>
      <c r="D900" s="1"/>
      <c r="E900" s="1"/>
      <c r="F900" s="1">
        <v>1</v>
      </c>
      <c r="G900" s="1"/>
      <c r="H900" s="4" t="str">
        <f>'BID 4 b'!B68</f>
        <v>Belanja Barang Perlengkapan</v>
      </c>
      <c r="I900" s="73"/>
      <c r="J900" s="4"/>
      <c r="K900" s="4" t="s">
        <v>3596</v>
      </c>
      <c r="L900" s="73"/>
      <c r="M900" s="73"/>
      <c r="N900" s="73"/>
      <c r="O900" s="73"/>
      <c r="P900" s="73"/>
      <c r="Q900" s="73"/>
      <c r="R900" s="73"/>
      <c r="S900" s="73"/>
      <c r="T900" s="73"/>
      <c r="U900" s="73"/>
      <c r="V900" s="73"/>
      <c r="W900" s="73"/>
      <c r="X900" s="1864">
        <f t="shared" si="30"/>
        <v>0</v>
      </c>
      <c r="Y900" s="23">
        <f t="shared" si="29"/>
        <v>0</v>
      </c>
    </row>
    <row r="901" spans="1:25" ht="30" x14ac:dyDescent="0.25">
      <c r="A901" s="1"/>
      <c r="B901" s="1"/>
      <c r="C901" s="1"/>
      <c r="D901" s="1"/>
      <c r="E901" s="1"/>
      <c r="F901" s="1"/>
      <c r="G901" s="1489" t="s">
        <v>3391</v>
      </c>
      <c r="H901" s="4" t="str">
        <f>'BID 4 b'!B69</f>
        <v>Belanja Perlengkapan Barang Konsumsi</v>
      </c>
      <c r="I901" s="73">
        <f>SUM('BID 4 b'!F70)</f>
        <v>200000</v>
      </c>
      <c r="J901" s="4" t="s">
        <v>1410</v>
      </c>
      <c r="K901" s="4" t="s">
        <v>3596</v>
      </c>
      <c r="L901" s="73"/>
      <c r="M901" s="73"/>
      <c r="N901" s="73"/>
      <c r="O901" s="73"/>
      <c r="P901" s="73"/>
      <c r="Q901" s="73"/>
      <c r="R901" s="73">
        <v>200000</v>
      </c>
      <c r="S901" s="73"/>
      <c r="T901" s="73"/>
      <c r="U901" s="73"/>
      <c r="V901" s="73"/>
      <c r="W901" s="73"/>
      <c r="X901" s="1864">
        <f t="shared" si="30"/>
        <v>200000</v>
      </c>
      <c r="Y901" s="23">
        <f t="shared" si="29"/>
        <v>0</v>
      </c>
    </row>
    <row r="902" spans="1:25" ht="30" x14ac:dyDescent="0.25">
      <c r="A902" s="1"/>
      <c r="B902" s="1"/>
      <c r="C902" s="1"/>
      <c r="D902" s="1"/>
      <c r="E902" s="1"/>
      <c r="F902" s="1"/>
      <c r="G902" s="1489" t="s">
        <v>3393</v>
      </c>
      <c r="H902" s="1536" t="str">
        <f>'BID 4 b'!B72</f>
        <v>Belanja Bendera/ Umbul-umbul/ Spanduk</v>
      </c>
      <c r="I902" s="73">
        <f>'BID 4 b'!F73</f>
        <v>90000</v>
      </c>
      <c r="J902" s="4" t="s">
        <v>1410</v>
      </c>
      <c r="K902" s="4" t="s">
        <v>3596</v>
      </c>
      <c r="L902" s="73"/>
      <c r="M902" s="73"/>
      <c r="N902" s="73"/>
      <c r="O902" s="73"/>
      <c r="P902" s="73"/>
      <c r="Q902" s="73"/>
      <c r="R902" s="73">
        <v>90000</v>
      </c>
      <c r="S902" s="73"/>
      <c r="T902" s="73"/>
      <c r="U902" s="73"/>
      <c r="V902" s="73"/>
      <c r="W902" s="73"/>
      <c r="X902" s="1864">
        <f t="shared" si="30"/>
        <v>90000</v>
      </c>
      <c r="Y902" s="23">
        <f t="shared" si="29"/>
        <v>0</v>
      </c>
    </row>
    <row r="903" spans="1:25" ht="30" x14ac:dyDescent="0.25">
      <c r="A903" s="1"/>
      <c r="B903" s="1"/>
      <c r="C903" s="1"/>
      <c r="D903" s="1"/>
      <c r="E903" s="1"/>
      <c r="F903" s="1"/>
      <c r="G903" s="1">
        <v>90</v>
      </c>
      <c r="H903" s="4" t="str">
        <f>'BID 4 b'!B75</f>
        <v>Belanja Upakara, Upacara dan Aci</v>
      </c>
      <c r="I903" s="73">
        <f>SUM('BID 4 b'!F76:F78)</f>
        <v>75000</v>
      </c>
      <c r="J903" s="4" t="s">
        <v>1410</v>
      </c>
      <c r="K903" s="4" t="s">
        <v>3596</v>
      </c>
      <c r="L903" s="73"/>
      <c r="M903" s="73"/>
      <c r="N903" s="73"/>
      <c r="O903" s="73"/>
      <c r="P903" s="73"/>
      <c r="Q903" s="73"/>
      <c r="R903" s="73">
        <v>75000</v>
      </c>
      <c r="S903" s="73"/>
      <c r="T903" s="73"/>
      <c r="U903" s="73"/>
      <c r="V903" s="73"/>
      <c r="W903" s="73"/>
      <c r="X903" s="1864">
        <f t="shared" si="30"/>
        <v>75000</v>
      </c>
      <c r="Y903" s="23">
        <f t="shared" si="29"/>
        <v>0</v>
      </c>
    </row>
    <row r="904" spans="1:25" x14ac:dyDescent="0.25">
      <c r="A904" s="1"/>
      <c r="B904" s="1"/>
      <c r="C904" s="1"/>
      <c r="D904" s="1">
        <v>5</v>
      </c>
      <c r="E904" s="1">
        <v>2</v>
      </c>
      <c r="F904" s="1">
        <v>2</v>
      </c>
      <c r="G904" s="1"/>
      <c r="H904" s="1" t="str">
        <f>'BID 4 b'!B80</f>
        <v>Belanja Jasa Honorarium</v>
      </c>
      <c r="I904" s="73"/>
      <c r="J904" s="4"/>
      <c r="K904" s="4" t="s">
        <v>3596</v>
      </c>
      <c r="L904" s="73"/>
      <c r="M904" s="73"/>
      <c r="N904" s="73"/>
      <c r="O904" s="73"/>
      <c r="P904" s="73"/>
      <c r="Q904" s="73"/>
      <c r="R904" s="73"/>
      <c r="S904" s="73"/>
      <c r="T904" s="73"/>
      <c r="U904" s="73"/>
      <c r="V904" s="73"/>
      <c r="W904" s="73"/>
      <c r="X904" s="1864">
        <f t="shared" si="30"/>
        <v>0</v>
      </c>
      <c r="Y904" s="23">
        <f t="shared" si="29"/>
        <v>0</v>
      </c>
    </row>
    <row r="905" spans="1:25" ht="30" x14ac:dyDescent="0.25">
      <c r="A905" s="1"/>
      <c r="B905" s="1"/>
      <c r="C905" s="1"/>
      <c r="D905" s="1"/>
      <c r="E905" s="1"/>
      <c r="F905" s="1"/>
      <c r="G905" s="1489" t="s">
        <v>3366</v>
      </c>
      <c r="H905" s="4" t="str">
        <f>'BID 4 b'!B81</f>
        <v>Belanja Jasa Honorarium Tim Yang Melaksanakan Kegiatan</v>
      </c>
      <c r="I905" s="73">
        <f>SUM('BID 4 b'!F82:F84)</f>
        <v>1150000</v>
      </c>
      <c r="J905" s="4" t="s">
        <v>1410</v>
      </c>
      <c r="K905" s="4" t="s">
        <v>3596</v>
      </c>
      <c r="L905" s="73"/>
      <c r="M905" s="73"/>
      <c r="N905" s="73"/>
      <c r="O905" s="73"/>
      <c r="P905" s="73"/>
      <c r="Q905" s="73"/>
      <c r="R905" s="73">
        <v>1150000</v>
      </c>
      <c r="S905" s="73"/>
      <c r="T905" s="73"/>
      <c r="U905" s="73"/>
      <c r="V905" s="73"/>
      <c r="W905" s="73"/>
      <c r="X905" s="1864">
        <f t="shared" si="30"/>
        <v>1150000</v>
      </c>
      <c r="Y905" s="23">
        <f t="shared" si="29"/>
        <v>0</v>
      </c>
    </row>
    <row r="906" spans="1:25" ht="45" x14ac:dyDescent="0.25">
      <c r="A906" s="1"/>
      <c r="B906" s="1"/>
      <c r="C906" s="1"/>
      <c r="D906" s="1"/>
      <c r="E906" s="1"/>
      <c r="F906" s="1"/>
      <c r="G906" s="1489" t="s">
        <v>3389</v>
      </c>
      <c r="H906" s="4" t="str">
        <f>'BID 4 b'!B86</f>
        <v>Belanja Jasa Honorarium Ahli/Profesi/Konsultan/Narasumber</v>
      </c>
      <c r="I906" s="73">
        <f>'BID 4 b'!F87</f>
        <v>600000</v>
      </c>
      <c r="J906" s="4" t="s">
        <v>1410</v>
      </c>
      <c r="K906" s="4" t="s">
        <v>3596</v>
      </c>
      <c r="L906" s="73"/>
      <c r="M906" s="73"/>
      <c r="N906" s="73"/>
      <c r="O906" s="73"/>
      <c r="P906" s="73"/>
      <c r="Q906" s="73"/>
      <c r="R906" s="73">
        <v>600000</v>
      </c>
      <c r="S906" s="73"/>
      <c r="T906" s="73"/>
      <c r="U906" s="73"/>
      <c r="V906" s="73"/>
      <c r="W906" s="73"/>
      <c r="X906" s="1864">
        <f t="shared" si="30"/>
        <v>600000</v>
      </c>
      <c r="Y906" s="23">
        <f t="shared" si="29"/>
        <v>0</v>
      </c>
    </row>
    <row r="907" spans="1:25" ht="45" x14ac:dyDescent="0.25">
      <c r="A907" s="1"/>
      <c r="B907" s="1"/>
      <c r="C907" s="1"/>
      <c r="D907" s="1">
        <v>5</v>
      </c>
      <c r="E907" s="1">
        <v>2</v>
      </c>
      <c r="F907" s="1">
        <v>7</v>
      </c>
      <c r="G907" s="1"/>
      <c r="H907" s="4" t="str">
        <f>'BID 4 b'!B89</f>
        <v>Belanja Barang Dan jasa Yang Diserahkan Kepada Masyarakat</v>
      </c>
      <c r="I907" s="73"/>
      <c r="J907" s="4"/>
      <c r="K907" s="4" t="s">
        <v>3596</v>
      </c>
      <c r="L907" s="73"/>
      <c r="M907" s="73"/>
      <c r="N907" s="73"/>
      <c r="O907" s="73"/>
      <c r="P907" s="73"/>
      <c r="Q907" s="73"/>
      <c r="R907" s="73"/>
      <c r="S907" s="73"/>
      <c r="T907" s="73"/>
      <c r="U907" s="73"/>
      <c r="V907" s="73"/>
      <c r="W907" s="73"/>
      <c r="X907" s="1864">
        <f t="shared" si="30"/>
        <v>0</v>
      </c>
      <c r="Y907" s="23">
        <f t="shared" si="29"/>
        <v>0</v>
      </c>
    </row>
    <row r="908" spans="1:25" ht="45" x14ac:dyDescent="0.25">
      <c r="A908" s="1"/>
      <c r="B908" s="1"/>
      <c r="C908" s="1"/>
      <c r="D908" s="1"/>
      <c r="E908" s="1"/>
      <c r="F908" s="1"/>
      <c r="G908" s="1489" t="s">
        <v>3366</v>
      </c>
      <c r="H908" s="4" t="str">
        <f>'BID 4 b'!B90</f>
        <v>Belanja Bahan Perlengkapan Yang Diserahkan Ke Masyarakat</v>
      </c>
      <c r="I908" s="73">
        <f>SUM('BID 4 b'!F91:F100)</f>
        <v>30306000</v>
      </c>
      <c r="J908" s="4" t="s">
        <v>1410</v>
      </c>
      <c r="K908" s="4" t="s">
        <v>3596</v>
      </c>
      <c r="L908" s="73"/>
      <c r="M908" s="73"/>
      <c r="N908" s="73"/>
      <c r="O908" s="73"/>
      <c r="P908" s="73"/>
      <c r="Q908" s="73"/>
      <c r="R908" s="73">
        <v>30306000</v>
      </c>
      <c r="S908" s="73"/>
      <c r="T908" s="73"/>
      <c r="U908" s="73"/>
      <c r="V908" s="73"/>
      <c r="W908" s="73"/>
      <c r="X908" s="1864">
        <f t="shared" si="30"/>
        <v>30306000</v>
      </c>
      <c r="Y908" s="23">
        <f t="shared" si="29"/>
        <v>0</v>
      </c>
    </row>
    <row r="909" spans="1:25" ht="60.6" customHeight="1" x14ac:dyDescent="0.25">
      <c r="A909" s="865">
        <v>4</v>
      </c>
      <c r="B909" s="865">
        <v>2</v>
      </c>
      <c r="C909" s="1490" t="s">
        <v>3388</v>
      </c>
      <c r="D909" s="865"/>
      <c r="E909" s="865"/>
      <c r="F909" s="865"/>
      <c r="G909" s="865"/>
      <c r="H909" s="1061" t="str">
        <f>'BID 4 b'!B271</f>
        <v>: Penguatan Ketahanan Pangan Tingkat Desa (Penanaman Cabe, Terong dan Tomat)</v>
      </c>
      <c r="I909" s="1063">
        <f>SUM(I910:I919)</f>
        <v>28606000</v>
      </c>
      <c r="J909" s="1414" t="s">
        <v>1410</v>
      </c>
      <c r="K909" s="1061" t="s">
        <v>3596</v>
      </c>
      <c r="L909" s="1063"/>
      <c r="M909" s="1063"/>
      <c r="N909" s="1063"/>
      <c r="O909" s="1063"/>
      <c r="P909" s="1063"/>
      <c r="Q909" s="1063"/>
      <c r="R909" s="1063"/>
      <c r="S909" s="1063"/>
      <c r="T909" s="1063"/>
      <c r="U909" s="1063"/>
      <c r="V909" s="1063"/>
      <c r="W909" s="1063"/>
      <c r="X909" s="1866">
        <f t="shared" si="30"/>
        <v>0</v>
      </c>
      <c r="Y909" s="23">
        <f t="shared" si="29"/>
        <v>-28606000</v>
      </c>
    </row>
    <row r="910" spans="1:25" x14ac:dyDescent="0.25">
      <c r="A910" s="1"/>
      <c r="B910" s="1"/>
      <c r="C910" s="1"/>
      <c r="D910" s="1">
        <v>5</v>
      </c>
      <c r="E910" s="1">
        <v>2</v>
      </c>
      <c r="F910" s="1"/>
      <c r="G910" s="1"/>
      <c r="H910" s="4" t="str">
        <f>'BID 4 b'!B278</f>
        <v>Belanja Barang Dan Jasa</v>
      </c>
      <c r="I910" s="73"/>
      <c r="J910" s="1"/>
      <c r="K910" s="4" t="s">
        <v>3596</v>
      </c>
      <c r="L910" s="73"/>
      <c r="M910" s="73"/>
      <c r="N910" s="73"/>
      <c r="O910" s="73"/>
      <c r="P910" s="73"/>
      <c r="Q910" s="73"/>
      <c r="R910" s="73"/>
      <c r="S910" s="73"/>
      <c r="T910" s="73"/>
      <c r="U910" s="73"/>
      <c r="V910" s="73"/>
      <c r="W910" s="73"/>
      <c r="X910" s="1864">
        <f t="shared" si="30"/>
        <v>0</v>
      </c>
      <c r="Y910" s="23">
        <f t="shared" si="29"/>
        <v>0</v>
      </c>
    </row>
    <row r="911" spans="1:25" ht="30" x14ac:dyDescent="0.25">
      <c r="A911" s="1"/>
      <c r="B911" s="1"/>
      <c r="C911" s="1"/>
      <c r="D911" s="1"/>
      <c r="E911" s="1"/>
      <c r="F911" s="1">
        <v>1</v>
      </c>
      <c r="G911" s="1"/>
      <c r="H911" s="4" t="str">
        <f>'BID 4 b'!B279</f>
        <v>Belanja Barang Perlengkapan</v>
      </c>
      <c r="I911" s="73"/>
      <c r="J911" s="1"/>
      <c r="K911" s="4" t="s">
        <v>3596</v>
      </c>
      <c r="L911" s="73"/>
      <c r="M911" s="73"/>
      <c r="N911" s="73"/>
      <c r="O911" s="73"/>
      <c r="P911" s="73"/>
      <c r="Q911" s="73"/>
      <c r="R911" s="73"/>
      <c r="S911" s="73"/>
      <c r="T911" s="73"/>
      <c r="U911" s="73"/>
      <c r="V911" s="73"/>
      <c r="W911" s="73"/>
      <c r="X911" s="1864">
        <f t="shared" si="30"/>
        <v>0</v>
      </c>
      <c r="Y911" s="23">
        <f t="shared" si="29"/>
        <v>0</v>
      </c>
    </row>
    <row r="912" spans="1:25" ht="30" x14ac:dyDescent="0.25">
      <c r="A912" s="1"/>
      <c r="B912" s="1"/>
      <c r="C912" s="1"/>
      <c r="D912" s="1"/>
      <c r="E912" s="1"/>
      <c r="F912" s="1"/>
      <c r="G912" s="1489" t="s">
        <v>3391</v>
      </c>
      <c r="H912" s="4" t="str">
        <f>'BID 4 b'!B280</f>
        <v>Belanja Perlengkapan Barang Konsumsi</v>
      </c>
      <c r="I912" s="73">
        <f>'BID 4 b'!F281</f>
        <v>700000</v>
      </c>
      <c r="J912" s="1" t="s">
        <v>1410</v>
      </c>
      <c r="K912" s="4" t="s">
        <v>3596</v>
      </c>
      <c r="L912" s="73"/>
      <c r="M912" s="73"/>
      <c r="N912" s="73"/>
      <c r="O912" s="73"/>
      <c r="P912" s="73"/>
      <c r="Q912" s="73"/>
      <c r="R912" s="73"/>
      <c r="S912" s="73">
        <v>700000</v>
      </c>
      <c r="T912" s="73"/>
      <c r="U912" s="73"/>
      <c r="V912" s="73"/>
      <c r="W912" s="73"/>
      <c r="X912" s="1864">
        <f t="shared" si="30"/>
        <v>700000</v>
      </c>
      <c r="Y912" s="23">
        <f t="shared" si="29"/>
        <v>0</v>
      </c>
    </row>
    <row r="913" spans="1:25" ht="30" x14ac:dyDescent="0.25">
      <c r="A913" s="1"/>
      <c r="B913" s="1"/>
      <c r="C913" s="1"/>
      <c r="D913" s="1"/>
      <c r="E913" s="1"/>
      <c r="F913" s="1"/>
      <c r="G913" s="1489" t="s">
        <v>3393</v>
      </c>
      <c r="H913" s="4" t="str">
        <f>'BID 4 b'!B283</f>
        <v>Belanja Bendera/ Umbul-umbul/ Spanduk</v>
      </c>
      <c r="I913" s="73">
        <f>'BID 4 b'!F284</f>
        <v>90000</v>
      </c>
      <c r="J913" s="1" t="s">
        <v>1410</v>
      </c>
      <c r="K913" s="4" t="s">
        <v>3596</v>
      </c>
      <c r="L913" s="73"/>
      <c r="M913" s="73"/>
      <c r="N913" s="73"/>
      <c r="O913" s="73"/>
      <c r="P913" s="73"/>
      <c r="Q913" s="73"/>
      <c r="R913" s="73"/>
      <c r="S913" s="73">
        <v>90000</v>
      </c>
      <c r="T913" s="73"/>
      <c r="U913" s="73"/>
      <c r="V913" s="73"/>
      <c r="W913" s="73"/>
      <c r="X913" s="1864">
        <f t="shared" si="30"/>
        <v>90000</v>
      </c>
      <c r="Y913" s="23">
        <f t="shared" si="29"/>
        <v>0</v>
      </c>
    </row>
    <row r="914" spans="1:25" x14ac:dyDescent="0.25">
      <c r="A914" s="1"/>
      <c r="B914" s="1"/>
      <c r="C914" s="1"/>
      <c r="D914" s="1"/>
      <c r="E914" s="1"/>
      <c r="F914" s="1"/>
      <c r="G914" s="1">
        <v>90</v>
      </c>
      <c r="H914" s="1" t="str">
        <f>'BID 4 b'!B286</f>
        <v>Belanja Bahan/Material</v>
      </c>
      <c r="I914" s="73">
        <f>SUM('BID 4 b'!F287:F289)</f>
        <v>65000</v>
      </c>
      <c r="J914" s="1" t="s">
        <v>1410</v>
      </c>
      <c r="K914" s="4" t="s">
        <v>3596</v>
      </c>
      <c r="L914" s="73"/>
      <c r="M914" s="73"/>
      <c r="N914" s="73"/>
      <c r="O914" s="73"/>
      <c r="P914" s="73"/>
      <c r="Q914" s="73"/>
      <c r="R914" s="73"/>
      <c r="S914" s="73">
        <v>65000</v>
      </c>
      <c r="T914" s="73"/>
      <c r="U914" s="73"/>
      <c r="V914" s="73"/>
      <c r="W914" s="73"/>
      <c r="X914" s="1864">
        <f t="shared" si="30"/>
        <v>65000</v>
      </c>
      <c r="Y914" s="23">
        <f t="shared" si="29"/>
        <v>0</v>
      </c>
    </row>
    <row r="915" spans="1:25" x14ac:dyDescent="0.25">
      <c r="A915" s="1"/>
      <c r="B915" s="1"/>
      <c r="C915" s="1"/>
      <c r="D915" s="1">
        <v>5</v>
      </c>
      <c r="E915" s="1">
        <v>2</v>
      </c>
      <c r="F915" s="1">
        <v>2</v>
      </c>
      <c r="G915" s="1"/>
      <c r="H915" s="4" t="str">
        <f>'BID 4 b'!B291</f>
        <v>Belanja Jasa Honorarium</v>
      </c>
      <c r="I915" s="73"/>
      <c r="J915" s="1"/>
      <c r="K915" s="4" t="s">
        <v>3596</v>
      </c>
      <c r="L915" s="73"/>
      <c r="M915" s="73"/>
      <c r="N915" s="73"/>
      <c r="O915" s="73"/>
      <c r="P915" s="73"/>
      <c r="Q915" s="73"/>
      <c r="R915" s="73"/>
      <c r="S915" s="73"/>
      <c r="T915" s="73"/>
      <c r="U915" s="73"/>
      <c r="V915" s="73"/>
      <c r="W915" s="73"/>
      <c r="X915" s="1864">
        <f t="shared" si="30"/>
        <v>0</v>
      </c>
      <c r="Y915" s="23">
        <f t="shared" si="29"/>
        <v>0</v>
      </c>
    </row>
    <row r="916" spans="1:25" ht="30" x14ac:dyDescent="0.25">
      <c r="A916" s="1"/>
      <c r="B916" s="1"/>
      <c r="C916" s="1"/>
      <c r="D916" s="1"/>
      <c r="E916" s="1"/>
      <c r="F916" s="1"/>
      <c r="G916" s="1489" t="s">
        <v>3366</v>
      </c>
      <c r="H916" s="4" t="str">
        <f>'BID 4 b'!B292</f>
        <v>Belanja Jasa Honorarium Tim Yang Melaksanakan Kegiatan</v>
      </c>
      <c r="I916" s="98">
        <f>SUM('BID 4 b'!F293:F295)</f>
        <v>1150000</v>
      </c>
      <c r="J916" s="1" t="s">
        <v>1410</v>
      </c>
      <c r="K916" s="4" t="s">
        <v>3596</v>
      </c>
      <c r="L916" s="73"/>
      <c r="M916" s="73"/>
      <c r="N916" s="73"/>
      <c r="O916" s="73"/>
      <c r="P916" s="73"/>
      <c r="Q916" s="73"/>
      <c r="R916" s="73"/>
      <c r="S916" s="73">
        <v>1150000</v>
      </c>
      <c r="T916" s="73"/>
      <c r="U916" s="73"/>
      <c r="V916" s="73"/>
      <c r="W916" s="73"/>
      <c r="X916" s="1864">
        <f t="shared" si="30"/>
        <v>1150000</v>
      </c>
      <c r="Y916" s="23">
        <f t="shared" si="29"/>
        <v>0</v>
      </c>
    </row>
    <row r="917" spans="1:25" ht="30" x14ac:dyDescent="0.25">
      <c r="A917" s="1"/>
      <c r="B917" s="1"/>
      <c r="C917" s="1"/>
      <c r="D917" s="1"/>
      <c r="E917" s="1"/>
      <c r="F917" s="1"/>
      <c r="G917" s="1489" t="s">
        <v>3389</v>
      </c>
      <c r="H917" s="4" t="str">
        <f>'BID 4 b'!B297</f>
        <v>Honorarium Narasumber/ Instruktur</v>
      </c>
      <c r="I917" s="73">
        <f>'BID 4 b'!F297</f>
        <v>600000</v>
      </c>
      <c r="J917" s="1" t="s">
        <v>1410</v>
      </c>
      <c r="K917" s="4" t="s">
        <v>3596</v>
      </c>
      <c r="L917" s="73"/>
      <c r="M917" s="73"/>
      <c r="N917" s="73"/>
      <c r="O917" s="73"/>
      <c r="P917" s="73"/>
      <c r="Q917" s="73"/>
      <c r="R917" s="73"/>
      <c r="S917" s="73">
        <v>600000</v>
      </c>
      <c r="T917" s="73"/>
      <c r="U917" s="73"/>
      <c r="V917" s="73"/>
      <c r="W917" s="73"/>
      <c r="X917" s="1864">
        <f t="shared" si="30"/>
        <v>600000</v>
      </c>
      <c r="Y917" s="23">
        <f t="shared" si="29"/>
        <v>0</v>
      </c>
    </row>
    <row r="918" spans="1:25" ht="45" x14ac:dyDescent="0.25">
      <c r="A918" s="1"/>
      <c r="B918" s="1"/>
      <c r="C918" s="1"/>
      <c r="D918" s="1">
        <v>5</v>
      </c>
      <c r="E918" s="1">
        <v>2</v>
      </c>
      <c r="F918" s="1">
        <v>7</v>
      </c>
      <c r="G918" s="1"/>
      <c r="H918" s="4" t="str">
        <f>'BID 4 b'!B298</f>
        <v>Belanja Barang Perlengkapan diserahkan Kepada Masyarakat</v>
      </c>
      <c r="I918" s="73"/>
      <c r="J918" s="1"/>
      <c r="K918" s="4" t="s">
        <v>3596</v>
      </c>
      <c r="L918" s="73"/>
      <c r="M918" s="73"/>
      <c r="N918" s="73"/>
      <c r="O918" s="73"/>
      <c r="P918" s="73"/>
      <c r="Q918" s="73"/>
      <c r="R918" s="73"/>
      <c r="S918" s="73"/>
      <c r="T918" s="73"/>
      <c r="U918" s="73"/>
      <c r="V918" s="73"/>
      <c r="W918" s="73"/>
      <c r="X918" s="1864">
        <f t="shared" si="30"/>
        <v>0</v>
      </c>
      <c r="Y918" s="23">
        <f t="shared" si="29"/>
        <v>0</v>
      </c>
    </row>
    <row r="919" spans="1:25" ht="45" x14ac:dyDescent="0.25">
      <c r="A919" s="1"/>
      <c r="B919" s="1"/>
      <c r="C919" s="1"/>
      <c r="D919" s="1"/>
      <c r="E919" s="1"/>
      <c r="F919" s="1"/>
      <c r="G919" s="1489" t="s">
        <v>3366</v>
      </c>
      <c r="H919" s="4" t="str">
        <f>'BID 4 b'!B299</f>
        <v>Belanja Bahan Perlengkapan Yang Diserahkan Ke Masyarakat</v>
      </c>
      <c r="I919" s="73">
        <f>SUM('BID 4 b'!F300:F307)</f>
        <v>26001000</v>
      </c>
      <c r="J919" s="1" t="s">
        <v>1410</v>
      </c>
      <c r="K919" s="4" t="s">
        <v>3596</v>
      </c>
      <c r="L919" s="73"/>
      <c r="M919" s="73"/>
      <c r="N919" s="73"/>
      <c r="O919" s="73"/>
      <c r="P919" s="73"/>
      <c r="Q919" s="73"/>
      <c r="R919" s="73"/>
      <c r="S919" s="73">
        <v>26001000</v>
      </c>
      <c r="T919" s="73"/>
      <c r="U919" s="73"/>
      <c r="V919" s="73"/>
      <c r="W919" s="73"/>
      <c r="X919" s="1864">
        <f t="shared" si="30"/>
        <v>26001000</v>
      </c>
      <c r="Y919" s="23">
        <f t="shared" si="29"/>
        <v>0</v>
      </c>
    </row>
    <row r="920" spans="1:25" ht="33" customHeight="1" x14ac:dyDescent="0.25">
      <c r="A920" s="865">
        <v>4</v>
      </c>
      <c r="B920" s="865">
        <v>2</v>
      </c>
      <c r="C920" s="1490" t="s">
        <v>3389</v>
      </c>
      <c r="D920" s="865"/>
      <c r="E920" s="865"/>
      <c r="F920" s="865"/>
      <c r="G920" s="1490"/>
      <c r="H920" s="1061" t="str">
        <f>'BID 4 b'!B377</f>
        <v>: Perbaikan Saluran Cacing Subak Taman, Munduk Njung</v>
      </c>
      <c r="I920" s="1063">
        <f>SUM(I921:I925)</f>
        <v>174923495</v>
      </c>
      <c r="J920" s="865" t="s">
        <v>1220</v>
      </c>
      <c r="K920" s="1061" t="s">
        <v>3596</v>
      </c>
      <c r="L920" s="1063"/>
      <c r="M920" s="1063"/>
      <c r="N920" s="1063"/>
      <c r="O920" s="1063"/>
      <c r="P920" s="1063"/>
      <c r="Q920" s="1063"/>
      <c r="R920" s="1063"/>
      <c r="S920" s="1063"/>
      <c r="T920" s="1063"/>
      <c r="U920" s="1063"/>
      <c r="V920" s="1063"/>
      <c r="W920" s="1063"/>
      <c r="X920" s="1866">
        <f t="shared" si="30"/>
        <v>0</v>
      </c>
      <c r="Y920" s="23">
        <f t="shared" si="29"/>
        <v>-174923495</v>
      </c>
    </row>
    <row r="921" spans="1:25" x14ac:dyDescent="0.25">
      <c r="A921" s="1"/>
      <c r="B921" s="1"/>
      <c r="C921" s="1"/>
      <c r="D921" s="1">
        <v>5</v>
      </c>
      <c r="E921" s="1">
        <v>3</v>
      </c>
      <c r="F921" s="1"/>
      <c r="G921" s="1489"/>
      <c r="H921" s="4" t="str">
        <f>'BID 4 b'!B384</f>
        <v xml:space="preserve">Belanja Modal </v>
      </c>
      <c r="I921" s="73"/>
      <c r="J921" s="1"/>
      <c r="K921" s="4" t="s">
        <v>3596</v>
      </c>
      <c r="L921" s="73"/>
      <c r="M921" s="73"/>
      <c r="N921" s="73"/>
      <c r="O921" s="73"/>
      <c r="P921" s="73"/>
      <c r="Q921" s="73"/>
      <c r="R921" s="73"/>
      <c r="S921" s="73"/>
      <c r="T921" s="73"/>
      <c r="U921" s="73"/>
      <c r="V921" s="73"/>
      <c r="W921" s="73"/>
      <c r="X921" s="1864">
        <f t="shared" si="30"/>
        <v>0</v>
      </c>
      <c r="Y921" s="23">
        <f t="shared" si="29"/>
        <v>0</v>
      </c>
    </row>
    <row r="922" spans="1:25" x14ac:dyDescent="0.25">
      <c r="A922" s="1"/>
      <c r="B922" s="1"/>
      <c r="C922" s="1"/>
      <c r="D922" s="1"/>
      <c r="E922" s="1"/>
      <c r="F922" s="1">
        <v>7</v>
      </c>
      <c r="G922" s="1489"/>
      <c r="H922" s="4" t="str">
        <f>'BID 4 b'!B385</f>
        <v>Belanja Modal Jalan</v>
      </c>
      <c r="I922" s="73"/>
      <c r="J922" s="1"/>
      <c r="K922" s="4" t="s">
        <v>3596</v>
      </c>
      <c r="L922" s="73"/>
      <c r="M922" s="73"/>
      <c r="N922" s="73"/>
      <c r="O922" s="73"/>
      <c r="P922" s="73"/>
      <c r="Q922" s="73"/>
      <c r="R922" s="73"/>
      <c r="S922" s="73"/>
      <c r="T922" s="73"/>
      <c r="U922" s="73"/>
      <c r="V922" s="73"/>
      <c r="W922" s="73"/>
      <c r="X922" s="1864">
        <f t="shared" si="30"/>
        <v>0</v>
      </c>
      <c r="Y922" s="23">
        <f t="shared" si="29"/>
        <v>0</v>
      </c>
    </row>
    <row r="923" spans="1:25" ht="30" x14ac:dyDescent="0.25">
      <c r="A923" s="1"/>
      <c r="B923" s="1"/>
      <c r="C923" s="1"/>
      <c r="D923" s="1"/>
      <c r="E923" s="1"/>
      <c r="F923" s="1"/>
      <c r="G923" s="1489" t="s">
        <v>3366</v>
      </c>
      <c r="H923" s="4" t="str">
        <f>'BID 4 b'!B386</f>
        <v>Honorarium Tim Yang Melaksanakan Kegiatan</v>
      </c>
      <c r="I923" s="73">
        <f>'BID 4 b'!F388</f>
        <v>3400000</v>
      </c>
      <c r="J923" s="1" t="s">
        <v>1220</v>
      </c>
      <c r="K923" s="4" t="s">
        <v>3596</v>
      </c>
      <c r="L923" s="73"/>
      <c r="M923" s="73"/>
      <c r="N923" s="73"/>
      <c r="O923" s="73"/>
      <c r="P923" s="73"/>
      <c r="Q923" s="73"/>
      <c r="R923" s="73"/>
      <c r="S923" s="73"/>
      <c r="T923" s="73"/>
      <c r="U923" s="73">
        <v>3400000</v>
      </c>
      <c r="V923" s="73"/>
      <c r="W923" s="73"/>
      <c r="X923" s="1864">
        <f t="shared" si="30"/>
        <v>3400000</v>
      </c>
      <c r="Y923" s="23">
        <f t="shared" si="29"/>
        <v>0</v>
      </c>
    </row>
    <row r="924" spans="1:25" x14ac:dyDescent="0.25">
      <c r="A924" s="1"/>
      <c r="B924" s="1"/>
      <c r="C924" s="1"/>
      <c r="D924" s="1"/>
      <c r="E924" s="1"/>
      <c r="F924" s="1"/>
      <c r="G924" s="1489" t="s">
        <v>3386</v>
      </c>
      <c r="H924" s="4" t="str">
        <f>'BID 4 b'!B389</f>
        <v>Belanja Upah</v>
      </c>
      <c r="I924" s="73">
        <f>'BID 4 b'!F393</f>
        <v>56100000</v>
      </c>
      <c r="J924" s="1" t="s">
        <v>1220</v>
      </c>
      <c r="K924" s="4" t="s">
        <v>3596</v>
      </c>
      <c r="L924" s="73"/>
      <c r="M924" s="73"/>
      <c r="N924" s="73"/>
      <c r="O924" s="73"/>
      <c r="P924" s="73"/>
      <c r="Q924" s="73"/>
      <c r="R924" s="73"/>
      <c r="S924" s="73"/>
      <c r="T924" s="73">
        <v>42596624</v>
      </c>
      <c r="U924" s="73">
        <v>13503376</v>
      </c>
      <c r="V924" s="73"/>
      <c r="W924" s="73"/>
      <c r="X924" s="1864">
        <f t="shared" si="30"/>
        <v>56100000</v>
      </c>
      <c r="Y924" s="23">
        <f t="shared" si="29"/>
        <v>0</v>
      </c>
    </row>
    <row r="925" spans="1:25" x14ac:dyDescent="0.25">
      <c r="A925" s="1"/>
      <c r="B925" s="1"/>
      <c r="C925" s="1"/>
      <c r="D925" s="1"/>
      <c r="E925" s="1"/>
      <c r="F925" s="1"/>
      <c r="G925" s="1489" t="s">
        <v>3388</v>
      </c>
      <c r="H925" s="4" t="str">
        <f>'BID 4 b'!B394</f>
        <v>Bahan Baku</v>
      </c>
      <c r="I925" s="73">
        <f>'BID 4 b'!F407</f>
        <v>115423495.00000001</v>
      </c>
      <c r="J925" s="1" t="s">
        <v>1220</v>
      </c>
      <c r="K925" s="4" t="s">
        <v>3596</v>
      </c>
      <c r="L925" s="73"/>
      <c r="M925" s="73"/>
      <c r="N925" s="73"/>
      <c r="O925" s="73"/>
      <c r="P925" s="73"/>
      <c r="Q925" s="73"/>
      <c r="R925" s="73"/>
      <c r="S925" s="73">
        <v>59730247</v>
      </c>
      <c r="T925" s="73">
        <v>20000000</v>
      </c>
      <c r="U925" s="73">
        <v>35693248</v>
      </c>
      <c r="V925" s="73"/>
      <c r="W925" s="73"/>
      <c r="X925" s="1864">
        <f t="shared" si="30"/>
        <v>115423495</v>
      </c>
      <c r="Y925" s="23">
        <f t="shared" si="29"/>
        <v>0</v>
      </c>
    </row>
    <row r="926" spans="1:25" ht="49.9" customHeight="1" x14ac:dyDescent="0.25">
      <c r="A926" s="865">
        <v>4</v>
      </c>
      <c r="B926" s="865">
        <v>3</v>
      </c>
      <c r="C926" s="1490" t="s">
        <v>3386</v>
      </c>
      <c r="D926" s="865"/>
      <c r="E926" s="865"/>
      <c r="F926" s="865"/>
      <c r="G926" s="865"/>
      <c r="H926" s="1061" t="str">
        <f>'BID 4 b'!B938</f>
        <v>: Pelatihan Tim Verifikasi dan penyusunan RKP ( Pelatihan Penysunan RKPDes)</v>
      </c>
      <c r="I926" s="1063">
        <f>SUM(I927:I933)</f>
        <v>1380000</v>
      </c>
      <c r="J926" s="865" t="s">
        <v>1506</v>
      </c>
      <c r="K926" s="1061" t="s">
        <v>3597</v>
      </c>
      <c r="L926" s="1063"/>
      <c r="M926" s="1063"/>
      <c r="N926" s="1063"/>
      <c r="O926" s="1063"/>
      <c r="P926" s="1063"/>
      <c r="Q926" s="1063"/>
      <c r="R926" s="1063"/>
      <c r="S926" s="1063"/>
      <c r="T926" s="1063"/>
      <c r="U926" s="1063"/>
      <c r="V926" s="1063"/>
      <c r="W926" s="1063"/>
      <c r="X926" s="1866">
        <f t="shared" si="30"/>
        <v>0</v>
      </c>
      <c r="Y926" s="23">
        <f t="shared" si="29"/>
        <v>-1380000</v>
      </c>
    </row>
    <row r="927" spans="1:25" x14ac:dyDescent="0.25">
      <c r="A927" s="1"/>
      <c r="B927" s="1"/>
      <c r="C927" s="1"/>
      <c r="D927" s="1">
        <v>5</v>
      </c>
      <c r="E927" s="1">
        <v>2</v>
      </c>
      <c r="F927" s="1"/>
      <c r="G927" s="1"/>
      <c r="H927" s="1" t="str">
        <f>'BID 4 b'!B944</f>
        <v>Belanja Barang dan Jasa</v>
      </c>
      <c r="I927" s="73"/>
      <c r="J927" s="1"/>
      <c r="K927" s="4" t="s">
        <v>3597</v>
      </c>
      <c r="L927" s="73"/>
      <c r="M927" s="73"/>
      <c r="N927" s="73"/>
      <c r="O927" s="73"/>
      <c r="P927" s="73"/>
      <c r="Q927" s="73"/>
      <c r="R927" s="73"/>
      <c r="S927" s="73"/>
      <c r="T927" s="73"/>
      <c r="U927" s="73"/>
      <c r="V927" s="73"/>
      <c r="W927" s="73"/>
      <c r="X927" s="1864">
        <f t="shared" si="30"/>
        <v>0</v>
      </c>
      <c r="Y927" s="23">
        <f t="shared" si="29"/>
        <v>0</v>
      </c>
    </row>
    <row r="928" spans="1:25" ht="30" x14ac:dyDescent="0.25">
      <c r="A928" s="1"/>
      <c r="B928" s="1"/>
      <c r="C928" s="1"/>
      <c r="D928" s="1"/>
      <c r="E928" s="1"/>
      <c r="F928" s="1">
        <v>1</v>
      </c>
      <c r="G928" s="1"/>
      <c r="H928" s="1533" t="str">
        <f>'BID 4 b'!B945</f>
        <v>Belanja Barang Perlengkapan</v>
      </c>
      <c r="I928" s="73"/>
      <c r="J928" s="1"/>
      <c r="K928" s="4" t="s">
        <v>3597</v>
      </c>
      <c r="L928" s="73"/>
      <c r="M928" s="73"/>
      <c r="N928" s="73"/>
      <c r="O928" s="73"/>
      <c r="P928" s="73"/>
      <c r="Q928" s="73"/>
      <c r="R928" s="73"/>
      <c r="S928" s="73"/>
      <c r="T928" s="73"/>
      <c r="U928" s="73"/>
      <c r="V928" s="73"/>
      <c r="W928" s="73"/>
      <c r="X928" s="1864">
        <f t="shared" si="30"/>
        <v>0</v>
      </c>
      <c r="Y928" s="23">
        <f t="shared" si="29"/>
        <v>0</v>
      </c>
    </row>
    <row r="929" spans="1:25" ht="30" x14ac:dyDescent="0.25">
      <c r="A929" s="1"/>
      <c r="B929" s="1"/>
      <c r="C929" s="1"/>
      <c r="D929" s="1"/>
      <c r="E929" s="1"/>
      <c r="F929" s="1"/>
      <c r="G929" s="1489" t="s">
        <v>3391</v>
      </c>
      <c r="H929" s="4" t="str">
        <f>'BID 4 b'!B946</f>
        <v>Belanja Perlengkapan Barang Konsumsi</v>
      </c>
      <c r="I929" s="73">
        <f>'BID 4 b'!F947</f>
        <v>640000</v>
      </c>
      <c r="J929" s="1" t="s">
        <v>1506</v>
      </c>
      <c r="K929" s="4" t="s">
        <v>3597</v>
      </c>
      <c r="L929" s="73"/>
      <c r="M929" s="73"/>
      <c r="N929" s="73"/>
      <c r="O929" s="73"/>
      <c r="P929" s="73"/>
      <c r="Q929" s="73"/>
      <c r="R929" s="73"/>
      <c r="S929" s="73"/>
      <c r="T929" s="73">
        <v>640000</v>
      </c>
      <c r="U929" s="73"/>
      <c r="V929" s="73"/>
      <c r="W929" s="73"/>
      <c r="X929" s="1864">
        <f t="shared" si="30"/>
        <v>640000</v>
      </c>
      <c r="Y929" s="23">
        <f t="shared" si="29"/>
        <v>0</v>
      </c>
    </row>
    <row r="930" spans="1:25" ht="30" x14ac:dyDescent="0.25">
      <c r="A930" s="1"/>
      <c r="B930" s="1"/>
      <c r="C930" s="1"/>
      <c r="D930" s="1"/>
      <c r="E930" s="1"/>
      <c r="F930" s="1"/>
      <c r="G930" s="1489" t="s">
        <v>3392</v>
      </c>
      <c r="H930" s="4" t="str">
        <f>'BID 4 b'!B949</f>
        <v>Belanja Bendera/ Umbul-umbul/ Spanduk</v>
      </c>
      <c r="I930" s="73">
        <f>'BID 4 b'!F950</f>
        <v>90000</v>
      </c>
      <c r="J930" s="1" t="s">
        <v>1506</v>
      </c>
      <c r="K930" s="4" t="s">
        <v>3597</v>
      </c>
      <c r="L930" s="73"/>
      <c r="M930" s="73"/>
      <c r="N930" s="73"/>
      <c r="O930" s="73"/>
      <c r="P930" s="73"/>
      <c r="Q930" s="73"/>
      <c r="R930" s="73"/>
      <c r="S930" s="73"/>
      <c r="T930" s="73">
        <v>90000</v>
      </c>
      <c r="U930" s="73"/>
      <c r="V930" s="73"/>
      <c r="W930" s="73"/>
      <c r="X930" s="1864">
        <f t="shared" si="30"/>
        <v>90000</v>
      </c>
      <c r="Y930" s="23">
        <f t="shared" si="29"/>
        <v>0</v>
      </c>
    </row>
    <row r="931" spans="1:25" ht="30" x14ac:dyDescent="0.25">
      <c r="A931" s="1"/>
      <c r="B931" s="1"/>
      <c r="C931" s="1"/>
      <c r="D931" s="1"/>
      <c r="E931" s="1"/>
      <c r="F931" s="1"/>
      <c r="G931" s="1489" t="s">
        <v>3393</v>
      </c>
      <c r="H931" s="4" t="str">
        <f>'BID 4 b'!B952</f>
        <v>Belanja Upakara, Upacara dan Aci</v>
      </c>
      <c r="I931" s="73">
        <f>'BID 4 b'!F953</f>
        <v>50000</v>
      </c>
      <c r="J931" s="1" t="s">
        <v>1506</v>
      </c>
      <c r="K931" s="4" t="s">
        <v>3597</v>
      </c>
      <c r="L931" s="73"/>
      <c r="M931" s="73"/>
      <c r="N931" s="73"/>
      <c r="O931" s="73"/>
      <c r="P931" s="73"/>
      <c r="Q931" s="73"/>
      <c r="R931" s="73"/>
      <c r="S931" s="73"/>
      <c r="T931" s="73">
        <v>50000</v>
      </c>
      <c r="U931" s="73"/>
      <c r="V931" s="73"/>
      <c r="W931" s="73"/>
      <c r="X931" s="1864">
        <f t="shared" si="30"/>
        <v>50000</v>
      </c>
      <c r="Y931" s="23">
        <f t="shared" si="29"/>
        <v>0</v>
      </c>
    </row>
    <row r="932" spans="1:25" x14ac:dyDescent="0.25">
      <c r="A932" s="1"/>
      <c r="B932" s="1"/>
      <c r="C932" s="1"/>
      <c r="D932" s="1">
        <v>5</v>
      </c>
      <c r="E932" s="1">
        <v>2</v>
      </c>
      <c r="F932" s="1">
        <v>2</v>
      </c>
      <c r="G932" s="1"/>
      <c r="H932" s="4" t="str">
        <f>'BID 4 b'!B955</f>
        <v>Belanja  Jasa Honorarium</v>
      </c>
      <c r="I932" s="73"/>
      <c r="J932" s="1"/>
      <c r="K932" s="4" t="s">
        <v>3597</v>
      </c>
      <c r="L932" s="73"/>
      <c r="M932" s="73"/>
      <c r="N932" s="73"/>
      <c r="O932" s="73"/>
      <c r="P932" s="73"/>
      <c r="Q932" s="73"/>
      <c r="R932" s="73"/>
      <c r="S932" s="73"/>
      <c r="T932" s="73"/>
      <c r="U932" s="73"/>
      <c r="V932" s="73"/>
      <c r="W932" s="73"/>
      <c r="X932" s="1864">
        <f t="shared" si="30"/>
        <v>0</v>
      </c>
      <c r="Y932" s="23">
        <f t="shared" si="29"/>
        <v>0</v>
      </c>
    </row>
    <row r="933" spans="1:25" ht="45" x14ac:dyDescent="0.25">
      <c r="A933" s="1"/>
      <c r="B933" s="1"/>
      <c r="C933" s="1"/>
      <c r="D933" s="1"/>
      <c r="E933" s="1"/>
      <c r="F933" s="1"/>
      <c r="G933" s="1489" t="s">
        <v>3389</v>
      </c>
      <c r="H933" s="4" t="str">
        <f>'BID 4 b'!B956</f>
        <v>Belanja Jasa Honorarium Ahli/Profesi/Konsultan/Narasumber</v>
      </c>
      <c r="I933" s="73">
        <f>'BID 4 b'!F957</f>
        <v>600000</v>
      </c>
      <c r="J933" s="1" t="s">
        <v>1506</v>
      </c>
      <c r="K933" s="4" t="s">
        <v>3597</v>
      </c>
      <c r="L933" s="73"/>
      <c r="M933" s="73"/>
      <c r="N933" s="73"/>
      <c r="O933" s="73"/>
      <c r="P933" s="73"/>
      <c r="Q933" s="73"/>
      <c r="R933" s="73"/>
      <c r="S933" s="73"/>
      <c r="T933" s="73">
        <v>600000</v>
      </c>
      <c r="U933" s="73"/>
      <c r="V933" s="73"/>
      <c r="W933" s="73"/>
      <c r="X933" s="1864">
        <f t="shared" si="30"/>
        <v>600000</v>
      </c>
      <c r="Y933" s="23">
        <f t="shared" si="29"/>
        <v>0</v>
      </c>
    </row>
    <row r="934" spans="1:25" ht="30" x14ac:dyDescent="0.25">
      <c r="A934" s="865">
        <v>4</v>
      </c>
      <c r="B934" s="865">
        <v>3</v>
      </c>
      <c r="C934" s="1490" t="s">
        <v>3386</v>
      </c>
      <c r="D934" s="865"/>
      <c r="E934" s="865"/>
      <c r="F934" s="865"/>
      <c r="G934" s="865"/>
      <c r="H934" s="865" t="str">
        <f>'BID 4 b'!B975</f>
        <v>: Pelatihan Perangkat Desa</v>
      </c>
      <c r="I934" s="1063">
        <f>SUM(I935:I942)</f>
        <v>40000000</v>
      </c>
      <c r="J934" s="1061" t="s">
        <v>3401</v>
      </c>
      <c r="K934" s="1061" t="s">
        <v>3595</v>
      </c>
      <c r="L934" s="1063"/>
      <c r="M934" s="1063"/>
      <c r="N934" s="1063"/>
      <c r="O934" s="1063"/>
      <c r="P934" s="1063"/>
      <c r="Q934" s="1063"/>
      <c r="R934" s="1063"/>
      <c r="S934" s="1063"/>
      <c r="T934" s="1063"/>
      <c r="U934" s="1063"/>
      <c r="V934" s="1063"/>
      <c r="W934" s="1063"/>
      <c r="X934" s="1866">
        <f t="shared" si="30"/>
        <v>0</v>
      </c>
      <c r="Y934" s="23">
        <f t="shared" si="29"/>
        <v>-40000000</v>
      </c>
    </row>
    <row r="935" spans="1:25" x14ac:dyDescent="0.25">
      <c r="A935" s="1"/>
      <c r="B935" s="1"/>
      <c r="C935" s="1"/>
      <c r="D935" s="1">
        <v>5</v>
      </c>
      <c r="E935" s="1">
        <v>2</v>
      </c>
      <c r="F935" s="1"/>
      <c r="G935" s="1"/>
      <c r="H935" s="4" t="str">
        <f>'BID 4 b'!B980</f>
        <v>Belanja Barang Dan Jasa</v>
      </c>
      <c r="I935" s="73"/>
      <c r="J935" s="1"/>
      <c r="K935" s="4" t="s">
        <v>3595</v>
      </c>
      <c r="L935" s="73"/>
      <c r="M935" s="73"/>
      <c r="N935" s="73"/>
      <c r="O935" s="73"/>
      <c r="P935" s="73"/>
      <c r="Q935" s="73"/>
      <c r="R935" s="73"/>
      <c r="S935" s="73"/>
      <c r="T935" s="73"/>
      <c r="U935" s="73"/>
      <c r="V935" s="73"/>
      <c r="W935" s="73"/>
      <c r="X935" s="1864">
        <f t="shared" si="30"/>
        <v>0</v>
      </c>
      <c r="Y935" s="23">
        <f t="shared" si="29"/>
        <v>0</v>
      </c>
    </row>
    <row r="936" spans="1:25" ht="30" x14ac:dyDescent="0.25">
      <c r="A936" s="1"/>
      <c r="B936" s="1"/>
      <c r="C936" s="1"/>
      <c r="D936" s="1"/>
      <c r="E936" s="1"/>
      <c r="F936" s="1">
        <v>1</v>
      </c>
      <c r="G936" s="1"/>
      <c r="H936" s="4" t="str">
        <f>'BID 4 b'!B981</f>
        <v>Belanja Barang Perlengkapan</v>
      </c>
      <c r="I936" s="73"/>
      <c r="J936" s="4"/>
      <c r="K936" s="4" t="s">
        <v>3595</v>
      </c>
      <c r="L936" s="73"/>
      <c r="M936" s="73"/>
      <c r="N936" s="73"/>
      <c r="O936" s="73"/>
      <c r="P936" s="73"/>
      <c r="Q936" s="73"/>
      <c r="R936" s="73"/>
      <c r="S936" s="73"/>
      <c r="T936" s="73"/>
      <c r="U936" s="73"/>
      <c r="V936" s="73"/>
      <c r="W936" s="73"/>
      <c r="X936" s="1864">
        <f t="shared" si="30"/>
        <v>0</v>
      </c>
      <c r="Y936" s="23">
        <f t="shared" si="29"/>
        <v>0</v>
      </c>
    </row>
    <row r="937" spans="1:25" ht="30" x14ac:dyDescent="0.25">
      <c r="A937" s="1"/>
      <c r="B937" s="1"/>
      <c r="C937" s="1"/>
      <c r="D937" s="1"/>
      <c r="E937" s="1"/>
      <c r="F937" s="1"/>
      <c r="G937" s="1489" t="s">
        <v>3391</v>
      </c>
      <c r="H937" s="4" t="str">
        <f>'BID 4 b'!B982</f>
        <v>Belanja Perlengkapan Barang Konsumsi</v>
      </c>
      <c r="I937" s="73">
        <f>'BID 4 b'!F983</f>
        <v>560000</v>
      </c>
      <c r="J937" s="4" t="s">
        <v>1777</v>
      </c>
      <c r="K937" s="4" t="s">
        <v>3595</v>
      </c>
      <c r="L937" s="73"/>
      <c r="M937" s="73"/>
      <c r="N937" s="73"/>
      <c r="O937" s="73"/>
      <c r="P937" s="73"/>
      <c r="Q937" s="73"/>
      <c r="R937" s="73"/>
      <c r="S937" s="73">
        <v>560000</v>
      </c>
      <c r="T937" s="73"/>
      <c r="U937" s="73"/>
      <c r="V937" s="73"/>
      <c r="W937" s="73"/>
      <c r="X937" s="1864">
        <f t="shared" si="30"/>
        <v>560000</v>
      </c>
      <c r="Y937" s="23">
        <f t="shared" si="29"/>
        <v>0</v>
      </c>
    </row>
    <row r="938" spans="1:25" ht="30" x14ac:dyDescent="0.25">
      <c r="A938" s="1"/>
      <c r="B938" s="1"/>
      <c r="C938" s="1"/>
      <c r="D938" s="1"/>
      <c r="E938" s="1"/>
      <c r="F938" s="1"/>
      <c r="G938" s="1489" t="s">
        <v>3393</v>
      </c>
      <c r="H938" s="4" t="str">
        <f>'BID 4 b'!B985</f>
        <v>Belanja Bendera/ Umbul-umbul/ Spanduk</v>
      </c>
      <c r="I938" s="73">
        <f>'BID 4 b'!F986</f>
        <v>90000</v>
      </c>
      <c r="J938" s="4" t="s">
        <v>1777</v>
      </c>
      <c r="K938" s="4" t="s">
        <v>3595</v>
      </c>
      <c r="L938" s="73"/>
      <c r="M938" s="73"/>
      <c r="N938" s="73"/>
      <c r="O938" s="73"/>
      <c r="P938" s="73"/>
      <c r="Q938" s="73"/>
      <c r="R938" s="73"/>
      <c r="S938" s="73">
        <v>90000</v>
      </c>
      <c r="T938" s="73"/>
      <c r="U938" s="73"/>
      <c r="V938" s="73"/>
      <c r="W938" s="73"/>
      <c r="X938" s="1864">
        <f t="shared" si="30"/>
        <v>90000</v>
      </c>
      <c r="Y938" s="23">
        <f t="shared" si="29"/>
        <v>0</v>
      </c>
    </row>
    <row r="939" spans="1:25" x14ac:dyDescent="0.25">
      <c r="A939" s="1"/>
      <c r="B939" s="1"/>
      <c r="C939" s="1"/>
      <c r="D939" s="1">
        <v>5</v>
      </c>
      <c r="E939" s="1">
        <v>2</v>
      </c>
      <c r="F939" s="1">
        <v>2</v>
      </c>
      <c r="G939" s="1"/>
      <c r="H939" s="4" t="str">
        <f>'BID 4 b'!B988</f>
        <v>Belanja Jasa Honorarium</v>
      </c>
      <c r="I939" s="73"/>
      <c r="J939" s="4"/>
      <c r="K939" s="4" t="s">
        <v>3595</v>
      </c>
      <c r="L939" s="73"/>
      <c r="M939" s="73"/>
      <c r="N939" s="73"/>
      <c r="O939" s="73"/>
      <c r="P939" s="73"/>
      <c r="Q939" s="73"/>
      <c r="R939" s="73"/>
      <c r="S939" s="73"/>
      <c r="T939" s="73"/>
      <c r="U939" s="73"/>
      <c r="V939" s="73"/>
      <c r="W939" s="73"/>
      <c r="X939" s="1864">
        <f t="shared" si="30"/>
        <v>0</v>
      </c>
      <c r="Y939" s="23">
        <f t="shared" si="29"/>
        <v>0</v>
      </c>
    </row>
    <row r="940" spans="1:25" ht="45" x14ac:dyDescent="0.25">
      <c r="A940" s="1"/>
      <c r="B940" s="1"/>
      <c r="C940" s="1"/>
      <c r="D940" s="1"/>
      <c r="E940" s="1"/>
      <c r="F940" s="1"/>
      <c r="G940" s="1489" t="s">
        <v>3389</v>
      </c>
      <c r="H940" s="4" t="str">
        <f>'BID 4 b'!B989</f>
        <v>Belanja Jasa Honorarium Ahli/Profesi/Konsultan/Narasumber</v>
      </c>
      <c r="I940" s="73">
        <f>'BID 4 b'!F990</f>
        <v>600000</v>
      </c>
      <c r="J940" s="4" t="s">
        <v>1777</v>
      </c>
      <c r="K940" s="4" t="s">
        <v>3595</v>
      </c>
      <c r="L940" s="73"/>
      <c r="M940" s="73"/>
      <c r="N940" s="73"/>
      <c r="O940" s="73"/>
      <c r="P940" s="73"/>
      <c r="Q940" s="73"/>
      <c r="R940" s="73"/>
      <c r="S940" s="73">
        <v>600000</v>
      </c>
      <c r="T940" s="73"/>
      <c r="U940" s="73"/>
      <c r="V940" s="73"/>
      <c r="W940" s="73"/>
      <c r="X940" s="1864">
        <f t="shared" si="30"/>
        <v>600000</v>
      </c>
      <c r="Y940" s="23">
        <f t="shared" si="29"/>
        <v>0</v>
      </c>
    </row>
    <row r="941" spans="1:25" x14ac:dyDescent="0.25">
      <c r="A941" s="1"/>
      <c r="B941" s="1"/>
      <c r="C941" s="1"/>
      <c r="D941" s="1">
        <v>5</v>
      </c>
      <c r="E941" s="1">
        <v>2</v>
      </c>
      <c r="F941" s="1">
        <v>4</v>
      </c>
      <c r="G941" s="1"/>
      <c r="H941" s="4" t="str">
        <f>'BID 4 b'!B992</f>
        <v>Belanja Jasa Sewa</v>
      </c>
      <c r="I941" s="73"/>
      <c r="J941" s="4"/>
      <c r="K941" s="4" t="s">
        <v>3595</v>
      </c>
      <c r="L941" s="73"/>
      <c r="M941" s="73"/>
      <c r="N941" s="73"/>
      <c r="O941" s="73"/>
      <c r="P941" s="73"/>
      <c r="Q941" s="73"/>
      <c r="R941" s="73"/>
      <c r="S941" s="73"/>
      <c r="T941" s="73"/>
      <c r="U941" s="73"/>
      <c r="V941" s="73"/>
      <c r="W941" s="73"/>
      <c r="X941" s="1864">
        <f t="shared" si="30"/>
        <v>0</v>
      </c>
      <c r="Y941" s="23">
        <f t="shared" ref="Y941:Y1004" si="31">X941-I941</f>
        <v>0</v>
      </c>
    </row>
    <row r="942" spans="1:25" ht="30" x14ac:dyDescent="0.25">
      <c r="A942" s="1"/>
      <c r="B942" s="1"/>
      <c r="C942" s="1"/>
      <c r="D942" s="1"/>
      <c r="E942" s="1"/>
      <c r="F942" s="1"/>
      <c r="G942" s="1489" t="s">
        <v>3366</v>
      </c>
      <c r="H942" s="4" t="str">
        <f>'BID 4 b'!B993</f>
        <v>Belanja Jasa Sewa Mobilitas</v>
      </c>
      <c r="I942" s="73">
        <f>'BID 4 b'!F994</f>
        <v>38750000</v>
      </c>
      <c r="J942" s="4" t="s">
        <v>1777</v>
      </c>
      <c r="K942" s="4" t="s">
        <v>3595</v>
      </c>
      <c r="L942" s="73"/>
      <c r="M942" s="73"/>
      <c r="N942" s="73"/>
      <c r="O942" s="73"/>
      <c r="P942" s="73"/>
      <c r="Q942" s="73"/>
      <c r="R942" s="73"/>
      <c r="S942" s="73">
        <v>38750000</v>
      </c>
      <c r="T942" s="73"/>
      <c r="U942" s="73"/>
      <c r="V942" s="73"/>
      <c r="W942" s="73"/>
      <c r="X942" s="1864">
        <f t="shared" si="30"/>
        <v>38750000</v>
      </c>
      <c r="Y942" s="23">
        <f t="shared" si="31"/>
        <v>0</v>
      </c>
    </row>
    <row r="943" spans="1:25" ht="30" x14ac:dyDescent="0.25">
      <c r="A943" s="865">
        <v>4</v>
      </c>
      <c r="B943" s="865">
        <v>3</v>
      </c>
      <c r="C943" s="1490" t="s">
        <v>3388</v>
      </c>
      <c r="D943" s="865"/>
      <c r="E943" s="865"/>
      <c r="F943" s="865"/>
      <c r="G943" s="865"/>
      <c r="H943" s="1061" t="str">
        <f>'BID 4 b'!B1011</f>
        <v>: Peningkatan Kapasitas BPD</v>
      </c>
      <c r="I943" s="1063">
        <f>SUM(I944:I953)</f>
        <v>16220000</v>
      </c>
      <c r="J943" s="1061" t="s">
        <v>1777</v>
      </c>
      <c r="K943" s="1061" t="s">
        <v>3595</v>
      </c>
      <c r="L943" s="1063"/>
      <c r="M943" s="1063"/>
      <c r="N943" s="1063"/>
      <c r="O943" s="1063"/>
      <c r="P943" s="1063"/>
      <c r="Q943" s="1063"/>
      <c r="R943" s="1063"/>
      <c r="S943" s="1063"/>
      <c r="T943" s="1063"/>
      <c r="U943" s="1063"/>
      <c r="V943" s="1063"/>
      <c r="W943" s="1063"/>
      <c r="X943" s="1866">
        <f t="shared" si="30"/>
        <v>0</v>
      </c>
      <c r="Y943" s="23">
        <f t="shared" si="31"/>
        <v>-16220000</v>
      </c>
    </row>
    <row r="944" spans="1:25" x14ac:dyDescent="0.25">
      <c r="A944" s="1"/>
      <c r="B944" s="1"/>
      <c r="C944" s="1"/>
      <c r="D944" s="1">
        <v>5</v>
      </c>
      <c r="E944" s="1">
        <v>2</v>
      </c>
      <c r="F944" s="1"/>
      <c r="G944" s="1"/>
      <c r="H944" s="4" t="str">
        <f>'BID 4 b'!B1016</f>
        <v>Belanja Barang dan Jasa</v>
      </c>
      <c r="I944" s="73"/>
      <c r="J944" s="4"/>
      <c r="K944" s="4" t="s">
        <v>3595</v>
      </c>
      <c r="L944" s="73"/>
      <c r="M944" s="73"/>
      <c r="N944" s="73"/>
      <c r="O944" s="73"/>
      <c r="P944" s="73"/>
      <c r="Q944" s="73"/>
      <c r="R944" s="73"/>
      <c r="S944" s="73"/>
      <c r="T944" s="73"/>
      <c r="U944" s="73"/>
      <c r="V944" s="73"/>
      <c r="W944" s="73"/>
      <c r="X944" s="1864">
        <f t="shared" si="30"/>
        <v>0</v>
      </c>
      <c r="Y944" s="23">
        <f t="shared" si="31"/>
        <v>0</v>
      </c>
    </row>
    <row r="945" spans="1:25" ht="30" x14ac:dyDescent="0.25">
      <c r="A945" s="1"/>
      <c r="B945" s="1"/>
      <c r="C945" s="1"/>
      <c r="D945" s="1"/>
      <c r="E945" s="1"/>
      <c r="F945" s="1">
        <v>1</v>
      </c>
      <c r="G945" s="1"/>
      <c r="H945" s="4" t="str">
        <f>'BID 4 b'!B1017</f>
        <v>Belanja Barang Perlengkapan</v>
      </c>
      <c r="I945" s="73"/>
      <c r="J945" s="4"/>
      <c r="K945" s="4" t="s">
        <v>3595</v>
      </c>
      <c r="L945" s="73"/>
      <c r="M945" s="73"/>
      <c r="N945" s="73"/>
      <c r="O945" s="73"/>
      <c r="P945" s="73"/>
      <c r="Q945" s="73"/>
      <c r="R945" s="73"/>
      <c r="S945" s="73"/>
      <c r="T945" s="73"/>
      <c r="U945" s="73"/>
      <c r="V945" s="73"/>
      <c r="W945" s="73"/>
      <c r="X945" s="1864">
        <f t="shared" si="30"/>
        <v>0</v>
      </c>
      <c r="Y945" s="23">
        <f t="shared" si="31"/>
        <v>0</v>
      </c>
    </row>
    <row r="946" spans="1:25" ht="30" x14ac:dyDescent="0.25">
      <c r="A946" s="1"/>
      <c r="B946" s="1"/>
      <c r="C946" s="1"/>
      <c r="D946" s="1"/>
      <c r="E946" s="1"/>
      <c r="F946" s="1"/>
      <c r="G946" s="1489" t="s">
        <v>3391</v>
      </c>
      <c r="H946" s="4" t="str">
        <f>'BID 4 b'!B1018</f>
        <v>Belanja Perlengkapan Barang Konsumsi</v>
      </c>
      <c r="I946" s="73">
        <f>'BID 4 b'!F1019</f>
        <v>400000</v>
      </c>
      <c r="J946" s="4" t="s">
        <v>1777</v>
      </c>
      <c r="K946" s="4" t="s">
        <v>3595</v>
      </c>
      <c r="L946" s="73"/>
      <c r="M946" s="73"/>
      <c r="N946" s="73"/>
      <c r="O946" s="73"/>
      <c r="P946" s="73"/>
      <c r="Q946" s="73"/>
      <c r="R946" s="73"/>
      <c r="S946" s="73">
        <v>400000</v>
      </c>
      <c r="T946" s="73"/>
      <c r="U946" s="73"/>
      <c r="V946" s="73"/>
      <c r="W946" s="73"/>
      <c r="X946" s="1864">
        <f t="shared" si="30"/>
        <v>400000</v>
      </c>
      <c r="Y946" s="23">
        <f t="shared" si="31"/>
        <v>0</v>
      </c>
    </row>
    <row r="947" spans="1:25" ht="30" x14ac:dyDescent="0.25">
      <c r="A947" s="1"/>
      <c r="B947" s="1"/>
      <c r="C947" s="1"/>
      <c r="D947" s="1">
        <v>5</v>
      </c>
      <c r="E947" s="1">
        <v>2</v>
      </c>
      <c r="F947" s="1">
        <v>1</v>
      </c>
      <c r="G947" s="1"/>
      <c r="H947" s="4" t="str">
        <f>'BID 4 b'!B1021</f>
        <v>Belanja Bendera/ Umbul-umbul/ Spanduk</v>
      </c>
      <c r="I947" s="73"/>
      <c r="J947" s="4"/>
      <c r="K947" s="4" t="s">
        <v>3595</v>
      </c>
      <c r="L947" s="73"/>
      <c r="M947" s="73"/>
      <c r="N947" s="73"/>
      <c r="O947" s="73"/>
      <c r="P947" s="73"/>
      <c r="Q947" s="73"/>
      <c r="R947" s="73"/>
      <c r="S947" s="73"/>
      <c r="T947" s="73"/>
      <c r="U947" s="73"/>
      <c r="V947" s="73"/>
      <c r="W947" s="73"/>
      <c r="X947" s="1864">
        <f t="shared" si="30"/>
        <v>0</v>
      </c>
      <c r="Y947" s="23">
        <f t="shared" si="31"/>
        <v>0</v>
      </c>
    </row>
    <row r="948" spans="1:25" ht="30" x14ac:dyDescent="0.25">
      <c r="A948" s="1"/>
      <c r="B948" s="1"/>
      <c r="C948" s="1"/>
      <c r="D948" s="1"/>
      <c r="E948" s="1"/>
      <c r="F948" s="1"/>
      <c r="G948" s="1489" t="s">
        <v>3393</v>
      </c>
      <c r="H948" s="4" t="str">
        <f>'BID 4 b'!B1022</f>
        <v xml:space="preserve">Spanduk Kegiatan </v>
      </c>
      <c r="I948" s="73">
        <f>'BID 4 b'!F1022</f>
        <v>90000</v>
      </c>
      <c r="J948" s="4" t="s">
        <v>1777</v>
      </c>
      <c r="K948" s="4" t="s">
        <v>3595</v>
      </c>
      <c r="L948" s="73"/>
      <c r="M948" s="73"/>
      <c r="N948" s="73"/>
      <c r="O948" s="73"/>
      <c r="P948" s="73"/>
      <c r="Q948" s="73"/>
      <c r="R948" s="73"/>
      <c r="S948" s="73">
        <v>90000</v>
      </c>
      <c r="T948" s="73"/>
      <c r="U948" s="73"/>
      <c r="V948" s="73"/>
      <c r="W948" s="73"/>
      <c r="X948" s="1864">
        <f t="shared" si="30"/>
        <v>90000</v>
      </c>
      <c r="Y948" s="23">
        <f t="shared" si="31"/>
        <v>0</v>
      </c>
    </row>
    <row r="949" spans="1:25" ht="30" x14ac:dyDescent="0.25">
      <c r="A949" s="1"/>
      <c r="B949" s="1"/>
      <c r="C949" s="1"/>
      <c r="D949" s="1"/>
      <c r="E949" s="1"/>
      <c r="F949" s="1"/>
      <c r="G949" s="1">
        <v>90</v>
      </c>
      <c r="H949" s="4" t="str">
        <f>'BID 4 b'!B1024</f>
        <v>Belanja Upakara, Upacara dan Aci</v>
      </c>
      <c r="I949" s="73">
        <f>SUM('BID 4 b'!F1025:F1027)</f>
        <v>130000</v>
      </c>
      <c r="J949" s="4" t="s">
        <v>1777</v>
      </c>
      <c r="K949" s="4" t="s">
        <v>3595</v>
      </c>
      <c r="L949" s="73"/>
      <c r="M949" s="73"/>
      <c r="N949" s="73"/>
      <c r="O949" s="73"/>
      <c r="P949" s="73"/>
      <c r="Q949" s="73"/>
      <c r="R949" s="73"/>
      <c r="S949" s="73">
        <v>130000</v>
      </c>
      <c r="T949" s="73"/>
      <c r="U949" s="73"/>
      <c r="V949" s="73"/>
      <c r="W949" s="73"/>
      <c r="X949" s="1864">
        <f t="shared" ref="X949:X1012" si="32">SUM(L949:W949)</f>
        <v>130000</v>
      </c>
      <c r="Y949" s="23">
        <f t="shared" si="31"/>
        <v>0</v>
      </c>
    </row>
    <row r="950" spans="1:25" x14ac:dyDescent="0.25">
      <c r="A950" s="1"/>
      <c r="B950" s="1"/>
      <c r="C950" s="1"/>
      <c r="D950" s="1">
        <v>5</v>
      </c>
      <c r="E950" s="1">
        <v>2</v>
      </c>
      <c r="F950" s="1">
        <v>2</v>
      </c>
      <c r="G950" s="1"/>
      <c r="H950" s="4" t="str">
        <f>'BID 4 b'!B1029</f>
        <v>Belanja  Jasa Honorarium</v>
      </c>
      <c r="I950" s="73"/>
      <c r="J950" s="4"/>
      <c r="K950" s="4" t="s">
        <v>3595</v>
      </c>
      <c r="L950" s="73"/>
      <c r="M950" s="73"/>
      <c r="N950" s="73"/>
      <c r="O950" s="73"/>
      <c r="P950" s="73"/>
      <c r="Q950" s="73"/>
      <c r="R950" s="73"/>
      <c r="S950" s="73"/>
      <c r="T950" s="73"/>
      <c r="U950" s="73"/>
      <c r="V950" s="73"/>
      <c r="W950" s="73"/>
      <c r="X950" s="1864">
        <f t="shared" si="32"/>
        <v>0</v>
      </c>
      <c r="Y950" s="23">
        <f t="shared" si="31"/>
        <v>0</v>
      </c>
    </row>
    <row r="951" spans="1:25" ht="45" x14ac:dyDescent="0.25">
      <c r="A951" s="1"/>
      <c r="B951" s="1"/>
      <c r="C951" s="1"/>
      <c r="D951" s="1"/>
      <c r="E951" s="1"/>
      <c r="F951" s="1"/>
      <c r="G951" s="1489" t="s">
        <v>3389</v>
      </c>
      <c r="H951" s="4" t="str">
        <f>'BID 4 b'!B1030</f>
        <v>Belanja Jasa Honorarium Ahli/Profesi/Konsultan/Narasumber</v>
      </c>
      <c r="I951" s="73">
        <f>'BID 4 b'!F1031</f>
        <v>600000</v>
      </c>
      <c r="J951" s="4" t="s">
        <v>1777</v>
      </c>
      <c r="K951" s="4" t="s">
        <v>3595</v>
      </c>
      <c r="L951" s="73"/>
      <c r="M951" s="73"/>
      <c r="N951" s="73"/>
      <c r="O951" s="73"/>
      <c r="P951" s="73"/>
      <c r="Q951" s="73"/>
      <c r="R951" s="73"/>
      <c r="S951" s="73">
        <v>600000</v>
      </c>
      <c r="T951" s="73"/>
      <c r="U951" s="73"/>
      <c r="V951" s="73"/>
      <c r="W951" s="73"/>
      <c r="X951" s="1864">
        <f t="shared" si="32"/>
        <v>600000</v>
      </c>
      <c r="Y951" s="23">
        <f t="shared" si="31"/>
        <v>0</v>
      </c>
    </row>
    <row r="952" spans="1:25" x14ac:dyDescent="0.25">
      <c r="A952" s="1"/>
      <c r="B952" s="1"/>
      <c r="C952" s="1"/>
      <c r="D952" s="1">
        <v>5</v>
      </c>
      <c r="E952" s="1">
        <v>2</v>
      </c>
      <c r="F952" s="1">
        <v>4</v>
      </c>
      <c r="G952" s="1"/>
      <c r="H952" s="1" t="str">
        <f>'BID 4 b'!B1032</f>
        <v>Belanja Jasa Sewa</v>
      </c>
      <c r="I952" s="73"/>
      <c r="J952" s="4"/>
      <c r="K952" s="4" t="s">
        <v>3595</v>
      </c>
      <c r="L952" s="73"/>
      <c r="M952" s="73"/>
      <c r="N952" s="73"/>
      <c r="O952" s="73"/>
      <c r="P952" s="73"/>
      <c r="Q952" s="73"/>
      <c r="R952" s="73"/>
      <c r="S952" s="73"/>
      <c r="T952" s="73"/>
      <c r="U952" s="73"/>
      <c r="V952" s="73"/>
      <c r="W952" s="73"/>
      <c r="X952" s="1864">
        <f t="shared" si="32"/>
        <v>0</v>
      </c>
      <c r="Y952" s="23">
        <f t="shared" si="31"/>
        <v>0</v>
      </c>
    </row>
    <row r="953" spans="1:25" ht="30" x14ac:dyDescent="0.25">
      <c r="A953" s="1"/>
      <c r="B953" s="1"/>
      <c r="C953" s="1"/>
      <c r="D953" s="1"/>
      <c r="E953" s="1"/>
      <c r="F953" s="1"/>
      <c r="G953" s="1489" t="s">
        <v>3366</v>
      </c>
      <c r="H953" s="1" t="str">
        <f>'BID 4 b'!B1033</f>
        <v>Belanja Jasa Sewa Mobiltas</v>
      </c>
      <c r="I953" s="73">
        <f>'BID 4 b'!F1035</f>
        <v>15000000</v>
      </c>
      <c r="J953" s="4" t="s">
        <v>1777</v>
      </c>
      <c r="K953" s="4" t="s">
        <v>3595</v>
      </c>
      <c r="L953" s="73"/>
      <c r="M953" s="73"/>
      <c r="N953" s="73"/>
      <c r="O953" s="73"/>
      <c r="P953" s="73"/>
      <c r="Q953" s="73"/>
      <c r="R953" s="73"/>
      <c r="S953" s="73">
        <v>15000000</v>
      </c>
      <c r="T953" s="73"/>
      <c r="U953" s="73"/>
      <c r="V953" s="73"/>
      <c r="W953" s="73"/>
      <c r="X953" s="1864">
        <f t="shared" si="32"/>
        <v>15000000</v>
      </c>
      <c r="Y953" s="23">
        <f t="shared" si="31"/>
        <v>0</v>
      </c>
    </row>
    <row r="954" spans="1:25" ht="30" x14ac:dyDescent="0.25">
      <c r="A954" s="865">
        <v>4</v>
      </c>
      <c r="B954" s="865">
        <v>2</v>
      </c>
      <c r="C954" s="1490" t="s">
        <v>3388</v>
      </c>
      <c r="D954" s="865"/>
      <c r="E954" s="865"/>
      <c r="F954" s="865"/>
      <c r="G954" s="865"/>
      <c r="H954" s="1061" t="str">
        <f>'BID 4 b'!B1051</f>
        <v>: Pelatihan PKPKD, PPKD dan TPK</v>
      </c>
      <c r="I954" s="1063">
        <f>SUM(I955:I961)</f>
        <v>1955204.83</v>
      </c>
      <c r="J954" s="1061" t="s">
        <v>1775</v>
      </c>
      <c r="K954" s="1061" t="s">
        <v>3597</v>
      </c>
      <c r="L954" s="1063"/>
      <c r="M954" s="1063"/>
      <c r="N954" s="1063"/>
      <c r="O954" s="1063"/>
      <c r="P954" s="1063"/>
      <c r="Q954" s="1063"/>
      <c r="R954" s="1063"/>
      <c r="S954" s="1063"/>
      <c r="T954" s="1063"/>
      <c r="U954" s="1063"/>
      <c r="V954" s="1063"/>
      <c r="W954" s="1063"/>
      <c r="X954" s="1866">
        <f t="shared" si="32"/>
        <v>0</v>
      </c>
      <c r="Y954" s="23">
        <f t="shared" si="31"/>
        <v>-1955204.83</v>
      </c>
    </row>
    <row r="955" spans="1:25" x14ac:dyDescent="0.25">
      <c r="A955" s="1"/>
      <c r="B955" s="1"/>
      <c r="C955" s="1"/>
      <c r="D955" s="1">
        <v>5</v>
      </c>
      <c r="E955" s="1">
        <v>2</v>
      </c>
      <c r="F955" s="1"/>
      <c r="G955" s="1"/>
      <c r="H955" s="1" t="str">
        <f>'BID 4 b'!B1057</f>
        <v>Belanja Barang dan Jasa</v>
      </c>
      <c r="I955" s="73"/>
      <c r="J955" s="1"/>
      <c r="K955" s="4" t="s">
        <v>3597</v>
      </c>
      <c r="L955" s="73"/>
      <c r="M955" s="73"/>
      <c r="N955" s="73"/>
      <c r="O955" s="73"/>
      <c r="P955" s="73"/>
      <c r="Q955" s="73"/>
      <c r="R955" s="73"/>
      <c r="S955" s="73"/>
      <c r="T955" s="73"/>
      <c r="U955" s="73"/>
      <c r="V955" s="73"/>
      <c r="W955" s="73"/>
      <c r="X955" s="1864">
        <f t="shared" si="32"/>
        <v>0</v>
      </c>
      <c r="Y955" s="23">
        <f t="shared" si="31"/>
        <v>0</v>
      </c>
    </row>
    <row r="956" spans="1:25" ht="30" x14ac:dyDescent="0.25">
      <c r="A956" s="1"/>
      <c r="B956" s="1"/>
      <c r="C956" s="1"/>
      <c r="D956" s="1"/>
      <c r="E956" s="1"/>
      <c r="F956" s="1">
        <v>1</v>
      </c>
      <c r="G956" s="1"/>
      <c r="H956" s="4" t="str">
        <f>'BID 4 b'!B1058</f>
        <v>Belanja Barang Perlengkapan</v>
      </c>
      <c r="I956" s="73"/>
      <c r="J956" s="1"/>
      <c r="K956" s="4" t="s">
        <v>3597</v>
      </c>
      <c r="L956" s="73"/>
      <c r="M956" s="73"/>
      <c r="N956" s="73"/>
      <c r="O956" s="73"/>
      <c r="P956" s="73"/>
      <c r="Q956" s="73"/>
      <c r="R956" s="73"/>
      <c r="S956" s="73"/>
      <c r="T956" s="73"/>
      <c r="U956" s="73"/>
      <c r="V956" s="73"/>
      <c r="W956" s="73"/>
      <c r="X956" s="1864">
        <f t="shared" si="32"/>
        <v>0</v>
      </c>
      <c r="Y956" s="23">
        <f t="shared" si="31"/>
        <v>0</v>
      </c>
    </row>
    <row r="957" spans="1:25" ht="30" x14ac:dyDescent="0.25">
      <c r="A957" s="1"/>
      <c r="B957" s="1"/>
      <c r="C957" s="1"/>
      <c r="D957" s="1"/>
      <c r="E957" s="1"/>
      <c r="F957" s="1"/>
      <c r="G957" s="1489" t="s">
        <v>3391</v>
      </c>
      <c r="H957" s="4" t="str">
        <f>'BID 4 b'!B1059</f>
        <v>Belanja Perlengkapan Barang Konsumsi</v>
      </c>
      <c r="I957" s="73">
        <f>'BID 4 b'!F1060</f>
        <v>1200000</v>
      </c>
      <c r="J957" s="4" t="s">
        <v>1775</v>
      </c>
      <c r="K957" s="4" t="s">
        <v>3597</v>
      </c>
      <c r="L957" s="73"/>
      <c r="M957" s="73">
        <v>1200000</v>
      </c>
      <c r="N957" s="73"/>
      <c r="O957" s="73"/>
      <c r="P957" s="73"/>
      <c r="Q957" s="73"/>
      <c r="R957" s="73"/>
      <c r="S957" s="73"/>
      <c r="T957" s="73"/>
      <c r="U957" s="73"/>
      <c r="V957" s="73"/>
      <c r="W957" s="73"/>
      <c r="X957" s="1864">
        <f t="shared" si="32"/>
        <v>1200000</v>
      </c>
      <c r="Y957" s="23">
        <f t="shared" si="31"/>
        <v>0</v>
      </c>
    </row>
    <row r="958" spans="1:25" ht="30" x14ac:dyDescent="0.25">
      <c r="A958" s="1"/>
      <c r="B958" s="1"/>
      <c r="C958" s="1"/>
      <c r="D958" s="1"/>
      <c r="E958" s="1"/>
      <c r="F958" s="1"/>
      <c r="G958" s="1489" t="s">
        <v>3393</v>
      </c>
      <c r="H958" s="4" t="str">
        <f>'BID 4 b'!B1062</f>
        <v>Belanja Bendera/ Umbul-umbul/ Spanduk</v>
      </c>
      <c r="I958" s="73">
        <f>'BID 4 b'!F1063</f>
        <v>90204.83</v>
      </c>
      <c r="J958" s="4" t="s">
        <v>1775</v>
      </c>
      <c r="K958" s="4" t="s">
        <v>3597</v>
      </c>
      <c r="L958" s="73"/>
      <c r="M958" s="73">
        <v>90204.83</v>
      </c>
      <c r="N958" s="73"/>
      <c r="O958" s="73"/>
      <c r="P958" s="73"/>
      <c r="Q958" s="73"/>
      <c r="R958" s="73"/>
      <c r="S958" s="73"/>
      <c r="T958" s="73"/>
      <c r="U958" s="73"/>
      <c r="V958" s="73"/>
      <c r="W958" s="73"/>
      <c r="X958" s="1864">
        <f t="shared" si="32"/>
        <v>90204.83</v>
      </c>
      <c r="Y958" s="23">
        <f t="shared" si="31"/>
        <v>0</v>
      </c>
    </row>
    <row r="959" spans="1:25" ht="30" x14ac:dyDescent="0.25">
      <c r="A959" s="1"/>
      <c r="B959" s="1"/>
      <c r="C959" s="1"/>
      <c r="D959" s="1"/>
      <c r="E959" s="1"/>
      <c r="F959" s="1"/>
      <c r="G959" s="1">
        <v>90</v>
      </c>
      <c r="H959" s="4" t="str">
        <f>'BID 4 b'!B1065</f>
        <v>Belanja Upakara, Upacara dan Aci</v>
      </c>
      <c r="I959" s="73">
        <f>SUM('BID 4 b'!F1066:F1068)</f>
        <v>65000</v>
      </c>
      <c r="J959" s="4" t="s">
        <v>1775</v>
      </c>
      <c r="K959" s="4" t="s">
        <v>3597</v>
      </c>
      <c r="L959" s="73"/>
      <c r="M959" s="73">
        <v>65000</v>
      </c>
      <c r="N959" s="73"/>
      <c r="O959" s="73"/>
      <c r="P959" s="73"/>
      <c r="Q959" s="73"/>
      <c r="R959" s="73"/>
      <c r="S959" s="73"/>
      <c r="T959" s="73"/>
      <c r="U959" s="73"/>
      <c r="V959" s="73"/>
      <c r="W959" s="73"/>
      <c r="X959" s="1864">
        <f t="shared" si="32"/>
        <v>65000</v>
      </c>
      <c r="Y959" s="23">
        <f t="shared" si="31"/>
        <v>0</v>
      </c>
    </row>
    <row r="960" spans="1:25" x14ac:dyDescent="0.25">
      <c r="A960" s="1"/>
      <c r="B960" s="1"/>
      <c r="C960" s="1"/>
      <c r="D960" s="1">
        <v>5</v>
      </c>
      <c r="E960" s="1">
        <v>2</v>
      </c>
      <c r="F960" s="1">
        <v>2</v>
      </c>
      <c r="G960" s="1"/>
      <c r="H960" s="4" t="str">
        <f>'BID 4 b'!B1070</f>
        <v>Belanja  Jasa Honorarium</v>
      </c>
      <c r="I960" s="73"/>
      <c r="J960" s="1"/>
      <c r="K960" s="4" t="s">
        <v>3597</v>
      </c>
      <c r="L960" s="73"/>
      <c r="M960" s="73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1864">
        <f t="shared" si="32"/>
        <v>0</v>
      </c>
      <c r="Y960" s="23">
        <f t="shared" si="31"/>
        <v>0</v>
      </c>
    </row>
    <row r="961" spans="1:25" ht="45" x14ac:dyDescent="0.25">
      <c r="A961" s="1"/>
      <c r="B961" s="1"/>
      <c r="C961" s="1"/>
      <c r="D961" s="1"/>
      <c r="E961" s="1"/>
      <c r="F961" s="1"/>
      <c r="G961" s="1489" t="s">
        <v>3389</v>
      </c>
      <c r="H961" s="4" t="str">
        <f>'BID 4 b'!B1071</f>
        <v>Belanja Jasa Honorarium Ahli/Profesi/Konsultan/Narasumber</v>
      </c>
      <c r="I961" s="73">
        <f>'BID 4 b'!F1072</f>
        <v>600000</v>
      </c>
      <c r="J961" s="4" t="s">
        <v>1775</v>
      </c>
      <c r="K961" s="4" t="s">
        <v>3597</v>
      </c>
      <c r="L961" s="73"/>
      <c r="M961" s="73">
        <v>600000</v>
      </c>
      <c r="N961" s="73"/>
      <c r="O961" s="73"/>
      <c r="P961" s="73"/>
      <c r="Q961" s="73"/>
      <c r="R961" s="73"/>
      <c r="S961" s="73"/>
      <c r="T961" s="73"/>
      <c r="U961" s="73"/>
      <c r="V961" s="73"/>
      <c r="W961" s="73"/>
      <c r="X961" s="1864">
        <f t="shared" si="32"/>
        <v>600000</v>
      </c>
      <c r="Y961" s="23">
        <f t="shared" si="31"/>
        <v>0</v>
      </c>
    </row>
    <row r="962" spans="1:25" ht="45" x14ac:dyDescent="0.25">
      <c r="A962" s="865">
        <v>4</v>
      </c>
      <c r="B962" s="865">
        <v>3</v>
      </c>
      <c r="C962" s="1490" t="s">
        <v>3366</v>
      </c>
      <c r="D962" s="865"/>
      <c r="E962" s="865"/>
      <c r="F962" s="865"/>
      <c r="G962" s="865"/>
      <c r="H962" s="1061" t="str">
        <f>'BID 4 b'!B1089</f>
        <v xml:space="preserve">: Pembinaan Kelompok P2WKSS  </v>
      </c>
      <c r="I962" s="1063">
        <f>SUM(I963:I970)</f>
        <v>1820000</v>
      </c>
      <c r="J962" s="1061" t="s">
        <v>3297</v>
      </c>
      <c r="K962" s="1061" t="s">
        <v>3599</v>
      </c>
      <c r="L962" s="1063"/>
      <c r="M962" s="1063"/>
      <c r="N962" s="1063"/>
      <c r="O962" s="1063"/>
      <c r="P962" s="1063"/>
      <c r="Q962" s="1063"/>
      <c r="R962" s="1063"/>
      <c r="S962" s="1063"/>
      <c r="T962" s="1063"/>
      <c r="U962" s="1063"/>
      <c r="V962" s="1063"/>
      <c r="W962" s="1063"/>
      <c r="X962" s="1866">
        <f t="shared" si="32"/>
        <v>0</v>
      </c>
      <c r="Y962" s="23">
        <f t="shared" si="31"/>
        <v>-1820000</v>
      </c>
    </row>
    <row r="963" spans="1:25" x14ac:dyDescent="0.25">
      <c r="A963" s="1"/>
      <c r="B963" s="1"/>
      <c r="C963" s="1"/>
      <c r="D963" s="1">
        <v>5</v>
      </c>
      <c r="E963" s="1">
        <v>2</v>
      </c>
      <c r="F963" s="1"/>
      <c r="G963" s="1"/>
      <c r="H963" s="4" t="str">
        <f>'BID 4 b'!B1094</f>
        <v>Belanja Barang Jasa</v>
      </c>
      <c r="I963" s="73"/>
      <c r="J963" s="1"/>
      <c r="K963" s="4" t="s">
        <v>3599</v>
      </c>
      <c r="L963" s="73"/>
      <c r="M963" s="73"/>
      <c r="N963" s="73"/>
      <c r="O963" s="73"/>
      <c r="P963" s="73"/>
      <c r="Q963" s="73"/>
      <c r="R963" s="73"/>
      <c r="S963" s="73"/>
      <c r="T963" s="73"/>
      <c r="U963" s="73"/>
      <c r="V963" s="73"/>
      <c r="W963" s="73"/>
      <c r="X963" s="1864">
        <f t="shared" si="32"/>
        <v>0</v>
      </c>
      <c r="Y963" s="23">
        <f t="shared" si="31"/>
        <v>0</v>
      </c>
    </row>
    <row r="964" spans="1:25" ht="30" x14ac:dyDescent="0.25">
      <c r="A964" s="1"/>
      <c r="B964" s="1"/>
      <c r="C964" s="1"/>
      <c r="D964" s="1"/>
      <c r="E964" s="1"/>
      <c r="F964" s="1">
        <v>1</v>
      </c>
      <c r="G964" s="1"/>
      <c r="H964" s="4" t="str">
        <f>'BID 4 b'!B1095</f>
        <v>Belanja Barang Perlengkapan</v>
      </c>
      <c r="I964" s="73"/>
      <c r="J964" s="1"/>
      <c r="K964" s="4" t="s">
        <v>3599</v>
      </c>
      <c r="L964" s="73"/>
      <c r="M964" s="73"/>
      <c r="N964" s="73"/>
      <c r="O964" s="73"/>
      <c r="P964" s="73"/>
      <c r="Q964" s="73"/>
      <c r="R964" s="73"/>
      <c r="S964" s="73"/>
      <c r="T964" s="73"/>
      <c r="U964" s="73"/>
      <c r="V964" s="73"/>
      <c r="W964" s="73"/>
      <c r="X964" s="1864">
        <f t="shared" si="32"/>
        <v>0</v>
      </c>
      <c r="Y964" s="23">
        <f t="shared" si="31"/>
        <v>0</v>
      </c>
    </row>
    <row r="965" spans="1:25" ht="45" x14ac:dyDescent="0.25">
      <c r="A965" s="1"/>
      <c r="B965" s="1"/>
      <c r="C965" s="1"/>
      <c r="D965" s="1"/>
      <c r="E965" s="1"/>
      <c r="F965" s="1"/>
      <c r="G965" s="1489" t="s">
        <v>3366</v>
      </c>
      <c r="H965" s="4" t="str">
        <f>'BID 4 b'!B1096</f>
        <v>Belanja Alat Tulis</v>
      </c>
      <c r="I965" s="73">
        <f>'BID 4 b'!F1097</f>
        <v>280000</v>
      </c>
      <c r="J965" s="4" t="s">
        <v>3297</v>
      </c>
      <c r="K965" s="4" t="s">
        <v>3599</v>
      </c>
      <c r="L965" s="73"/>
      <c r="M965" s="73"/>
      <c r="N965" s="73"/>
      <c r="O965" s="73"/>
      <c r="P965" s="73">
        <v>280000</v>
      </c>
      <c r="Q965" s="73"/>
      <c r="R965" s="73"/>
      <c r="S965" s="73"/>
      <c r="T965" s="73"/>
      <c r="U965" s="73"/>
      <c r="V965" s="73"/>
      <c r="W965" s="73"/>
      <c r="X965" s="1864">
        <f t="shared" si="32"/>
        <v>280000</v>
      </c>
      <c r="Y965" s="23">
        <f t="shared" si="31"/>
        <v>0</v>
      </c>
    </row>
    <row r="966" spans="1:25" ht="45" x14ac:dyDescent="0.25">
      <c r="A966" s="1"/>
      <c r="B966" s="1"/>
      <c r="C966" s="1"/>
      <c r="D966" s="1"/>
      <c r="E966" s="1"/>
      <c r="F966" s="1"/>
      <c r="G966" s="1489" t="s">
        <v>3391</v>
      </c>
      <c r="H966" s="4" t="str">
        <f>'BID 4 b'!B1098</f>
        <v>Belanja Perlengkapan Barang Konsumsi</v>
      </c>
      <c r="I966" s="73">
        <f>SUM('BID 4 b'!F1099)</f>
        <v>800000</v>
      </c>
      <c r="J966" s="4" t="s">
        <v>3297</v>
      </c>
      <c r="K966" s="4" t="s">
        <v>3599</v>
      </c>
      <c r="L966" s="73"/>
      <c r="M966" s="73"/>
      <c r="N966" s="73"/>
      <c r="O966" s="73"/>
      <c r="P966" s="73">
        <v>800000</v>
      </c>
      <c r="Q966" s="73"/>
      <c r="R966" s="73"/>
      <c r="S966" s="73"/>
      <c r="T966" s="73"/>
      <c r="U966" s="73"/>
      <c r="V966" s="73"/>
      <c r="W966" s="73"/>
      <c r="X966" s="1864">
        <f t="shared" si="32"/>
        <v>800000</v>
      </c>
      <c r="Y966" s="23">
        <f t="shared" si="31"/>
        <v>0</v>
      </c>
    </row>
    <row r="967" spans="1:25" ht="45" x14ac:dyDescent="0.25">
      <c r="A967" s="1"/>
      <c r="B967" s="1"/>
      <c r="C967" s="1"/>
      <c r="D967" s="1"/>
      <c r="E967" s="1"/>
      <c r="F967" s="1"/>
      <c r="G967" s="1489" t="s">
        <v>3393</v>
      </c>
      <c r="H967" s="4" t="str">
        <f>'BID 4 b'!B1100</f>
        <v>Belanja Bendera/ Umbul-umbul/ Spanduk</v>
      </c>
      <c r="I967" s="73">
        <f>SUM('BID 4 b'!F1101)</f>
        <v>90000</v>
      </c>
      <c r="J967" s="4" t="s">
        <v>3297</v>
      </c>
      <c r="K967" s="4" t="s">
        <v>3599</v>
      </c>
      <c r="L967" s="73"/>
      <c r="M967" s="73"/>
      <c r="N967" s="73"/>
      <c r="O967" s="73"/>
      <c r="P967" s="73">
        <v>90000</v>
      </c>
      <c r="Q967" s="73"/>
      <c r="R967" s="73"/>
      <c r="S967" s="73"/>
      <c r="T967" s="73"/>
      <c r="U967" s="73"/>
      <c r="V967" s="73"/>
      <c r="W967" s="73"/>
      <c r="X967" s="1864">
        <f t="shared" si="32"/>
        <v>90000</v>
      </c>
      <c r="Y967" s="23">
        <f t="shared" si="31"/>
        <v>0</v>
      </c>
    </row>
    <row r="968" spans="1:25" ht="45" x14ac:dyDescent="0.25">
      <c r="A968" s="1"/>
      <c r="B968" s="1"/>
      <c r="C968" s="1"/>
      <c r="D968" s="1"/>
      <c r="E968" s="1"/>
      <c r="F968" s="1"/>
      <c r="G968" s="1489">
        <v>90</v>
      </c>
      <c r="H968" s="4" t="str">
        <f>'BID 4 b'!B1102</f>
        <v>Belanja Aci</v>
      </c>
      <c r="I968" s="73">
        <f>'BID 4 b'!F1103</f>
        <v>50000</v>
      </c>
      <c r="J968" s="4" t="s">
        <v>3297</v>
      </c>
      <c r="K968" s="4" t="s">
        <v>3599</v>
      </c>
      <c r="L968" s="73"/>
      <c r="M968" s="73"/>
      <c r="N968" s="73"/>
      <c r="O968" s="73"/>
      <c r="P968" s="73">
        <v>50000</v>
      </c>
      <c r="Q968" s="73"/>
      <c r="R968" s="73"/>
      <c r="S968" s="73"/>
      <c r="T968" s="73"/>
      <c r="U968" s="73"/>
      <c r="V968" s="73"/>
      <c r="W968" s="73"/>
      <c r="X968" s="1864">
        <f t="shared" si="32"/>
        <v>50000</v>
      </c>
      <c r="Y968" s="23">
        <f t="shared" si="31"/>
        <v>0</v>
      </c>
    </row>
    <row r="969" spans="1:25" x14ac:dyDescent="0.25">
      <c r="A969" s="1"/>
      <c r="B969" s="1"/>
      <c r="C969" s="1"/>
      <c r="D969" s="1">
        <v>5</v>
      </c>
      <c r="E969" s="1">
        <v>2</v>
      </c>
      <c r="F969" s="1">
        <v>2</v>
      </c>
      <c r="G969" s="1"/>
      <c r="H969" s="1" t="str">
        <f>'BID 4 b'!B1104</f>
        <v>Belanja Jasa Honorarium</v>
      </c>
      <c r="I969" s="73"/>
      <c r="J969" s="1"/>
      <c r="K969" s="4" t="s">
        <v>3599</v>
      </c>
      <c r="L969" s="73"/>
      <c r="M969" s="73"/>
      <c r="N969" s="73"/>
      <c r="O969" s="73"/>
      <c r="P969" s="73"/>
      <c r="Q969" s="73"/>
      <c r="R969" s="73"/>
      <c r="S969" s="73"/>
      <c r="T969" s="73"/>
      <c r="U969" s="73"/>
      <c r="V969" s="73"/>
      <c r="W969" s="73"/>
      <c r="X969" s="1864">
        <f t="shared" si="32"/>
        <v>0</v>
      </c>
      <c r="Y969" s="23">
        <f t="shared" si="31"/>
        <v>0</v>
      </c>
    </row>
    <row r="970" spans="1:25" ht="60" x14ac:dyDescent="0.25">
      <c r="A970" s="1"/>
      <c r="B970" s="1"/>
      <c r="C970" s="1"/>
      <c r="D970" s="1"/>
      <c r="E970" s="1"/>
      <c r="F970" s="1"/>
      <c r="G970" s="1489" t="s">
        <v>3389</v>
      </c>
      <c r="H970" s="4" t="str">
        <f>'BID 4 b'!B1105</f>
        <v>Belanja Jasa Honorarium Ahli/ Profesi/Konsultan/Narasumber</v>
      </c>
      <c r="I970" s="73">
        <f>'BID 4 b'!F1106</f>
        <v>600000</v>
      </c>
      <c r="J970" s="4" t="s">
        <v>3297</v>
      </c>
      <c r="K970" s="4" t="s">
        <v>3599</v>
      </c>
      <c r="L970" s="73"/>
      <c r="M970" s="73"/>
      <c r="N970" s="73"/>
      <c r="O970" s="73"/>
      <c r="P970" s="73">
        <v>600000</v>
      </c>
      <c r="Q970" s="73"/>
      <c r="R970" s="73"/>
      <c r="S970" s="73"/>
      <c r="T970" s="73"/>
      <c r="U970" s="73"/>
      <c r="V970" s="73"/>
      <c r="W970" s="73"/>
      <c r="X970" s="1864">
        <f t="shared" si="32"/>
        <v>600000</v>
      </c>
      <c r="Y970" s="23">
        <f t="shared" si="31"/>
        <v>0</v>
      </c>
    </row>
    <row r="971" spans="1:25" ht="30" x14ac:dyDescent="0.25">
      <c r="A971" s="865">
        <v>4</v>
      </c>
      <c r="B971" s="865">
        <v>4</v>
      </c>
      <c r="C971" s="865"/>
      <c r="D971" s="865"/>
      <c r="E971" s="865"/>
      <c r="F971" s="865"/>
      <c r="G971" s="1490"/>
      <c r="H971" s="1061" t="s">
        <v>3427</v>
      </c>
      <c r="I971" s="1063"/>
      <c r="J971" s="865"/>
      <c r="K971" s="1061" t="s">
        <v>3599</v>
      </c>
      <c r="L971" s="1063"/>
      <c r="M971" s="1063"/>
      <c r="N971" s="1063"/>
      <c r="O971" s="1063"/>
      <c r="P971" s="1063"/>
      <c r="Q971" s="1063"/>
      <c r="R971" s="1063"/>
      <c r="S971" s="1063"/>
      <c r="T971" s="1063"/>
      <c r="U971" s="1063"/>
      <c r="V971" s="1063"/>
      <c r="W971" s="1063"/>
      <c r="X971" s="1866">
        <f t="shared" si="32"/>
        <v>0</v>
      </c>
      <c r="Y971" s="23">
        <f t="shared" si="31"/>
        <v>0</v>
      </c>
    </row>
    <row r="972" spans="1:25" ht="49.9" customHeight="1" x14ac:dyDescent="0.25">
      <c r="A972" s="865">
        <v>4</v>
      </c>
      <c r="B972" s="865">
        <v>4</v>
      </c>
      <c r="C972" s="1490" t="s">
        <v>3366</v>
      </c>
      <c r="D972" s="865"/>
      <c r="E972" s="865"/>
      <c r="F972" s="865"/>
      <c r="G972" s="865"/>
      <c r="H972" s="1061" t="str">
        <f>'BID 4 b'!B1181</f>
        <v>: Pelatihan dan Penyuluhan Pemberdayaan Perempuan Pembinaan WHDI</v>
      </c>
      <c r="I972" s="1063">
        <f>SUM(I973:I982)</f>
        <v>9688000</v>
      </c>
      <c r="J972" s="865" t="s">
        <v>1220</v>
      </c>
      <c r="K972" s="1061" t="s">
        <v>3599</v>
      </c>
      <c r="L972" s="1063"/>
      <c r="M972" s="1063"/>
      <c r="N972" s="1063"/>
      <c r="O972" s="1063"/>
      <c r="P972" s="1063"/>
      <c r="Q972" s="1063"/>
      <c r="R972" s="1063"/>
      <c r="S972" s="1063"/>
      <c r="T972" s="1063"/>
      <c r="U972" s="1063"/>
      <c r="V972" s="1063"/>
      <c r="W972" s="1063"/>
      <c r="X972" s="1866">
        <f t="shared" si="32"/>
        <v>0</v>
      </c>
      <c r="Y972" s="23">
        <f t="shared" si="31"/>
        <v>-9688000</v>
      </c>
    </row>
    <row r="973" spans="1:25" x14ac:dyDescent="0.25">
      <c r="A973" s="1"/>
      <c r="B973" s="1"/>
      <c r="C973" s="1"/>
      <c r="D973" s="1">
        <v>5</v>
      </c>
      <c r="E973" s="1">
        <v>2</v>
      </c>
      <c r="F973" s="1"/>
      <c r="G973" s="1"/>
      <c r="H973" s="4" t="str">
        <f>'BID 4 b'!B1186</f>
        <v>Belanja Barang Jasa</v>
      </c>
      <c r="I973" s="73"/>
      <c r="J973" s="1"/>
      <c r="K973" s="4" t="s">
        <v>3599</v>
      </c>
      <c r="L973" s="73"/>
      <c r="M973" s="73"/>
      <c r="N973" s="73"/>
      <c r="O973" s="73"/>
      <c r="P973" s="73"/>
      <c r="Q973" s="73"/>
      <c r="R973" s="73"/>
      <c r="S973" s="73"/>
      <c r="T973" s="73"/>
      <c r="U973" s="73"/>
      <c r="V973" s="73"/>
      <c r="W973" s="73"/>
      <c r="X973" s="1864">
        <f t="shared" si="32"/>
        <v>0</v>
      </c>
      <c r="Y973" s="23">
        <f t="shared" si="31"/>
        <v>0</v>
      </c>
    </row>
    <row r="974" spans="1:25" ht="30" x14ac:dyDescent="0.25">
      <c r="A974" s="1"/>
      <c r="B974" s="1"/>
      <c r="C974" s="1"/>
      <c r="D974" s="1"/>
      <c r="E974" s="1"/>
      <c r="F974" s="1">
        <v>1</v>
      </c>
      <c r="G974" s="1"/>
      <c r="H974" s="4" t="str">
        <f>'BID 4 b'!B1187</f>
        <v>Belanja Barang Perlengkapan</v>
      </c>
      <c r="I974" s="73"/>
      <c r="J974" s="1"/>
      <c r="K974" s="4" t="s">
        <v>3599</v>
      </c>
      <c r="L974" s="73"/>
      <c r="M974" s="73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1864">
        <f t="shared" si="32"/>
        <v>0</v>
      </c>
      <c r="Y974" s="23">
        <f t="shared" si="31"/>
        <v>0</v>
      </c>
    </row>
    <row r="975" spans="1:25" ht="30" x14ac:dyDescent="0.25">
      <c r="A975" s="1"/>
      <c r="B975" s="1"/>
      <c r="C975" s="1"/>
      <c r="D975" s="1"/>
      <c r="E975" s="1"/>
      <c r="F975" s="1"/>
      <c r="G975" s="1489" t="s">
        <v>3366</v>
      </c>
      <c r="H975" s="4" t="str">
        <f>'BID 4 b'!B1188</f>
        <v>Belanja Perlengkapan Alat Tulis Kantor dan Benda Pos</v>
      </c>
      <c r="I975" s="73">
        <f>'BID 4 b'!F1189+'BID 4 b'!F1190</f>
        <v>900000</v>
      </c>
      <c r="J975" s="1" t="s">
        <v>1220</v>
      </c>
      <c r="K975" s="4" t="s">
        <v>3599</v>
      </c>
      <c r="L975" s="73"/>
      <c r="M975" s="73"/>
      <c r="N975" s="73"/>
      <c r="O975" s="73"/>
      <c r="P975" s="73"/>
      <c r="Q975" s="73">
        <v>900000</v>
      </c>
      <c r="R975" s="73"/>
      <c r="S975" s="73"/>
      <c r="T975" s="73"/>
      <c r="U975" s="73"/>
      <c r="V975" s="73"/>
      <c r="W975" s="73"/>
      <c r="X975" s="1864">
        <f t="shared" si="32"/>
        <v>900000</v>
      </c>
      <c r="Y975" s="23">
        <f t="shared" si="31"/>
        <v>0</v>
      </c>
    </row>
    <row r="976" spans="1:25" ht="30" x14ac:dyDescent="0.25">
      <c r="A976" s="1"/>
      <c r="B976" s="1"/>
      <c r="C976" s="1"/>
      <c r="D976" s="1"/>
      <c r="E976" s="1"/>
      <c r="F976" s="1"/>
      <c r="G976" s="1489" t="s">
        <v>3391</v>
      </c>
      <c r="H976" s="4" t="str">
        <f>'BID 4 b'!B1191</f>
        <v>Belanja Perlengkapan Barang Konsumsi</v>
      </c>
      <c r="I976" s="73">
        <f>'BID 4 b'!F1192</f>
        <v>1860000</v>
      </c>
      <c r="J976" s="1" t="s">
        <v>1220</v>
      </c>
      <c r="K976" s="4" t="s">
        <v>3599</v>
      </c>
      <c r="L976" s="73"/>
      <c r="M976" s="73"/>
      <c r="N976" s="73"/>
      <c r="O976" s="73"/>
      <c r="P976" s="73"/>
      <c r="Q976" s="73">
        <v>1860000</v>
      </c>
      <c r="R976" s="73"/>
      <c r="S976" s="73"/>
      <c r="T976" s="73"/>
      <c r="U976" s="73"/>
      <c r="V976" s="73"/>
      <c r="W976" s="73"/>
      <c r="X976" s="1864">
        <f t="shared" si="32"/>
        <v>1860000</v>
      </c>
      <c r="Y976" s="23">
        <f t="shared" si="31"/>
        <v>0</v>
      </c>
    </row>
    <row r="977" spans="1:25" ht="30" x14ac:dyDescent="0.25">
      <c r="A977" s="1"/>
      <c r="B977" s="1"/>
      <c r="C977" s="1"/>
      <c r="D977" s="1"/>
      <c r="E977" s="1"/>
      <c r="F977" s="1"/>
      <c r="G977" s="1489" t="s">
        <v>3393</v>
      </c>
      <c r="H977" s="4" t="str">
        <f>'BID 4 b'!B1194</f>
        <v>Belanja Bendera/ Umbul-umbul/ Spanduk</v>
      </c>
      <c r="I977" s="73">
        <f>'BID 4 b'!F1195</f>
        <v>90000</v>
      </c>
      <c r="J977" s="1" t="s">
        <v>1220</v>
      </c>
      <c r="K977" s="4" t="s">
        <v>3599</v>
      </c>
      <c r="L977" s="73"/>
      <c r="M977" s="73"/>
      <c r="N977" s="73"/>
      <c r="O977" s="73"/>
      <c r="P977" s="73"/>
      <c r="Q977" s="73">
        <v>90000</v>
      </c>
      <c r="R977" s="73"/>
      <c r="S977" s="73"/>
      <c r="T977" s="73"/>
      <c r="U977" s="73"/>
      <c r="V977" s="73"/>
      <c r="W977" s="73"/>
      <c r="X977" s="1864">
        <f t="shared" si="32"/>
        <v>90000</v>
      </c>
      <c r="Y977" s="23">
        <f t="shared" si="31"/>
        <v>0</v>
      </c>
    </row>
    <row r="978" spans="1:25" ht="30" x14ac:dyDescent="0.25">
      <c r="A978" s="1"/>
      <c r="B978" s="1"/>
      <c r="C978" s="1"/>
      <c r="D978" s="1"/>
      <c r="E978" s="1"/>
      <c r="F978" s="1"/>
      <c r="G978" s="1">
        <v>90</v>
      </c>
      <c r="H978" s="4" t="str">
        <f>'BID 4 b'!B1196</f>
        <v>Belanja Upakara,Upacara dan Aci-Aci</v>
      </c>
      <c r="I978" s="73">
        <f>SUM('BID 4 b'!F1197:F1199)</f>
        <v>195000</v>
      </c>
      <c r="J978" s="1" t="s">
        <v>1220</v>
      </c>
      <c r="K978" s="4" t="s">
        <v>3599</v>
      </c>
      <c r="L978" s="73"/>
      <c r="M978" s="73"/>
      <c r="N978" s="73"/>
      <c r="O978" s="73"/>
      <c r="P978" s="73"/>
      <c r="Q978" s="73">
        <v>195000</v>
      </c>
      <c r="R978" s="73"/>
      <c r="S978" s="73"/>
      <c r="T978" s="73"/>
      <c r="U978" s="73"/>
      <c r="V978" s="73"/>
      <c r="W978" s="73"/>
      <c r="X978" s="1864">
        <f t="shared" si="32"/>
        <v>195000</v>
      </c>
      <c r="Y978" s="23">
        <f t="shared" si="31"/>
        <v>0</v>
      </c>
    </row>
    <row r="979" spans="1:25" x14ac:dyDescent="0.25">
      <c r="A979" s="1"/>
      <c r="B979" s="1"/>
      <c r="C979" s="1"/>
      <c r="D979" s="1">
        <v>5</v>
      </c>
      <c r="E979" s="1">
        <v>2</v>
      </c>
      <c r="F979" s="1">
        <v>2</v>
      </c>
      <c r="G979" s="1"/>
      <c r="H979" s="4" t="str">
        <f>'BID 4 b'!B1200</f>
        <v>Belanja Jasa Honorarium</v>
      </c>
      <c r="I979" s="73"/>
      <c r="J979" s="1"/>
      <c r="K979" s="4" t="s">
        <v>3599</v>
      </c>
      <c r="L979" s="73"/>
      <c r="M979" s="73"/>
      <c r="N979" s="73"/>
      <c r="O979" s="73"/>
      <c r="P979" s="73"/>
      <c r="Q979" s="73"/>
      <c r="R979" s="73"/>
      <c r="S979" s="73"/>
      <c r="T979" s="73"/>
      <c r="U979" s="73"/>
      <c r="V979" s="73"/>
      <c r="W979" s="73"/>
      <c r="X979" s="1864">
        <f t="shared" si="32"/>
        <v>0</v>
      </c>
      <c r="Y979" s="23">
        <f t="shared" si="31"/>
        <v>0</v>
      </c>
    </row>
    <row r="980" spans="1:25" ht="60" x14ac:dyDescent="0.25">
      <c r="A980" s="1"/>
      <c r="B980" s="1"/>
      <c r="C980" s="1"/>
      <c r="D980" s="1"/>
      <c r="E980" s="1"/>
      <c r="F980" s="1"/>
      <c r="G980" s="1489" t="s">
        <v>3389</v>
      </c>
      <c r="H980" s="4" t="str">
        <f>'BID 4 b'!B1201</f>
        <v>Belanja Jasa Honorarium Ahli/ Profesi/Konsultan/Narasumber</v>
      </c>
      <c r="I980" s="73">
        <f>SUM('BID 4 b'!F1202)</f>
        <v>1800000</v>
      </c>
      <c r="J980" s="1" t="s">
        <v>1220</v>
      </c>
      <c r="K980" s="4" t="s">
        <v>3599</v>
      </c>
      <c r="L980" s="73"/>
      <c r="M980" s="73"/>
      <c r="N980" s="73"/>
      <c r="O980" s="73"/>
      <c r="P980" s="73"/>
      <c r="Q980" s="73">
        <v>1800000</v>
      </c>
      <c r="R980" s="73"/>
      <c r="S980" s="73"/>
      <c r="T980" s="73"/>
      <c r="U980" s="73"/>
      <c r="V980" s="73"/>
      <c r="W980" s="73"/>
      <c r="X980" s="1864">
        <f t="shared" si="32"/>
        <v>1800000</v>
      </c>
      <c r="Y980" s="23">
        <f t="shared" si="31"/>
        <v>0</v>
      </c>
    </row>
    <row r="981" spans="1:25" ht="45" x14ac:dyDescent="0.25">
      <c r="A981" s="1"/>
      <c r="B981" s="1"/>
      <c r="C981" s="1"/>
      <c r="D981" s="1">
        <v>5</v>
      </c>
      <c r="E981" s="1">
        <v>2</v>
      </c>
      <c r="F981" s="1">
        <v>7</v>
      </c>
      <c r="G981" s="1"/>
      <c r="H981" s="4" t="str">
        <f>'BID 4 b'!B1203</f>
        <v>Belanja Barang dan Jasa Yang Diserahkan Kepada Masyarakat</v>
      </c>
      <c r="I981" s="73"/>
      <c r="J981" s="1"/>
      <c r="K981" s="4" t="s">
        <v>3599</v>
      </c>
      <c r="L981" s="73"/>
      <c r="M981" s="73"/>
      <c r="N981" s="73"/>
      <c r="O981" s="73"/>
      <c r="P981" s="73"/>
      <c r="Q981" s="73"/>
      <c r="R981" s="73"/>
      <c r="S981" s="73"/>
      <c r="T981" s="73"/>
      <c r="U981" s="73"/>
      <c r="V981" s="73"/>
      <c r="W981" s="73"/>
      <c r="X981" s="1864">
        <f t="shared" si="32"/>
        <v>0</v>
      </c>
      <c r="Y981" s="23">
        <f t="shared" si="31"/>
        <v>0</v>
      </c>
    </row>
    <row r="982" spans="1:25" ht="45" x14ac:dyDescent="0.25">
      <c r="A982" s="1"/>
      <c r="B982" s="1"/>
      <c r="C982" s="1"/>
      <c r="D982" s="1"/>
      <c r="E982" s="1"/>
      <c r="F982" s="1"/>
      <c r="G982" s="1489" t="s">
        <v>3366</v>
      </c>
      <c r="H982" s="4" t="str">
        <f>'BID 4 b'!B1204</f>
        <v>Belanja Bahan Perlengkapan Untuk Diserahkan Kepada Masyarakat</v>
      </c>
      <c r="I982" s="73">
        <f>SUM('BID 4 b'!F1205:F1255)</f>
        <v>4843000</v>
      </c>
      <c r="J982" s="1" t="s">
        <v>1220</v>
      </c>
      <c r="K982" s="4" t="s">
        <v>3599</v>
      </c>
      <c r="L982" s="73"/>
      <c r="M982" s="73"/>
      <c r="N982" s="73"/>
      <c r="O982" s="73"/>
      <c r="P982" s="73"/>
      <c r="Q982" s="73">
        <v>4843000</v>
      </c>
      <c r="R982" s="73"/>
      <c r="S982" s="73"/>
      <c r="T982" s="73"/>
      <c r="U982" s="73"/>
      <c r="V982" s="73"/>
      <c r="W982" s="73"/>
      <c r="X982" s="1864">
        <f t="shared" si="32"/>
        <v>4843000</v>
      </c>
      <c r="Y982" s="23">
        <f t="shared" si="31"/>
        <v>0</v>
      </c>
    </row>
    <row r="983" spans="1:25" ht="45" x14ac:dyDescent="0.25">
      <c r="A983" s="865">
        <v>4</v>
      </c>
      <c r="B983" s="865">
        <v>4</v>
      </c>
      <c r="C983" s="1490" t="s">
        <v>3366</v>
      </c>
      <c r="D983" s="865"/>
      <c r="E983" s="865"/>
      <c r="F983" s="865"/>
      <c r="G983" s="865"/>
      <c r="H983" s="1061" t="str">
        <f>'BID 4 b'!B1270</f>
        <v>: Pelatihan dan Penyuluhan Pemberdayaan Perempuan Pembinaan PHDI</v>
      </c>
      <c r="I983" s="1063">
        <f>SUM(I984:I991)</f>
        <v>1915000</v>
      </c>
      <c r="J983" s="865" t="s">
        <v>1220</v>
      </c>
      <c r="K983" s="1061" t="s">
        <v>3599</v>
      </c>
      <c r="L983" s="1063"/>
      <c r="M983" s="1063"/>
      <c r="N983" s="1063"/>
      <c r="O983" s="1063"/>
      <c r="P983" s="1063"/>
      <c r="Q983" s="1063"/>
      <c r="R983" s="1063"/>
      <c r="S983" s="1063"/>
      <c r="T983" s="1063"/>
      <c r="U983" s="1063"/>
      <c r="V983" s="1063"/>
      <c r="W983" s="1063"/>
      <c r="X983" s="1866">
        <f t="shared" si="32"/>
        <v>0</v>
      </c>
      <c r="Y983" s="23">
        <f t="shared" si="31"/>
        <v>-1915000</v>
      </c>
    </row>
    <row r="984" spans="1:25" x14ac:dyDescent="0.25">
      <c r="A984" s="1"/>
      <c r="B984" s="1"/>
      <c r="C984" s="1"/>
      <c r="D984" s="1">
        <v>5</v>
      </c>
      <c r="E984" s="1">
        <v>2</v>
      </c>
      <c r="F984" s="1"/>
      <c r="G984" s="1"/>
      <c r="H984" s="4" t="str">
        <f>'BID 4 b'!B1275</f>
        <v>Belanja Barang Jasa</v>
      </c>
      <c r="I984" s="73"/>
      <c r="J984" s="1"/>
      <c r="K984" s="4" t="s">
        <v>3599</v>
      </c>
      <c r="L984" s="73"/>
      <c r="M984" s="73"/>
      <c r="N984" s="73"/>
      <c r="O984" s="73"/>
      <c r="P984" s="73"/>
      <c r="Q984" s="73"/>
      <c r="R984" s="73"/>
      <c r="S984" s="73"/>
      <c r="T984" s="73"/>
      <c r="U984" s="73"/>
      <c r="V984" s="73"/>
      <c r="W984" s="73"/>
      <c r="X984" s="1864">
        <f t="shared" si="32"/>
        <v>0</v>
      </c>
      <c r="Y984" s="23">
        <f t="shared" si="31"/>
        <v>0</v>
      </c>
    </row>
    <row r="985" spans="1:25" ht="30" x14ac:dyDescent="0.25">
      <c r="A985" s="1"/>
      <c r="B985" s="1"/>
      <c r="C985" s="1"/>
      <c r="D985" s="1"/>
      <c r="E985" s="1"/>
      <c r="F985" s="1">
        <v>1</v>
      </c>
      <c r="G985" s="1"/>
      <c r="H985" s="4" t="str">
        <f>'BID 4 b'!B1276</f>
        <v>Belanja Barang Perlengkapan</v>
      </c>
      <c r="I985" s="73"/>
      <c r="J985" s="1"/>
      <c r="K985" s="4" t="s">
        <v>3599</v>
      </c>
      <c r="L985" s="73"/>
      <c r="M985" s="73"/>
      <c r="N985" s="73"/>
      <c r="O985" s="73"/>
      <c r="P985" s="73"/>
      <c r="Q985" s="73"/>
      <c r="R985" s="73"/>
      <c r="S985" s="73"/>
      <c r="T985" s="73"/>
      <c r="U985" s="73"/>
      <c r="V985" s="73"/>
      <c r="W985" s="73"/>
      <c r="X985" s="1864">
        <f t="shared" si="32"/>
        <v>0</v>
      </c>
      <c r="Y985" s="23">
        <f t="shared" si="31"/>
        <v>0</v>
      </c>
    </row>
    <row r="986" spans="1:25" ht="30" x14ac:dyDescent="0.25">
      <c r="A986" s="1"/>
      <c r="B986" s="1"/>
      <c r="C986" s="1"/>
      <c r="D986" s="1"/>
      <c r="E986" s="1"/>
      <c r="F986" s="1"/>
      <c r="G986" s="1489" t="s">
        <v>3366</v>
      </c>
      <c r="H986" s="4" t="str">
        <f>'BID 4 b'!B1277</f>
        <v>Belanja Perlengkapan Alat Tulis Kantor dan Benda Pos</v>
      </c>
      <c r="I986" s="73">
        <f>SUM('BID 4 b'!F1278:F1279)</f>
        <v>420000</v>
      </c>
      <c r="J986" s="1" t="s">
        <v>1220</v>
      </c>
      <c r="K986" s="4" t="s">
        <v>3599</v>
      </c>
      <c r="L986" s="73">
        <v>420000</v>
      </c>
      <c r="M986" s="73"/>
      <c r="N986" s="73"/>
      <c r="O986" s="73"/>
      <c r="P986" s="73"/>
      <c r="Q986" s="73"/>
      <c r="R986" s="73"/>
      <c r="S986" s="73"/>
      <c r="T986" s="73"/>
      <c r="U986" s="73"/>
      <c r="V986" s="73"/>
      <c r="W986" s="73"/>
      <c r="X986" s="1864">
        <f t="shared" si="32"/>
        <v>420000</v>
      </c>
      <c r="Y986" s="23">
        <f t="shared" si="31"/>
        <v>0</v>
      </c>
    </row>
    <row r="987" spans="1:25" ht="30" x14ac:dyDescent="0.25">
      <c r="A987" s="1"/>
      <c r="B987" s="1"/>
      <c r="C987" s="1"/>
      <c r="D987" s="1"/>
      <c r="E987" s="1"/>
      <c r="F987" s="1"/>
      <c r="G987" s="1489" t="s">
        <v>3391</v>
      </c>
      <c r="H987" s="4" t="str">
        <f>'BID 4 b'!B1280</f>
        <v>Belanja Perlengkapan Barang Konsumsi</v>
      </c>
      <c r="I987" s="73">
        <f>SUM('BID 4 b'!F1281)</f>
        <v>740000</v>
      </c>
      <c r="J987" s="1" t="s">
        <v>1220</v>
      </c>
      <c r="K987" s="4" t="s">
        <v>3599</v>
      </c>
      <c r="L987" s="73">
        <v>740000</v>
      </c>
      <c r="M987" s="73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1864">
        <f t="shared" si="32"/>
        <v>740000</v>
      </c>
      <c r="Y987" s="23">
        <f t="shared" si="31"/>
        <v>0</v>
      </c>
    </row>
    <row r="988" spans="1:25" ht="30" x14ac:dyDescent="0.25">
      <c r="A988" s="1"/>
      <c r="B988" s="1"/>
      <c r="C988" s="1"/>
      <c r="D988" s="1"/>
      <c r="E988" s="1"/>
      <c r="F988" s="1"/>
      <c r="G988" s="1489" t="s">
        <v>3393</v>
      </c>
      <c r="H988" s="4" t="str">
        <f>'BID 4 b'!B1283</f>
        <v>Belanja Bendera/ Umbul-umbul/ Spanduk</v>
      </c>
      <c r="I988" s="73">
        <f>'BID 4 b'!F1284</f>
        <v>90000</v>
      </c>
      <c r="J988" s="1" t="s">
        <v>1220</v>
      </c>
      <c r="K988" s="4" t="s">
        <v>3599</v>
      </c>
      <c r="L988" s="73">
        <v>90000</v>
      </c>
      <c r="M988" s="73"/>
      <c r="N988" s="73"/>
      <c r="O988" s="73"/>
      <c r="P988" s="73"/>
      <c r="Q988" s="73"/>
      <c r="R988" s="73"/>
      <c r="S988" s="73"/>
      <c r="T988" s="73"/>
      <c r="U988" s="73"/>
      <c r="V988" s="73"/>
      <c r="W988" s="73"/>
      <c r="X988" s="1864">
        <f t="shared" si="32"/>
        <v>90000</v>
      </c>
      <c r="Y988" s="23">
        <f t="shared" si="31"/>
        <v>0</v>
      </c>
    </row>
    <row r="989" spans="1:25" ht="30" x14ac:dyDescent="0.25">
      <c r="A989" s="1"/>
      <c r="B989" s="1"/>
      <c r="C989" s="1"/>
      <c r="D989" s="1"/>
      <c r="E989" s="1"/>
      <c r="F989" s="1"/>
      <c r="G989" s="1489">
        <v>90</v>
      </c>
      <c r="H989" s="4" t="str">
        <f>'BID 4 b'!B1285</f>
        <v>Belanja Upakara,Upacara dan Aci-Aci</v>
      </c>
      <c r="I989" s="73">
        <f>SUM('BID 4 b'!F1286:F1288)</f>
        <v>65000</v>
      </c>
      <c r="J989" s="1" t="s">
        <v>1220</v>
      </c>
      <c r="K989" s="4" t="s">
        <v>3599</v>
      </c>
      <c r="L989" s="73">
        <v>65000</v>
      </c>
      <c r="M989" s="73"/>
      <c r="N989" s="73"/>
      <c r="O989" s="73"/>
      <c r="P989" s="73"/>
      <c r="Q989" s="73"/>
      <c r="R989" s="73"/>
      <c r="S989" s="73"/>
      <c r="T989" s="73"/>
      <c r="U989" s="73"/>
      <c r="V989" s="73"/>
      <c r="W989" s="73"/>
      <c r="X989" s="1864">
        <f t="shared" si="32"/>
        <v>65000</v>
      </c>
      <c r="Y989" s="23">
        <f t="shared" si="31"/>
        <v>0</v>
      </c>
    </row>
    <row r="990" spans="1:25" x14ac:dyDescent="0.25">
      <c r="A990" s="1"/>
      <c r="B990" s="1"/>
      <c r="C990" s="1"/>
      <c r="D990" s="1">
        <v>5</v>
      </c>
      <c r="E990" s="1">
        <v>2</v>
      </c>
      <c r="F990" s="1">
        <v>2</v>
      </c>
      <c r="G990" s="1"/>
      <c r="H990" s="4" t="str">
        <f>'BID 4 b'!B1289</f>
        <v>Belanja Jasa Honorarium</v>
      </c>
      <c r="I990" s="73"/>
      <c r="J990" s="1"/>
      <c r="K990" s="4" t="s">
        <v>3599</v>
      </c>
      <c r="L990" s="73"/>
      <c r="M990" s="73"/>
      <c r="N990" s="73"/>
      <c r="O990" s="73"/>
      <c r="P990" s="73"/>
      <c r="Q990" s="73"/>
      <c r="R990" s="73"/>
      <c r="S990" s="73"/>
      <c r="T990" s="73"/>
      <c r="U990" s="73"/>
      <c r="V990" s="73"/>
      <c r="W990" s="73"/>
      <c r="X990" s="1864">
        <f t="shared" si="32"/>
        <v>0</v>
      </c>
      <c r="Y990" s="23">
        <f t="shared" si="31"/>
        <v>0</v>
      </c>
    </row>
    <row r="991" spans="1:25" ht="60" x14ac:dyDescent="0.25">
      <c r="A991" s="1"/>
      <c r="B991" s="1"/>
      <c r="C991" s="1"/>
      <c r="D991" s="1"/>
      <c r="E991" s="1"/>
      <c r="F991" s="1"/>
      <c r="G991" s="1489" t="s">
        <v>3389</v>
      </c>
      <c r="H991" s="4" t="str">
        <f>'BID 4 b'!B1290</f>
        <v>Belanja Jasa Honorarium Ahli/ Profesi/Konsultan/Narasumber</v>
      </c>
      <c r="I991" s="73">
        <f>'BID 4 b'!F1291</f>
        <v>600000</v>
      </c>
      <c r="J991" s="1" t="s">
        <v>1220</v>
      </c>
      <c r="K991" s="4" t="s">
        <v>3599</v>
      </c>
      <c r="L991" s="73">
        <v>600000</v>
      </c>
      <c r="M991" s="73"/>
      <c r="N991" s="73"/>
      <c r="O991" s="73"/>
      <c r="P991" s="73"/>
      <c r="Q991" s="73"/>
      <c r="R991" s="73"/>
      <c r="S991" s="73"/>
      <c r="T991" s="73"/>
      <c r="U991" s="73"/>
      <c r="V991" s="73"/>
      <c r="W991" s="73"/>
      <c r="X991" s="1864">
        <f t="shared" si="32"/>
        <v>600000</v>
      </c>
      <c r="Y991" s="23">
        <f t="shared" si="31"/>
        <v>0</v>
      </c>
    </row>
    <row r="992" spans="1:25" ht="75" x14ac:dyDescent="0.25">
      <c r="A992" s="865">
        <v>4</v>
      </c>
      <c r="B992" s="865">
        <v>4</v>
      </c>
      <c r="C992" s="1490" t="s">
        <v>3386</v>
      </c>
      <c r="D992" s="865"/>
      <c r="E992" s="865"/>
      <c r="F992" s="865"/>
      <c r="G992" s="865"/>
      <c r="H992" s="1061" t="str">
        <f>'BID 4 b'!B1305</f>
        <v>: Pengembangan sarana dan prasarana usaha mikro, kecil dan menengah serta koprasi  (Pelatihan Management BUMDes)</v>
      </c>
      <c r="I992" s="1063">
        <f>SUM(I993:I1001)</f>
        <v>13855000</v>
      </c>
      <c r="J992" s="865" t="s">
        <v>1223</v>
      </c>
      <c r="K992" s="1061" t="s">
        <v>3599</v>
      </c>
      <c r="L992" s="1063"/>
      <c r="M992" s="1063"/>
      <c r="N992" s="1063"/>
      <c r="O992" s="1063"/>
      <c r="P992" s="1063"/>
      <c r="Q992" s="1063"/>
      <c r="R992" s="1063"/>
      <c r="S992" s="1063"/>
      <c r="T992" s="1063"/>
      <c r="U992" s="1063"/>
      <c r="V992" s="1063"/>
      <c r="W992" s="1063"/>
      <c r="X992" s="1866">
        <f t="shared" si="32"/>
        <v>0</v>
      </c>
      <c r="Y992" s="23">
        <f t="shared" si="31"/>
        <v>-13855000</v>
      </c>
    </row>
    <row r="993" spans="1:25" x14ac:dyDescent="0.25">
      <c r="A993" s="1"/>
      <c r="B993" s="1"/>
      <c r="C993" s="1"/>
      <c r="D993" s="1">
        <v>5</v>
      </c>
      <c r="E993" s="1">
        <v>2</v>
      </c>
      <c r="F993" s="1"/>
      <c r="G993" s="1"/>
      <c r="H993" s="4" t="str">
        <f>'BID 4 b'!B1311</f>
        <v>Belanja Barang Dan Jasa</v>
      </c>
      <c r="I993" s="73"/>
      <c r="J993" s="1"/>
      <c r="K993" s="4" t="s">
        <v>3599</v>
      </c>
      <c r="L993" s="73"/>
      <c r="M993" s="73"/>
      <c r="N993" s="73"/>
      <c r="O993" s="73"/>
      <c r="P993" s="73"/>
      <c r="Q993" s="73"/>
      <c r="R993" s="73"/>
      <c r="S993" s="73"/>
      <c r="T993" s="73"/>
      <c r="U993" s="73"/>
      <c r="V993" s="73"/>
      <c r="W993" s="73"/>
      <c r="X993" s="1864">
        <f t="shared" si="32"/>
        <v>0</v>
      </c>
      <c r="Y993" s="23">
        <f t="shared" si="31"/>
        <v>0</v>
      </c>
    </row>
    <row r="994" spans="1:25" ht="30" x14ac:dyDescent="0.25">
      <c r="A994" s="1"/>
      <c r="B994" s="1"/>
      <c r="C994" s="1"/>
      <c r="D994" s="1"/>
      <c r="E994" s="1"/>
      <c r="F994" s="1">
        <v>1</v>
      </c>
      <c r="G994" s="1"/>
      <c r="H994" s="4" t="str">
        <f>'BID 4 b'!B1312</f>
        <v>Belanja Barang Perlengkapan</v>
      </c>
      <c r="I994" s="73"/>
      <c r="J994" s="1"/>
      <c r="K994" s="4" t="s">
        <v>3599</v>
      </c>
      <c r="L994" s="73"/>
      <c r="M994" s="73"/>
      <c r="N994" s="73"/>
      <c r="O994" s="73"/>
      <c r="P994" s="73"/>
      <c r="Q994" s="73"/>
      <c r="R994" s="73"/>
      <c r="S994" s="73"/>
      <c r="T994" s="73"/>
      <c r="U994" s="73"/>
      <c r="V994" s="73"/>
      <c r="W994" s="73"/>
      <c r="X994" s="1864">
        <f t="shared" si="32"/>
        <v>0</v>
      </c>
      <c r="Y994" s="23">
        <f t="shared" si="31"/>
        <v>0</v>
      </c>
    </row>
    <row r="995" spans="1:25" ht="30" x14ac:dyDescent="0.25">
      <c r="A995" s="1"/>
      <c r="B995" s="1"/>
      <c r="C995" s="1"/>
      <c r="D995" s="1"/>
      <c r="E995" s="1"/>
      <c r="F995" s="1"/>
      <c r="G995" s="1489" t="s">
        <v>3391</v>
      </c>
      <c r="H995" s="4" t="str">
        <f>'BID 4 b'!B1313</f>
        <v>Belanja Perlengkapan Barang Konsumsi</v>
      </c>
      <c r="I995" s="73">
        <f>'BID 4 b'!F1314</f>
        <v>600000</v>
      </c>
      <c r="J995" s="1" t="s">
        <v>1223</v>
      </c>
      <c r="K995" s="4" t="s">
        <v>3599</v>
      </c>
      <c r="L995" s="73"/>
      <c r="M995" s="73"/>
      <c r="N995" s="73"/>
      <c r="O995" s="73"/>
      <c r="P995" s="73"/>
      <c r="Q995" s="73"/>
      <c r="R995" s="73"/>
      <c r="S995" s="73">
        <v>600000</v>
      </c>
      <c r="T995" s="73"/>
      <c r="U995" s="73"/>
      <c r="V995" s="73"/>
      <c r="W995" s="73"/>
      <c r="X995" s="1864">
        <f t="shared" si="32"/>
        <v>600000</v>
      </c>
      <c r="Y995" s="23">
        <f t="shared" si="31"/>
        <v>0</v>
      </c>
    </row>
    <row r="996" spans="1:25" ht="30" x14ac:dyDescent="0.25">
      <c r="A996" s="1"/>
      <c r="B996" s="1"/>
      <c r="C996" s="1"/>
      <c r="D996" s="1"/>
      <c r="E996" s="1"/>
      <c r="F996" s="1"/>
      <c r="G996" s="1489" t="s">
        <v>3393</v>
      </c>
      <c r="H996" s="4" t="str">
        <f>'BID 4 b'!B1316</f>
        <v>Belanja Bendera/ Umbul-umbul/ Spanduk</v>
      </c>
      <c r="I996" s="73">
        <f>'BID 4 b'!F1317</f>
        <v>90000</v>
      </c>
      <c r="J996" s="1" t="s">
        <v>1223</v>
      </c>
      <c r="K996" s="4" t="s">
        <v>3599</v>
      </c>
      <c r="L996" s="73"/>
      <c r="M996" s="73"/>
      <c r="N996" s="73"/>
      <c r="O996" s="73"/>
      <c r="P996" s="73"/>
      <c r="Q996" s="73"/>
      <c r="R996" s="73"/>
      <c r="S996" s="73">
        <v>90000</v>
      </c>
      <c r="T996" s="73"/>
      <c r="U996" s="73"/>
      <c r="V996" s="73"/>
      <c r="W996" s="73"/>
      <c r="X996" s="1864">
        <f t="shared" si="32"/>
        <v>90000</v>
      </c>
      <c r="Y996" s="23">
        <f t="shared" si="31"/>
        <v>0</v>
      </c>
    </row>
    <row r="997" spans="1:25" ht="30" x14ac:dyDescent="0.25">
      <c r="A997" s="1"/>
      <c r="B997" s="1"/>
      <c r="C997" s="1"/>
      <c r="D997" s="1"/>
      <c r="E997" s="1"/>
      <c r="F997" s="1"/>
      <c r="G997" s="1">
        <v>90</v>
      </c>
      <c r="H997" s="4" t="str">
        <f>'BID 4 b'!B1319</f>
        <v>Belanja Upakara, Upacara dan Aci</v>
      </c>
      <c r="I997" s="73">
        <f>SUM('BID 4 b'!F1320:F1321)</f>
        <v>65000</v>
      </c>
      <c r="J997" s="1" t="s">
        <v>1223</v>
      </c>
      <c r="K997" s="4" t="s">
        <v>3599</v>
      </c>
      <c r="L997" s="73"/>
      <c r="M997" s="73"/>
      <c r="N997" s="73"/>
      <c r="O997" s="73"/>
      <c r="P997" s="73"/>
      <c r="Q997" s="73"/>
      <c r="R997" s="73"/>
      <c r="S997" s="73">
        <v>65000</v>
      </c>
      <c r="T997" s="73"/>
      <c r="U997" s="73"/>
      <c r="V997" s="73"/>
      <c r="W997" s="73"/>
      <c r="X997" s="1864">
        <f t="shared" si="32"/>
        <v>65000</v>
      </c>
      <c r="Y997" s="23">
        <f t="shared" si="31"/>
        <v>0</v>
      </c>
    </row>
    <row r="998" spans="1:25" x14ac:dyDescent="0.25">
      <c r="A998" s="1"/>
      <c r="B998" s="1"/>
      <c r="C998" s="1"/>
      <c r="D998" s="1">
        <v>5</v>
      </c>
      <c r="E998" s="1">
        <v>2</v>
      </c>
      <c r="F998" s="1">
        <v>2</v>
      </c>
      <c r="G998" s="1"/>
      <c r="H998" s="4" t="str">
        <f>'BID 4 b'!B1323</f>
        <v>Belanja Honorarium</v>
      </c>
      <c r="I998" s="73"/>
      <c r="J998" s="1"/>
      <c r="K998" s="4" t="s">
        <v>3599</v>
      </c>
      <c r="L998" s="73"/>
      <c r="M998" s="73"/>
      <c r="N998" s="73"/>
      <c r="O998" s="73"/>
      <c r="P998" s="73"/>
      <c r="Q998" s="73"/>
      <c r="R998" s="73"/>
      <c r="S998" s="73"/>
      <c r="T998" s="73"/>
      <c r="U998" s="73"/>
      <c r="V998" s="73"/>
      <c r="W998" s="73"/>
      <c r="X998" s="1864">
        <f t="shared" si="32"/>
        <v>0</v>
      </c>
      <c r="Y998" s="23">
        <f t="shared" si="31"/>
        <v>0</v>
      </c>
    </row>
    <row r="999" spans="1:25" ht="45" x14ac:dyDescent="0.25">
      <c r="A999" s="1"/>
      <c r="B999" s="1"/>
      <c r="C999" s="1"/>
      <c r="D999" s="1"/>
      <c r="E999" s="1"/>
      <c r="F999" s="1"/>
      <c r="G999" s="1489" t="s">
        <v>3389</v>
      </c>
      <c r="H999" s="4" t="str">
        <f>'BID 4 b'!B1324</f>
        <v>Belanja Jasa Honorarium Ahli/Profesi/Konsultan/Narasumber</v>
      </c>
      <c r="I999" s="73">
        <f>SUM('BID 4 b'!F1325)</f>
        <v>600000</v>
      </c>
      <c r="J999" s="1" t="s">
        <v>1223</v>
      </c>
      <c r="K999" s="4" t="s">
        <v>3599</v>
      </c>
      <c r="L999" s="73"/>
      <c r="M999" s="73"/>
      <c r="N999" s="73"/>
      <c r="O999" s="73"/>
      <c r="P999" s="73"/>
      <c r="Q999" s="73"/>
      <c r="R999" s="73"/>
      <c r="S999" s="73">
        <v>600000</v>
      </c>
      <c r="T999" s="73"/>
      <c r="U999" s="73"/>
      <c r="V999" s="73"/>
      <c r="W999" s="73"/>
      <c r="X999" s="1864">
        <f t="shared" si="32"/>
        <v>600000</v>
      </c>
      <c r="Y999" s="23">
        <f t="shared" si="31"/>
        <v>0</v>
      </c>
    </row>
    <row r="1000" spans="1:25" x14ac:dyDescent="0.25">
      <c r="A1000" s="1"/>
      <c r="B1000" s="1"/>
      <c r="C1000" s="1"/>
      <c r="D1000" s="1">
        <v>5</v>
      </c>
      <c r="E1000" s="1">
        <v>2</v>
      </c>
      <c r="F1000" s="1">
        <v>4</v>
      </c>
      <c r="G1000" s="1"/>
      <c r="H1000" s="4" t="str">
        <f>'BID 4 b'!B1326</f>
        <v>Belanja Jasa Sewa</v>
      </c>
      <c r="I1000" s="73"/>
      <c r="J1000" s="1"/>
      <c r="K1000" s="4" t="s">
        <v>3599</v>
      </c>
      <c r="L1000" s="73"/>
      <c r="M1000" s="73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1864">
        <f t="shared" si="32"/>
        <v>0</v>
      </c>
      <c r="Y1000" s="23">
        <f t="shared" si="31"/>
        <v>0</v>
      </c>
    </row>
    <row r="1001" spans="1:25" x14ac:dyDescent="0.25">
      <c r="A1001" s="1"/>
      <c r="B1001" s="1"/>
      <c r="C1001" s="1"/>
      <c r="D1001" s="1"/>
      <c r="E1001" s="1"/>
      <c r="F1001" s="1"/>
      <c r="G1001" s="1489" t="s">
        <v>3366</v>
      </c>
      <c r="H1001" s="4" t="str">
        <f>'BID 4 b'!B1327</f>
        <v>Belanja Jasa Sewa Mobiltas</v>
      </c>
      <c r="I1001" s="73">
        <f>SUM('BID 4 b'!F1329)</f>
        <v>12500000</v>
      </c>
      <c r="J1001" s="1" t="s">
        <v>1223</v>
      </c>
      <c r="K1001" s="4" t="s">
        <v>3599</v>
      </c>
      <c r="L1001" s="73"/>
      <c r="M1001" s="73"/>
      <c r="N1001" s="73"/>
      <c r="O1001" s="73"/>
      <c r="P1001" s="73"/>
      <c r="Q1001" s="73"/>
      <c r="R1001" s="73"/>
      <c r="S1001" s="73">
        <v>12500000</v>
      </c>
      <c r="T1001" s="73"/>
      <c r="U1001" s="73"/>
      <c r="V1001" s="73"/>
      <c r="W1001" s="73"/>
      <c r="X1001" s="1864">
        <f t="shared" si="32"/>
        <v>12500000</v>
      </c>
      <c r="Y1001" s="23">
        <f t="shared" si="31"/>
        <v>0</v>
      </c>
    </row>
    <row r="1002" spans="1:25" ht="30" x14ac:dyDescent="0.25">
      <c r="A1002" s="865">
        <v>4</v>
      </c>
      <c r="B1002" s="865">
        <v>6</v>
      </c>
      <c r="C1002" s="865"/>
      <c r="D1002" s="865"/>
      <c r="E1002" s="865"/>
      <c r="F1002" s="865"/>
      <c r="G1002" s="1490"/>
      <c r="H1002" s="1061" t="s">
        <v>3428</v>
      </c>
      <c r="I1002" s="1063"/>
      <c r="J1002" s="865"/>
      <c r="K1002" s="1061" t="s">
        <v>3599</v>
      </c>
      <c r="L1002" s="1063"/>
      <c r="M1002" s="1063"/>
      <c r="N1002" s="1063"/>
      <c r="O1002" s="1063"/>
      <c r="P1002" s="1063"/>
      <c r="Q1002" s="1063"/>
      <c r="R1002" s="1063"/>
      <c r="S1002" s="1063"/>
      <c r="T1002" s="1063"/>
      <c r="U1002" s="1063"/>
      <c r="V1002" s="1063"/>
      <c r="W1002" s="1063"/>
      <c r="X1002" s="1866">
        <f t="shared" si="32"/>
        <v>0</v>
      </c>
      <c r="Y1002" s="23">
        <f t="shared" si="31"/>
        <v>0</v>
      </c>
    </row>
    <row r="1003" spans="1:25" ht="74.45" customHeight="1" x14ac:dyDescent="0.25">
      <c r="A1003" s="865">
        <v>4</v>
      </c>
      <c r="B1003" s="865">
        <v>6</v>
      </c>
      <c r="C1003" s="1490" t="s">
        <v>3386</v>
      </c>
      <c r="D1003" s="865"/>
      <c r="E1003" s="865"/>
      <c r="F1003" s="865"/>
      <c r="G1003" s="865"/>
      <c r="H1003" s="1061" t="str">
        <f>'BID 4 b'!B1344</f>
        <v>: Pengembangan sarana dan prasarana usaha mikro, kecil dan menengah serta koprasi  (Pembentukan dan Sosialisasi Koperasi Desa Merah Putih)</v>
      </c>
      <c r="I1003" s="1063">
        <f>SUM(I1004:I1008)</f>
        <v>14715000</v>
      </c>
      <c r="J1003" s="865" t="s">
        <v>1410</v>
      </c>
      <c r="K1003" s="1061" t="s">
        <v>3599</v>
      </c>
      <c r="L1003" s="1063"/>
      <c r="M1003" s="1063"/>
      <c r="N1003" s="1063"/>
      <c r="O1003" s="1063"/>
      <c r="P1003" s="1063"/>
      <c r="Q1003" s="1063"/>
      <c r="R1003" s="1063"/>
      <c r="S1003" s="1063"/>
      <c r="T1003" s="1063"/>
      <c r="U1003" s="1063"/>
      <c r="V1003" s="1063"/>
      <c r="W1003" s="1063"/>
      <c r="X1003" s="1866">
        <f t="shared" si="32"/>
        <v>0</v>
      </c>
      <c r="Y1003" s="23">
        <f t="shared" si="31"/>
        <v>-14715000</v>
      </c>
    </row>
    <row r="1004" spans="1:25" x14ac:dyDescent="0.25">
      <c r="A1004" s="1"/>
      <c r="B1004" s="1"/>
      <c r="C1004" s="1"/>
      <c r="D1004" s="1">
        <v>5</v>
      </c>
      <c r="E1004" s="1">
        <v>2</v>
      </c>
      <c r="F1004" s="1"/>
      <c r="G1004" s="1"/>
      <c r="H1004" s="4" t="str">
        <f>'BID 4 b'!B1350</f>
        <v>Belanja Barang Dan Jasa</v>
      </c>
      <c r="I1004" s="73"/>
      <c r="J1004" s="1"/>
      <c r="K1004" s="4" t="s">
        <v>3599</v>
      </c>
      <c r="L1004" s="73"/>
      <c r="M1004" s="73"/>
      <c r="N1004" s="73"/>
      <c r="O1004" s="73"/>
      <c r="P1004" s="73"/>
      <c r="Q1004" s="73"/>
      <c r="R1004" s="73"/>
      <c r="S1004" s="73"/>
      <c r="T1004" s="73"/>
      <c r="U1004" s="73"/>
      <c r="V1004" s="73"/>
      <c r="W1004" s="73"/>
      <c r="X1004" s="1864">
        <f t="shared" si="32"/>
        <v>0</v>
      </c>
      <c r="Y1004" s="23">
        <f t="shared" si="31"/>
        <v>0</v>
      </c>
    </row>
    <row r="1005" spans="1:25" ht="30" x14ac:dyDescent="0.25">
      <c r="A1005" s="1"/>
      <c r="B1005" s="1"/>
      <c r="C1005" s="1"/>
      <c r="D1005" s="1"/>
      <c r="E1005" s="1"/>
      <c r="F1005" s="1">
        <v>1</v>
      </c>
      <c r="G1005" s="1"/>
      <c r="H1005" s="4" t="str">
        <f>'BID 4 b'!B1351</f>
        <v>Belanja Barang Perlengkapan</v>
      </c>
      <c r="I1005" s="73"/>
      <c r="J1005" s="1"/>
      <c r="K1005" s="4" t="s">
        <v>3599</v>
      </c>
      <c r="L1005" s="73"/>
      <c r="M1005" s="73"/>
      <c r="N1005" s="73"/>
      <c r="O1005" s="73"/>
      <c r="P1005" s="73"/>
      <c r="Q1005" s="73"/>
      <c r="R1005" s="73"/>
      <c r="S1005" s="73"/>
      <c r="T1005" s="73"/>
      <c r="U1005" s="73"/>
      <c r="V1005" s="73"/>
      <c r="W1005" s="73"/>
      <c r="X1005" s="1864">
        <f t="shared" si="32"/>
        <v>0</v>
      </c>
      <c r="Y1005" s="23">
        <f t="shared" ref="Y1005:Y1014" si="33">X1005-I1005</f>
        <v>0</v>
      </c>
    </row>
    <row r="1006" spans="1:25" ht="30" x14ac:dyDescent="0.25">
      <c r="A1006" s="1"/>
      <c r="B1006" s="1"/>
      <c r="C1006" s="1"/>
      <c r="D1006" s="1"/>
      <c r="E1006" s="1"/>
      <c r="F1006" s="1"/>
      <c r="G1006" s="1489" t="s">
        <v>3391</v>
      </c>
      <c r="H1006" s="4" t="str">
        <f>'BID 4 b'!B1352</f>
        <v>Belanja Perlengkapan Barang Konsumsi</v>
      </c>
      <c r="I1006" s="73">
        <f>'BID 4 b'!F1353+'BID 4 b'!F1354</f>
        <v>13800000</v>
      </c>
      <c r="J1006" s="1" t="s">
        <v>1410</v>
      </c>
      <c r="K1006" s="4" t="s">
        <v>3599</v>
      </c>
      <c r="L1006" s="73"/>
      <c r="M1006" s="73"/>
      <c r="N1006" s="73"/>
      <c r="O1006" s="73"/>
      <c r="P1006" s="73"/>
      <c r="Q1006" s="73"/>
      <c r="R1006" s="73">
        <v>13800000</v>
      </c>
      <c r="S1006" s="73"/>
      <c r="T1006" s="73"/>
      <c r="U1006" s="73"/>
      <c r="V1006" s="73"/>
      <c r="W1006" s="73"/>
      <c r="X1006" s="1864">
        <f t="shared" si="32"/>
        <v>13800000</v>
      </c>
      <c r="Y1006" s="23">
        <f t="shared" si="33"/>
        <v>0</v>
      </c>
    </row>
    <row r="1007" spans="1:25" ht="30" x14ac:dyDescent="0.25">
      <c r="A1007" s="1"/>
      <c r="B1007" s="1"/>
      <c r="C1007" s="1"/>
      <c r="D1007" s="1"/>
      <c r="E1007" s="1"/>
      <c r="F1007" s="1"/>
      <c r="G1007" s="1489" t="s">
        <v>3393</v>
      </c>
      <c r="H1007" s="4" t="str">
        <f>'BID 4 b'!B1355</f>
        <v>Belanja Bendera/ Umbul-umbul/ Spanduk</v>
      </c>
      <c r="I1007" s="73">
        <f>'BID 4 b'!F1356</f>
        <v>90000</v>
      </c>
      <c r="J1007" s="1" t="s">
        <v>1410</v>
      </c>
      <c r="K1007" s="4" t="s">
        <v>3599</v>
      </c>
      <c r="L1007" s="73"/>
      <c r="M1007" s="73"/>
      <c r="N1007" s="73"/>
      <c r="O1007" s="73"/>
      <c r="P1007" s="73"/>
      <c r="Q1007" s="73"/>
      <c r="R1007" s="73">
        <v>90000</v>
      </c>
      <c r="S1007" s="73"/>
      <c r="T1007" s="73"/>
      <c r="U1007" s="73"/>
      <c r="V1007" s="73"/>
      <c r="W1007" s="73"/>
      <c r="X1007" s="1864">
        <f t="shared" si="32"/>
        <v>90000</v>
      </c>
      <c r="Y1007" s="23">
        <f t="shared" si="33"/>
        <v>0</v>
      </c>
    </row>
    <row r="1008" spans="1:25" ht="30" x14ac:dyDescent="0.25">
      <c r="A1008" s="1"/>
      <c r="B1008" s="1"/>
      <c r="C1008" s="1"/>
      <c r="D1008" s="1"/>
      <c r="E1008" s="1"/>
      <c r="F1008" s="1"/>
      <c r="G1008" s="1">
        <v>90</v>
      </c>
      <c r="H1008" s="4" t="str">
        <f>'BID 4 b'!B1358</f>
        <v>Belanja Upakara, Upacara dan Aci</v>
      </c>
      <c r="I1008" s="73">
        <f>'BID 4 b'!F1359+'BID 4 b'!F1360</f>
        <v>825000</v>
      </c>
      <c r="J1008" s="1" t="s">
        <v>1410</v>
      </c>
      <c r="K1008" s="4" t="s">
        <v>3599</v>
      </c>
      <c r="L1008" s="73"/>
      <c r="M1008" s="73"/>
      <c r="N1008" s="73"/>
      <c r="O1008" s="73"/>
      <c r="P1008" s="73"/>
      <c r="Q1008" s="73"/>
      <c r="R1008" s="73">
        <v>825000</v>
      </c>
      <c r="S1008" s="73"/>
      <c r="T1008" s="73"/>
      <c r="U1008" s="73"/>
      <c r="V1008" s="73"/>
      <c r="W1008" s="73"/>
      <c r="X1008" s="1864">
        <f t="shared" si="32"/>
        <v>825000</v>
      </c>
      <c r="Y1008" s="23">
        <f t="shared" si="33"/>
        <v>0</v>
      </c>
    </row>
    <row r="1009" spans="1:26" ht="45" x14ac:dyDescent="0.25">
      <c r="A1009" s="1869">
        <v>5</v>
      </c>
      <c r="B1009" s="1869"/>
      <c r="C1009" s="1869"/>
      <c r="D1009" s="1869"/>
      <c r="E1009" s="1869"/>
      <c r="F1009" s="1869"/>
      <c r="G1009" s="1869"/>
      <c r="H1009" s="1870" t="str">
        <f>'Bid 5b'!B5</f>
        <v>: Bidang Penanggulangan Bencana, Darurat dan Mendesak Desa</v>
      </c>
      <c r="I1009" s="1871">
        <f>I1010</f>
        <v>26926587.09</v>
      </c>
      <c r="J1009" s="1869"/>
      <c r="K1009" s="1870"/>
      <c r="L1009" s="1871"/>
      <c r="M1009" s="1871"/>
      <c r="N1009" s="1871"/>
      <c r="O1009" s="1871"/>
      <c r="P1009" s="1871"/>
      <c r="Q1009" s="1871"/>
      <c r="R1009" s="1871"/>
      <c r="S1009" s="1871"/>
      <c r="T1009" s="1871"/>
      <c r="U1009" s="1871"/>
      <c r="V1009" s="1871"/>
      <c r="W1009" s="1871"/>
      <c r="X1009" s="1872">
        <f t="shared" si="32"/>
        <v>0</v>
      </c>
      <c r="Y1009" s="23">
        <f t="shared" si="33"/>
        <v>-26926587.09</v>
      </c>
    </row>
    <row r="1010" spans="1:26" ht="30" x14ac:dyDescent="0.25">
      <c r="A1010" s="865">
        <v>5</v>
      </c>
      <c r="B1010" s="865">
        <v>2</v>
      </c>
      <c r="C1010" s="1490" t="s">
        <v>3416</v>
      </c>
      <c r="D1010" s="865"/>
      <c r="E1010" s="865"/>
      <c r="F1010" s="865"/>
      <c r="G1010" s="865"/>
      <c r="H1010" s="1061" t="str">
        <f>'Bid 5b'!B37</f>
        <v>: Penanganan Keadaan Darurta</v>
      </c>
      <c r="I1010" s="1063">
        <f>SUM(I1011:I1014)</f>
        <v>26926587.09</v>
      </c>
      <c r="J1010" s="865"/>
      <c r="K1010" s="1061" t="s">
        <v>3598</v>
      </c>
      <c r="L1010" s="1063"/>
      <c r="M1010" s="1063"/>
      <c r="N1010" s="1063"/>
      <c r="O1010" s="1063"/>
      <c r="P1010" s="1063"/>
      <c r="Q1010" s="1063"/>
      <c r="R1010" s="1063"/>
      <c r="S1010" s="1063"/>
      <c r="T1010" s="1063"/>
      <c r="U1010" s="1063"/>
      <c r="V1010" s="1063"/>
      <c r="W1010" s="1063"/>
      <c r="X1010" s="1866">
        <f t="shared" si="32"/>
        <v>0</v>
      </c>
      <c r="Y1010" s="23">
        <f t="shared" si="33"/>
        <v>-26926587.09</v>
      </c>
    </row>
    <row r="1011" spans="1:26" ht="30" x14ac:dyDescent="0.25">
      <c r="A1011" s="1"/>
      <c r="B1011" s="1"/>
      <c r="C1011" s="1"/>
      <c r="D1011" s="1">
        <v>5</v>
      </c>
      <c r="E1011" s="1">
        <v>4</v>
      </c>
      <c r="F1011" s="1"/>
      <c r="G1011" s="1"/>
      <c r="H1011" s="1" t="str">
        <f>'Bid 5b'!B43</f>
        <v>Belanja Tak Terduga</v>
      </c>
      <c r="I1011" s="73"/>
      <c r="J1011" s="1"/>
      <c r="K1011" s="4" t="s">
        <v>3598</v>
      </c>
      <c r="L1011" s="73"/>
      <c r="M1011" s="73"/>
      <c r="N1011" s="73"/>
      <c r="O1011" s="73"/>
      <c r="P1011" s="73"/>
      <c r="Q1011" s="73"/>
      <c r="R1011" s="73"/>
      <c r="S1011" s="73"/>
      <c r="T1011" s="73"/>
      <c r="U1011" s="73"/>
      <c r="V1011" s="73"/>
      <c r="W1011" s="73"/>
      <c r="X1011" s="1864">
        <f t="shared" si="32"/>
        <v>0</v>
      </c>
      <c r="Y1011" s="23">
        <f t="shared" si="33"/>
        <v>0</v>
      </c>
    </row>
    <row r="1012" spans="1:26" ht="30" x14ac:dyDescent="0.25">
      <c r="A1012" s="1"/>
      <c r="B1012" s="1"/>
      <c r="C1012" s="1"/>
      <c r="D1012" s="1"/>
      <c r="E1012" s="1"/>
      <c r="F1012" s="1">
        <v>1</v>
      </c>
      <c r="G1012" s="1"/>
      <c r="H1012" s="1" t="str">
        <f>'Bid 5b'!B44</f>
        <v>Belanja Tak Terduga</v>
      </c>
      <c r="I1012" s="73"/>
      <c r="J1012" s="1"/>
      <c r="K1012" s="4" t="s">
        <v>3598</v>
      </c>
      <c r="L1012" s="73"/>
      <c r="M1012" s="73"/>
      <c r="N1012" s="73"/>
      <c r="O1012" s="73"/>
      <c r="P1012" s="73"/>
      <c r="Q1012" s="73"/>
      <c r="R1012" s="73"/>
      <c r="S1012" s="73"/>
      <c r="T1012" s="73"/>
      <c r="U1012" s="73"/>
      <c r="V1012" s="73"/>
      <c r="W1012" s="73"/>
      <c r="X1012" s="1864">
        <f t="shared" si="32"/>
        <v>0</v>
      </c>
      <c r="Y1012" s="23">
        <f t="shared" si="33"/>
        <v>0</v>
      </c>
    </row>
    <row r="1013" spans="1:26" ht="30" x14ac:dyDescent="0.25">
      <c r="A1013" s="1"/>
      <c r="B1013" s="1"/>
      <c r="C1013" s="1"/>
      <c r="D1013" s="1"/>
      <c r="E1013" s="1"/>
      <c r="F1013" s="1"/>
      <c r="G1013" s="1489" t="s">
        <v>3366</v>
      </c>
      <c r="H1013" s="1" t="str">
        <f>'Bid 5b'!B45</f>
        <v>Belanja Tak Terduga</v>
      </c>
      <c r="I1013" s="73">
        <f>'Bid 5b'!F46</f>
        <v>1124000</v>
      </c>
      <c r="J1013" s="1" t="s">
        <v>1410</v>
      </c>
      <c r="K1013" s="4" t="s">
        <v>3598</v>
      </c>
      <c r="L1013" s="73"/>
      <c r="M1013" s="73">
        <v>1124000</v>
      </c>
      <c r="N1013" s="73"/>
      <c r="O1013" s="73"/>
      <c r="P1013" s="73"/>
      <c r="Q1013" s="73"/>
      <c r="R1013" s="73"/>
      <c r="S1013" s="73"/>
      <c r="T1013" s="73"/>
      <c r="U1013" s="73"/>
      <c r="V1013" s="73"/>
      <c r="W1013" s="73"/>
      <c r="X1013" s="1864">
        <f t="shared" ref="X1013:X1030" si="34">SUM(L1013:W1013)</f>
        <v>1124000</v>
      </c>
      <c r="Y1013" s="23">
        <f t="shared" si="33"/>
        <v>0</v>
      </c>
    </row>
    <row r="1014" spans="1:26" ht="30" x14ac:dyDescent="0.25">
      <c r="A1014" s="1"/>
      <c r="B1014" s="1"/>
      <c r="C1014" s="1"/>
      <c r="D1014" s="1"/>
      <c r="E1014" s="1"/>
      <c r="F1014" s="1"/>
      <c r="G1014" s="1489" t="s">
        <v>3366</v>
      </c>
      <c r="H1014" s="1" t="str">
        <f>'Bid 5b'!B47</f>
        <v>Belanja Tak Terduga</v>
      </c>
      <c r="I1014" s="73">
        <f>'Bid 5b'!F47</f>
        <v>25802587.09</v>
      </c>
      <c r="J1014" s="4" t="s">
        <v>2179</v>
      </c>
      <c r="K1014" s="4" t="s">
        <v>3598</v>
      </c>
      <c r="L1014" s="73"/>
      <c r="M1014" s="73"/>
      <c r="N1014" s="73">
        <v>25802587.09</v>
      </c>
      <c r="O1014" s="73"/>
      <c r="P1014" s="73"/>
      <c r="Q1014" s="73"/>
      <c r="R1014" s="73"/>
      <c r="S1014" s="73"/>
      <c r="T1014" s="73"/>
      <c r="U1014" s="73"/>
      <c r="V1014" s="73"/>
      <c r="W1014" s="73"/>
      <c r="X1014" s="1864">
        <f t="shared" si="34"/>
        <v>25802587.09</v>
      </c>
      <c r="Y1014" s="23">
        <f t="shared" si="33"/>
        <v>0</v>
      </c>
    </row>
    <row r="1015" spans="1:26" x14ac:dyDescent="0.25">
      <c r="A1015" s="1"/>
      <c r="B1015" s="1"/>
      <c r="C1015" s="1"/>
      <c r="D1015" s="1"/>
      <c r="E1015" s="1"/>
      <c r="F1015" s="1"/>
      <c r="G1015" s="1"/>
      <c r="H1015" s="1"/>
      <c r="I1015" s="73"/>
      <c r="J1015" s="1"/>
      <c r="K1015" s="4"/>
      <c r="L1015" s="73"/>
      <c r="M1015" s="73"/>
      <c r="N1015" s="73"/>
      <c r="O1015" s="73"/>
      <c r="P1015" s="73"/>
      <c r="Q1015" s="73"/>
      <c r="R1015" s="73"/>
      <c r="S1015" s="73"/>
      <c r="T1015" s="73"/>
      <c r="U1015" s="73"/>
      <c r="V1015" s="73"/>
      <c r="W1015" s="73"/>
      <c r="X1015" s="1864">
        <f t="shared" si="34"/>
        <v>0</v>
      </c>
      <c r="Y1015" s="139">
        <f t="shared" ref="Y1015:Y1030" si="35">X1015-I1015</f>
        <v>0</v>
      </c>
    </row>
    <row r="1016" spans="1:26" x14ac:dyDescent="0.25">
      <c r="A1016" s="1869"/>
      <c r="B1016" s="1869"/>
      <c r="C1016" s="1869"/>
      <c r="D1016" s="1869"/>
      <c r="E1016" s="1869"/>
      <c r="F1016" s="1869"/>
      <c r="G1016" s="1869"/>
      <c r="H1016" s="1869" t="s">
        <v>3342</v>
      </c>
      <c r="I1016" s="1871">
        <f>I1009+I885+I656+I290+I38</f>
        <v>14679842814.959999</v>
      </c>
      <c r="J1016" s="1869"/>
      <c r="K1016" s="1870"/>
      <c r="L1016" s="1871"/>
      <c r="M1016" s="1871"/>
      <c r="N1016" s="1871"/>
      <c r="O1016" s="1871"/>
      <c r="P1016" s="1871"/>
      <c r="Q1016" s="1871"/>
      <c r="R1016" s="1871"/>
      <c r="S1016" s="1871"/>
      <c r="T1016" s="1871"/>
      <c r="U1016" s="1871"/>
      <c r="V1016" s="1871"/>
      <c r="W1016" s="1871"/>
      <c r="X1016" s="1872"/>
      <c r="Y1016" s="139">
        <f>X1016-I1016</f>
        <v>-14679842814.959999</v>
      </c>
      <c r="Z1016" s="23">
        <f>Y1016+I1016</f>
        <v>0</v>
      </c>
    </row>
    <row r="1017" spans="1:26" x14ac:dyDescent="0.25">
      <c r="A1017" s="1869"/>
      <c r="B1017" s="1869"/>
      <c r="C1017" s="1869"/>
      <c r="D1017" s="1869"/>
      <c r="E1017" s="1869"/>
      <c r="F1017" s="1869"/>
      <c r="G1017" s="1869"/>
      <c r="H1017" s="1869" t="s">
        <v>3402</v>
      </c>
      <c r="I1017" s="1871">
        <f>I36-I1016</f>
        <v>-4100682816.9599991</v>
      </c>
      <c r="J1017" s="1869"/>
      <c r="K1017" s="1870"/>
      <c r="L1017" s="1871"/>
      <c r="M1017" s="1871"/>
      <c r="N1017" s="1871"/>
      <c r="O1017" s="1871"/>
      <c r="P1017" s="1871"/>
      <c r="Q1017" s="1871"/>
      <c r="R1017" s="1871"/>
      <c r="S1017" s="1871"/>
      <c r="T1017" s="1871"/>
      <c r="U1017" s="1871"/>
      <c r="V1017" s="1871"/>
      <c r="W1017" s="1871"/>
      <c r="X1017" s="1872">
        <f t="shared" si="34"/>
        <v>0</v>
      </c>
      <c r="Y1017" s="139">
        <f t="shared" si="35"/>
        <v>4100682816.9599991</v>
      </c>
    </row>
    <row r="1018" spans="1:26" x14ac:dyDescent="0.25">
      <c r="A1018" s="1"/>
      <c r="B1018" s="1"/>
      <c r="C1018" s="1"/>
      <c r="D1018" s="1"/>
      <c r="E1018" s="1"/>
      <c r="F1018" s="1"/>
      <c r="G1018" s="1"/>
      <c r="H1018" s="1"/>
      <c r="I1018" s="73"/>
      <c r="J1018" s="1"/>
      <c r="K1018" s="4"/>
      <c r="L1018" s="73"/>
      <c r="M1018" s="73"/>
      <c r="N1018" s="73"/>
      <c r="O1018" s="73"/>
      <c r="P1018" s="73"/>
      <c r="Q1018" s="73"/>
      <c r="R1018" s="73"/>
      <c r="S1018" s="73"/>
      <c r="T1018" s="73"/>
      <c r="U1018" s="73"/>
      <c r="V1018" s="73"/>
      <c r="W1018" s="73"/>
      <c r="X1018" s="1864">
        <f t="shared" si="34"/>
        <v>0</v>
      </c>
      <c r="Y1018" s="139">
        <f t="shared" si="35"/>
        <v>0</v>
      </c>
    </row>
    <row r="1019" spans="1:26" x14ac:dyDescent="0.25">
      <c r="A1019" s="1"/>
      <c r="B1019" s="1"/>
      <c r="C1019" s="1"/>
      <c r="D1019" s="1">
        <v>6</v>
      </c>
      <c r="E1019" s="1"/>
      <c r="F1019" s="1"/>
      <c r="G1019" s="858"/>
      <c r="H1019" s="1" t="s">
        <v>3403</v>
      </c>
      <c r="I1019" s="73"/>
      <c r="J1019" s="1"/>
      <c r="K1019" s="4"/>
      <c r="L1019" s="73"/>
      <c r="M1019" s="73"/>
      <c r="N1019" s="73"/>
      <c r="O1019" s="73"/>
      <c r="P1019" s="73"/>
      <c r="Q1019" s="73"/>
      <c r="R1019" s="73"/>
      <c r="S1019" s="73"/>
      <c r="T1019" s="73"/>
      <c r="U1019" s="73"/>
      <c r="V1019" s="73"/>
      <c r="W1019" s="73"/>
      <c r="X1019" s="1864">
        <f t="shared" si="34"/>
        <v>0</v>
      </c>
      <c r="Y1019" s="139">
        <f t="shared" si="35"/>
        <v>0</v>
      </c>
    </row>
    <row r="1020" spans="1:26" x14ac:dyDescent="0.25">
      <c r="A1020" s="1"/>
      <c r="B1020" s="1"/>
      <c r="C1020" s="1"/>
      <c r="D1020" s="1">
        <v>6</v>
      </c>
      <c r="E1020" s="1">
        <v>1</v>
      </c>
      <c r="F1020" s="1"/>
      <c r="G1020" s="858"/>
      <c r="H1020" s="1" t="s">
        <v>3404</v>
      </c>
      <c r="I1020" s="73"/>
      <c r="J1020" s="1"/>
      <c r="K1020" s="4"/>
      <c r="L1020" s="73"/>
      <c r="M1020" s="73"/>
      <c r="N1020" s="73"/>
      <c r="O1020" s="73"/>
      <c r="P1020" s="73"/>
      <c r="Q1020" s="73"/>
      <c r="R1020" s="73"/>
      <c r="S1020" s="73"/>
      <c r="T1020" s="73"/>
      <c r="U1020" s="73"/>
      <c r="V1020" s="73"/>
      <c r="W1020" s="73"/>
      <c r="X1020" s="1864">
        <f t="shared" si="34"/>
        <v>0</v>
      </c>
      <c r="Y1020" s="139">
        <f t="shared" si="35"/>
        <v>0</v>
      </c>
    </row>
    <row r="1021" spans="1:26" x14ac:dyDescent="0.25">
      <c r="A1021" s="1"/>
      <c r="B1021" s="1"/>
      <c r="C1021" s="1"/>
      <c r="D1021" s="1">
        <v>6</v>
      </c>
      <c r="E1021" s="1">
        <v>1</v>
      </c>
      <c r="F1021" s="1">
        <v>1</v>
      </c>
      <c r="G1021" s="858"/>
      <c r="H1021" s="1" t="s">
        <v>3405</v>
      </c>
      <c r="I1021" s="73"/>
      <c r="J1021" s="1"/>
      <c r="K1021" s="4"/>
      <c r="L1021" s="73"/>
      <c r="M1021" s="73"/>
      <c r="N1021" s="73"/>
      <c r="O1021" s="73"/>
      <c r="P1021" s="73"/>
      <c r="Q1021" s="73"/>
      <c r="R1021" s="73"/>
      <c r="S1021" s="73"/>
      <c r="T1021" s="73"/>
      <c r="U1021" s="73"/>
      <c r="V1021" s="73"/>
      <c r="W1021" s="73"/>
      <c r="X1021" s="1864">
        <f t="shared" si="34"/>
        <v>0</v>
      </c>
      <c r="Y1021" s="139">
        <f t="shared" si="35"/>
        <v>0</v>
      </c>
    </row>
    <row r="1022" spans="1:26" x14ac:dyDescent="0.25">
      <c r="A1022" s="1869"/>
      <c r="B1022" s="1869"/>
      <c r="C1022" s="1869"/>
      <c r="D1022" s="1869">
        <v>6</v>
      </c>
      <c r="E1022" s="1869">
        <v>1</v>
      </c>
      <c r="F1022" s="1869">
        <v>1</v>
      </c>
      <c r="G1022" s="1873">
        <v>1</v>
      </c>
      <c r="H1022" s="1869" t="s">
        <v>3405</v>
      </c>
      <c r="I1022" s="1871">
        <f>SUM(' Hitungan 2026'!N4:U4)</f>
        <v>2100682816.9600003</v>
      </c>
      <c r="J1022" s="1869"/>
      <c r="K1022" s="1870"/>
      <c r="L1022" s="1871"/>
      <c r="M1022" s="1871"/>
      <c r="N1022" s="1871"/>
      <c r="O1022" s="1871"/>
      <c r="P1022" s="1871"/>
      <c r="Q1022" s="1871"/>
      <c r="R1022" s="1871"/>
      <c r="S1022" s="1871"/>
      <c r="T1022" s="1871"/>
      <c r="U1022" s="1871"/>
      <c r="V1022" s="1871"/>
      <c r="W1022" s="1871"/>
      <c r="X1022" s="1872">
        <f t="shared" si="34"/>
        <v>0</v>
      </c>
      <c r="Y1022" s="139">
        <f t="shared" si="35"/>
        <v>-2100682816.9600003</v>
      </c>
    </row>
    <row r="1023" spans="1:26" x14ac:dyDescent="0.25">
      <c r="A1023" s="1"/>
      <c r="B1023" s="1"/>
      <c r="C1023" s="1"/>
      <c r="D1023" s="1">
        <v>6</v>
      </c>
      <c r="E1023" s="1">
        <v>1</v>
      </c>
      <c r="F1023" s="1">
        <v>2</v>
      </c>
      <c r="G1023" s="1"/>
      <c r="H1023" s="1" t="s">
        <v>3408</v>
      </c>
      <c r="I1023" s="73"/>
      <c r="J1023" s="1"/>
      <c r="K1023" s="4"/>
      <c r="L1023" s="73"/>
      <c r="M1023" s="73"/>
      <c r="N1023" s="73"/>
      <c r="O1023" s="73"/>
      <c r="P1023" s="73"/>
      <c r="Q1023" s="73"/>
      <c r="R1023" s="73"/>
      <c r="S1023" s="73"/>
      <c r="T1023" s="73"/>
      <c r="U1023" s="73"/>
      <c r="V1023" s="73"/>
      <c r="W1023" s="73"/>
      <c r="X1023" s="1864">
        <f t="shared" si="34"/>
        <v>0</v>
      </c>
      <c r="Y1023" s="139">
        <f t="shared" si="35"/>
        <v>0</v>
      </c>
    </row>
    <row r="1024" spans="1:26" x14ac:dyDescent="0.25">
      <c r="A1024" s="1869"/>
      <c r="B1024" s="1869"/>
      <c r="C1024" s="1869"/>
      <c r="D1024" s="1869">
        <v>6</v>
      </c>
      <c r="E1024" s="1869">
        <v>1</v>
      </c>
      <c r="F1024" s="1869">
        <v>2</v>
      </c>
      <c r="G1024" s="1869">
        <v>1</v>
      </c>
      <c r="H1024" s="1869" t="s">
        <v>3408</v>
      </c>
      <c r="I1024" s="1871">
        <v>2000000000</v>
      </c>
      <c r="J1024" s="1869"/>
      <c r="K1024" s="1870"/>
      <c r="L1024" s="1871"/>
      <c r="M1024" s="1871"/>
      <c r="N1024" s="1871"/>
      <c r="O1024" s="1871"/>
      <c r="P1024" s="1871"/>
      <c r="Q1024" s="1871"/>
      <c r="R1024" s="1871"/>
      <c r="S1024" s="1871"/>
      <c r="T1024" s="1871"/>
      <c r="U1024" s="1871"/>
      <c r="V1024" s="1871"/>
      <c r="W1024" s="1871"/>
      <c r="X1024" s="1872">
        <f t="shared" si="34"/>
        <v>0</v>
      </c>
      <c r="Y1024" s="139">
        <f t="shared" si="35"/>
        <v>-2000000000</v>
      </c>
    </row>
    <row r="1025" spans="1:25" x14ac:dyDescent="0.25">
      <c r="A1025" s="1"/>
      <c r="B1025" s="1"/>
      <c r="C1025" s="1"/>
      <c r="D1025" s="1"/>
      <c r="E1025" s="1"/>
      <c r="F1025" s="1"/>
      <c r="G1025" s="1"/>
      <c r="H1025" s="1"/>
      <c r="I1025" s="73"/>
      <c r="J1025" s="1"/>
      <c r="K1025" s="4"/>
      <c r="L1025" s="73"/>
      <c r="M1025" s="73"/>
      <c r="N1025" s="73"/>
      <c r="O1025" s="73"/>
      <c r="P1025" s="73"/>
      <c r="Q1025" s="73"/>
      <c r="R1025" s="73"/>
      <c r="S1025" s="73"/>
      <c r="T1025" s="73"/>
      <c r="U1025" s="73"/>
      <c r="V1025" s="73"/>
      <c r="W1025" s="73"/>
      <c r="X1025" s="1864">
        <f t="shared" si="34"/>
        <v>0</v>
      </c>
      <c r="Y1025" s="139">
        <f t="shared" si="35"/>
        <v>0</v>
      </c>
    </row>
    <row r="1026" spans="1:25" x14ac:dyDescent="0.25">
      <c r="A1026" s="1"/>
      <c r="B1026" s="1"/>
      <c r="C1026" s="1"/>
      <c r="D1026" s="1">
        <v>6</v>
      </c>
      <c r="E1026" s="1">
        <v>2</v>
      </c>
      <c r="F1026" s="1"/>
      <c r="G1026" s="1"/>
      <c r="H1026" s="1" t="s">
        <v>3406</v>
      </c>
      <c r="I1026" s="73"/>
      <c r="J1026" s="1"/>
      <c r="K1026" s="4"/>
      <c r="L1026" s="73"/>
      <c r="M1026" s="73"/>
      <c r="N1026" s="73"/>
      <c r="O1026" s="73"/>
      <c r="P1026" s="73"/>
      <c r="Q1026" s="73"/>
      <c r="R1026" s="73"/>
      <c r="S1026" s="73"/>
      <c r="T1026" s="73"/>
      <c r="U1026" s="73"/>
      <c r="V1026" s="73"/>
      <c r="W1026" s="73"/>
      <c r="X1026" s="1864">
        <f t="shared" si="34"/>
        <v>0</v>
      </c>
      <c r="Y1026" s="139">
        <f t="shared" si="35"/>
        <v>0</v>
      </c>
    </row>
    <row r="1027" spans="1:25" x14ac:dyDescent="0.25">
      <c r="A1027" s="1"/>
      <c r="B1027" s="1"/>
      <c r="C1027" s="1"/>
      <c r="D1027" s="1">
        <v>6</v>
      </c>
      <c r="E1027" s="1">
        <v>2</v>
      </c>
      <c r="F1027" s="1">
        <v>2</v>
      </c>
      <c r="G1027" s="1"/>
      <c r="H1027" s="1" t="s">
        <v>3407</v>
      </c>
      <c r="I1027" s="73"/>
      <c r="J1027" s="1"/>
      <c r="K1027" s="4"/>
      <c r="L1027" s="73"/>
      <c r="M1027" s="73"/>
      <c r="N1027" s="73"/>
      <c r="O1027" s="73"/>
      <c r="P1027" s="73"/>
      <c r="Q1027" s="73"/>
      <c r="R1027" s="73"/>
      <c r="S1027" s="73"/>
      <c r="T1027" s="73"/>
      <c r="U1027" s="73"/>
      <c r="V1027" s="73"/>
      <c r="W1027" s="73"/>
      <c r="X1027" s="1864">
        <f t="shared" si="34"/>
        <v>0</v>
      </c>
      <c r="Y1027" s="139">
        <f t="shared" si="35"/>
        <v>0</v>
      </c>
    </row>
    <row r="1028" spans="1:25" x14ac:dyDescent="0.25">
      <c r="A1028" s="1869"/>
      <c r="B1028" s="1869"/>
      <c r="C1028" s="1869"/>
      <c r="D1028" s="1869">
        <v>6</v>
      </c>
      <c r="E1028" s="1869">
        <v>2</v>
      </c>
      <c r="F1028" s="1869">
        <v>2</v>
      </c>
      <c r="G1028" s="1869">
        <v>1</v>
      </c>
      <c r="H1028" s="1869" t="s">
        <v>3407</v>
      </c>
      <c r="I1028" s="1871">
        <v>0</v>
      </c>
      <c r="J1028" s="1869"/>
      <c r="K1028" s="1870"/>
      <c r="L1028" s="1871"/>
      <c r="M1028" s="1871"/>
      <c r="N1028" s="1871"/>
      <c r="O1028" s="1871"/>
      <c r="P1028" s="1871"/>
      <c r="Q1028" s="1871"/>
      <c r="R1028" s="1871"/>
      <c r="S1028" s="1871"/>
      <c r="T1028" s="1871"/>
      <c r="U1028" s="1871"/>
      <c r="V1028" s="1871"/>
      <c r="W1028" s="1871"/>
      <c r="X1028" s="1872">
        <f t="shared" si="34"/>
        <v>0</v>
      </c>
      <c r="Y1028" s="139">
        <f t="shared" si="35"/>
        <v>0</v>
      </c>
    </row>
    <row r="1029" spans="1:25" x14ac:dyDescent="0.25">
      <c r="A1029" s="1"/>
      <c r="B1029" s="1"/>
      <c r="C1029" s="1"/>
      <c r="D1029" s="1"/>
      <c r="E1029" s="1"/>
      <c r="F1029" s="1"/>
      <c r="G1029" s="1"/>
      <c r="H1029" s="1"/>
      <c r="I1029" s="73"/>
      <c r="J1029" s="1"/>
      <c r="K1029" s="4"/>
      <c r="L1029" s="73"/>
      <c r="M1029" s="73"/>
      <c r="N1029" s="73"/>
      <c r="O1029" s="73"/>
      <c r="P1029" s="73"/>
      <c r="Q1029" s="73"/>
      <c r="R1029" s="73"/>
      <c r="S1029" s="73"/>
      <c r="T1029" s="73"/>
      <c r="U1029" s="73"/>
      <c r="V1029" s="73"/>
      <c r="W1029" s="73"/>
      <c r="X1029" s="1864">
        <f t="shared" si="34"/>
        <v>0</v>
      </c>
      <c r="Y1029" s="139">
        <f t="shared" si="35"/>
        <v>0</v>
      </c>
    </row>
    <row r="1030" spans="1:25" x14ac:dyDescent="0.25">
      <c r="A1030" s="1874"/>
      <c r="B1030" s="1874"/>
      <c r="C1030" s="1874"/>
      <c r="D1030" s="1874"/>
      <c r="E1030" s="1874"/>
      <c r="F1030" s="1874"/>
      <c r="G1030" s="1874"/>
      <c r="H1030" s="1874" t="s">
        <v>3409</v>
      </c>
      <c r="I1030" s="1875">
        <f>I1024+I1022</f>
        <v>4100682816.96</v>
      </c>
      <c r="J1030" s="1874"/>
      <c r="K1030" s="1870"/>
      <c r="L1030" s="1871"/>
      <c r="M1030" s="1871"/>
      <c r="N1030" s="1871"/>
      <c r="O1030" s="1871"/>
      <c r="P1030" s="1871"/>
      <c r="Q1030" s="1871"/>
      <c r="R1030" s="1871"/>
      <c r="S1030" s="1871"/>
      <c r="T1030" s="1871"/>
      <c r="U1030" s="1871"/>
      <c r="V1030" s="1871"/>
      <c r="W1030" s="1871"/>
      <c r="X1030" s="1872">
        <f t="shared" si="34"/>
        <v>0</v>
      </c>
      <c r="Y1030" s="139">
        <f t="shared" si="35"/>
        <v>-4100682816.96</v>
      </c>
    </row>
    <row r="1031" spans="1:25" x14ac:dyDescent="0.25">
      <c r="H1031" s="105" t="s">
        <v>3648</v>
      </c>
      <c r="O1031" s="2241" t="s">
        <v>3650</v>
      </c>
      <c r="P1031" s="2241"/>
    </row>
    <row r="1032" spans="1:25" x14ac:dyDescent="0.25">
      <c r="H1032" s="105" t="s">
        <v>3649</v>
      </c>
      <c r="O1032" s="2242" t="s">
        <v>3651</v>
      </c>
      <c r="P1032" s="2242"/>
      <c r="V1032" s="2242" t="s">
        <v>3646</v>
      </c>
      <c r="W1032" s="2242"/>
    </row>
    <row r="1033" spans="1:25" x14ac:dyDescent="0.25">
      <c r="H1033" s="105"/>
    </row>
    <row r="1034" spans="1:25" x14ac:dyDescent="0.25">
      <c r="H1034" s="105"/>
    </row>
    <row r="1035" spans="1:25" x14ac:dyDescent="0.25">
      <c r="H1035" s="105"/>
    </row>
    <row r="1036" spans="1:25" x14ac:dyDescent="0.25">
      <c r="H1036" s="105" t="s">
        <v>3645</v>
      </c>
      <c r="O1036" s="2242" t="s">
        <v>3631</v>
      </c>
      <c r="P1036" s="2242"/>
      <c r="V1036" s="2242" t="s">
        <v>3652</v>
      </c>
      <c r="W1036" s="2242"/>
    </row>
  </sheetData>
  <autoFilter ref="A13:X1030" xr:uid="{190696A4-F92A-464C-89DD-18EFD195F055}">
    <filterColumn colId="0" showButton="0"/>
    <filterColumn colId="1" showButton="0"/>
    <filterColumn colId="3" showButton="0"/>
    <filterColumn colId="4" showButton="0"/>
    <filterColumn colId="5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</autoFilter>
  <mergeCells count="17">
    <mergeCell ref="O1031:P1031"/>
    <mergeCell ref="O1036:P1036"/>
    <mergeCell ref="O1032:P1032"/>
    <mergeCell ref="V1032:W1032"/>
    <mergeCell ref="V1036:W1036"/>
    <mergeCell ref="A13:C13"/>
    <mergeCell ref="D13:G13"/>
    <mergeCell ref="J13:W13"/>
    <mergeCell ref="A1:X1"/>
    <mergeCell ref="A2:X2"/>
    <mergeCell ref="A10:X10"/>
    <mergeCell ref="A11:G12"/>
    <mergeCell ref="H11:H12"/>
    <mergeCell ref="I11:I12"/>
    <mergeCell ref="J11:J12"/>
    <mergeCell ref="L11:W11"/>
    <mergeCell ref="X11:X12"/>
  </mergeCells>
  <pageMargins left="0.25" right="0.5" top="1" bottom="0.75" header="0.3" footer="0.3"/>
  <pageSetup paperSize="5" scale="55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66B35-1E4A-4E87-865B-C8A5DD118E46}">
  <dimension ref="A1:Y319"/>
  <sheetViews>
    <sheetView topLeftCell="H309" zoomScale="80" zoomScaleNormal="80" workbookViewId="0">
      <selection activeCell="R315" sqref="R315"/>
    </sheetView>
  </sheetViews>
  <sheetFormatPr defaultRowHeight="15" x14ac:dyDescent="0.25"/>
  <cols>
    <col min="1" max="3" width="3.28515625" customWidth="1"/>
    <col min="4" max="4" width="2.5703125" customWidth="1"/>
    <col min="5" max="7" width="3.28515625" customWidth="1"/>
    <col min="8" max="8" width="28" customWidth="1"/>
    <col min="9" max="9" width="16.28515625" bestFit="1" customWidth="1"/>
    <col min="10" max="10" width="9" customWidth="1"/>
    <col min="11" max="11" width="13" customWidth="1"/>
    <col min="12" max="14" width="13.85546875" bestFit="1" customWidth="1"/>
    <col min="15" max="15" width="14.85546875" bestFit="1" customWidth="1"/>
    <col min="16" max="20" width="13.85546875" bestFit="1" customWidth="1"/>
    <col min="21" max="22" width="14.85546875" bestFit="1" customWidth="1"/>
    <col min="23" max="23" width="13.85546875" bestFit="1" customWidth="1"/>
    <col min="24" max="24" width="14.85546875" bestFit="1" customWidth="1"/>
    <col min="25" max="25" width="19.7109375" customWidth="1"/>
    <col min="26" max="26" width="24.42578125" customWidth="1"/>
    <col min="27" max="27" width="15.5703125" customWidth="1"/>
  </cols>
  <sheetData>
    <row r="1" spans="1:25" ht="28.5" x14ac:dyDescent="0.25">
      <c r="A1" s="2222" t="s">
        <v>3653</v>
      </c>
      <c r="B1" s="2222"/>
      <c r="C1" s="2222"/>
      <c r="D1" s="2222"/>
      <c r="E1" s="2222"/>
      <c r="F1" s="2222"/>
      <c r="G1" s="2222"/>
      <c r="H1" s="2222"/>
      <c r="I1" s="2222"/>
      <c r="J1" s="2222"/>
      <c r="K1" s="2222"/>
      <c r="L1" s="2222"/>
      <c r="M1" s="2222"/>
      <c r="N1" s="2222"/>
      <c r="O1" s="2222"/>
      <c r="P1" s="2222"/>
      <c r="Q1" s="2222"/>
      <c r="R1" s="2222"/>
      <c r="S1" s="2222"/>
      <c r="T1" s="2222"/>
      <c r="U1" s="2222"/>
      <c r="V1" s="2222"/>
      <c r="W1" s="2222"/>
      <c r="X1" s="2222"/>
    </row>
    <row r="2" spans="1:25" ht="28.5" x14ac:dyDescent="0.25">
      <c r="A2" s="2222" t="s">
        <v>1737</v>
      </c>
      <c r="B2" s="2222"/>
      <c r="C2" s="2222"/>
      <c r="D2" s="2222"/>
      <c r="E2" s="2222"/>
      <c r="F2" s="2222"/>
      <c r="G2" s="2222"/>
      <c r="H2" s="2222"/>
      <c r="I2" s="2222"/>
      <c r="J2" s="2222"/>
      <c r="K2" s="2222"/>
      <c r="L2" s="2222"/>
      <c r="M2" s="2222"/>
      <c r="N2" s="2222"/>
      <c r="O2" s="2222"/>
      <c r="P2" s="2222"/>
      <c r="Q2" s="2222"/>
      <c r="R2" s="2222"/>
      <c r="S2" s="2222"/>
      <c r="T2" s="2222"/>
      <c r="U2" s="2222"/>
      <c r="V2" s="2222"/>
      <c r="W2" s="2222"/>
      <c r="X2" s="2222"/>
    </row>
    <row r="3" spans="1:25" x14ac:dyDescent="0.25">
      <c r="F3" s="5"/>
    </row>
    <row r="4" spans="1:25" x14ac:dyDescent="0.25">
      <c r="A4" t="s">
        <v>977</v>
      </c>
      <c r="C4" t="s">
        <v>62</v>
      </c>
      <c r="D4" s="2221" t="s">
        <v>1</v>
      </c>
      <c r="E4" s="2221"/>
      <c r="F4" s="2221"/>
      <c r="G4" s="2221"/>
      <c r="H4" s="2221"/>
      <c r="I4" s="2221"/>
    </row>
    <row r="5" spans="1:25" x14ac:dyDescent="0.25">
      <c r="A5" t="s">
        <v>979</v>
      </c>
      <c r="C5" t="s">
        <v>62</v>
      </c>
      <c r="D5" s="2221" t="s">
        <v>3613</v>
      </c>
      <c r="E5" s="2221"/>
      <c r="F5" s="2221"/>
      <c r="G5" s="2221"/>
      <c r="H5" s="2221"/>
      <c r="I5" s="2221"/>
    </row>
    <row r="6" spans="1:25" x14ac:dyDescent="0.25">
      <c r="A6" t="s">
        <v>1189</v>
      </c>
      <c r="C6" t="s">
        <v>62</v>
      </c>
      <c r="D6" s="2221" t="s">
        <v>3614</v>
      </c>
      <c r="E6" s="2221"/>
      <c r="F6" s="2221"/>
      <c r="G6" s="2221"/>
      <c r="H6" s="2221"/>
      <c r="I6" s="2221"/>
    </row>
    <row r="7" spans="1:25" x14ac:dyDescent="0.25">
      <c r="A7" t="s">
        <v>983</v>
      </c>
      <c r="C7" t="s">
        <v>62</v>
      </c>
      <c r="D7" s="2221" t="s">
        <v>3615</v>
      </c>
      <c r="E7" s="2221"/>
      <c r="F7" s="2221"/>
      <c r="G7" s="2221"/>
      <c r="H7" s="2221"/>
      <c r="I7" s="2221"/>
    </row>
    <row r="8" spans="1:25" x14ac:dyDescent="0.25">
      <c r="F8" s="5"/>
    </row>
    <row r="9" spans="1:25" x14ac:dyDescent="0.25">
      <c r="A9" s="2231" t="s">
        <v>3359</v>
      </c>
      <c r="B9" s="2231"/>
      <c r="C9" s="2231"/>
      <c r="D9" s="2231"/>
      <c r="E9" s="2231"/>
      <c r="F9" s="2231"/>
      <c r="G9" s="2231"/>
      <c r="H9" s="2216" t="s">
        <v>3579</v>
      </c>
      <c r="I9" s="2232" t="s">
        <v>3361</v>
      </c>
      <c r="J9" s="2234" t="s">
        <v>3362</v>
      </c>
      <c r="K9" s="1863" t="s">
        <v>3580</v>
      </c>
      <c r="L9" s="2236" t="s">
        <v>3581</v>
      </c>
      <c r="M9" s="2237"/>
      <c r="N9" s="2237"/>
      <c r="O9" s="2237"/>
      <c r="P9" s="2237"/>
      <c r="Q9" s="2237"/>
      <c r="R9" s="2237"/>
      <c r="S9" s="2237"/>
      <c r="T9" s="2237"/>
      <c r="U9" s="2237"/>
      <c r="V9" s="2237"/>
      <c r="W9" s="2238"/>
      <c r="X9" s="2239" t="s">
        <v>26</v>
      </c>
    </row>
    <row r="10" spans="1:25" x14ac:dyDescent="0.25">
      <c r="A10" s="2231"/>
      <c r="B10" s="2231"/>
      <c r="C10" s="2231"/>
      <c r="D10" s="2231"/>
      <c r="E10" s="2231"/>
      <c r="F10" s="2231"/>
      <c r="G10" s="2231"/>
      <c r="H10" s="2216"/>
      <c r="I10" s="2233"/>
      <c r="J10" s="2235"/>
      <c r="K10" s="1863" t="s">
        <v>3582</v>
      </c>
      <c r="L10" s="1861" t="s">
        <v>3583</v>
      </c>
      <c r="M10" s="1861" t="s">
        <v>3584</v>
      </c>
      <c r="N10" s="1861" t="s">
        <v>3585</v>
      </c>
      <c r="O10" s="1861" t="s">
        <v>3586</v>
      </c>
      <c r="P10" s="1861" t="s">
        <v>3587</v>
      </c>
      <c r="Q10" s="1861" t="s">
        <v>3588</v>
      </c>
      <c r="R10" s="1861" t="s">
        <v>3589</v>
      </c>
      <c r="S10" s="1861" t="s">
        <v>3590</v>
      </c>
      <c r="T10" s="1861" t="s">
        <v>3591</v>
      </c>
      <c r="U10" s="1861" t="s">
        <v>3592</v>
      </c>
      <c r="V10" s="1861" t="s">
        <v>3593</v>
      </c>
      <c r="W10" s="1861" t="s">
        <v>3594</v>
      </c>
      <c r="X10" s="2240"/>
    </row>
    <row r="11" spans="1:25" x14ac:dyDescent="0.25">
      <c r="A11" s="2225">
        <v>1</v>
      </c>
      <c r="B11" s="2225"/>
      <c r="C11" s="2225"/>
      <c r="D11" s="2225">
        <v>2</v>
      </c>
      <c r="E11" s="2225"/>
      <c r="F11" s="2225"/>
      <c r="G11" s="2225"/>
      <c r="H11" s="1548">
        <v>3</v>
      </c>
      <c r="I11" s="890">
        <v>4</v>
      </c>
      <c r="J11" s="2226">
        <v>5</v>
      </c>
      <c r="K11" s="2227"/>
      <c r="L11" s="2227"/>
      <c r="M11" s="2227"/>
      <c r="N11" s="2227"/>
      <c r="O11" s="2227"/>
      <c r="P11" s="2227"/>
      <c r="Q11" s="2227"/>
      <c r="R11" s="2227"/>
      <c r="S11" s="2227"/>
      <c r="T11" s="2227"/>
      <c r="U11" s="2227"/>
      <c r="V11" s="2227"/>
      <c r="W11" s="2228"/>
      <c r="X11" s="1862">
        <v>6</v>
      </c>
    </row>
    <row r="12" spans="1:25" x14ac:dyDescent="0.25">
      <c r="A12" s="25" t="s">
        <v>998</v>
      </c>
      <c r="B12" s="25" t="s">
        <v>999</v>
      </c>
      <c r="C12" s="25" t="s">
        <v>1000</v>
      </c>
      <c r="D12" s="25" t="s">
        <v>998</v>
      </c>
      <c r="E12" s="25" t="s">
        <v>999</v>
      </c>
      <c r="F12" s="25" t="s">
        <v>1000</v>
      </c>
      <c r="G12" s="25" t="s">
        <v>1001</v>
      </c>
      <c r="H12" s="1"/>
      <c r="I12" s="73"/>
      <c r="J12" s="4"/>
      <c r="K12" s="4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1"/>
    </row>
    <row r="13" spans="1:25" ht="30" x14ac:dyDescent="0.25">
      <c r="A13" s="1868">
        <v>1</v>
      </c>
      <c r="B13" s="1869"/>
      <c r="C13" s="1869"/>
      <c r="D13" s="1869"/>
      <c r="E13" s="1869"/>
      <c r="F13" s="1869"/>
      <c r="G13" s="1869"/>
      <c r="H13" s="1870" t="s">
        <v>3</v>
      </c>
      <c r="I13" s="1871">
        <f>I14+I20+I26+I32+I38+I44</f>
        <v>157736020</v>
      </c>
      <c r="J13" s="1869"/>
      <c r="K13" s="1870"/>
      <c r="L13" s="1871"/>
      <c r="M13" s="1871"/>
      <c r="N13" s="1871"/>
      <c r="O13" s="1871"/>
      <c r="P13" s="1871"/>
      <c r="Q13" s="1871"/>
      <c r="R13" s="1871"/>
      <c r="S13" s="1871"/>
      <c r="T13" s="1871"/>
      <c r="U13" s="1871"/>
      <c r="V13" s="1871"/>
      <c r="W13" s="1871"/>
      <c r="X13" s="1869"/>
    </row>
    <row r="14" spans="1:25" ht="28.9" customHeight="1" x14ac:dyDescent="0.25">
      <c r="A14" s="865">
        <v>1</v>
      </c>
      <c r="B14" s="865">
        <v>2</v>
      </c>
      <c r="C14" s="1490" t="s">
        <v>3386</v>
      </c>
      <c r="D14" s="865"/>
      <c r="E14" s="865"/>
      <c r="F14" s="865"/>
      <c r="G14" s="865"/>
      <c r="H14" s="1061" t="s">
        <v>2946</v>
      </c>
      <c r="I14" s="1063">
        <v>27359000</v>
      </c>
      <c r="J14" s="1061" t="s">
        <v>1223</v>
      </c>
      <c r="K14" s="1061" t="s">
        <v>3596</v>
      </c>
      <c r="L14" s="1063"/>
      <c r="M14" s="1063"/>
      <c r="N14" s="1063"/>
      <c r="O14" s="1063"/>
      <c r="P14" s="1063"/>
      <c r="Q14" s="1063"/>
      <c r="R14" s="1063"/>
      <c r="S14" s="1063"/>
      <c r="T14" s="1063"/>
      <c r="U14" s="1063"/>
      <c r="V14" s="1063"/>
      <c r="W14" s="1063"/>
      <c r="X14" s="1866">
        <f>SUM(L14:W14)</f>
        <v>0</v>
      </c>
      <c r="Y14" s="23">
        <f>I14-X14</f>
        <v>27359000</v>
      </c>
    </row>
    <row r="15" spans="1:25" x14ac:dyDescent="0.25">
      <c r="A15" s="1"/>
      <c r="B15" s="1"/>
      <c r="C15" s="1"/>
      <c r="D15" s="1">
        <v>5</v>
      </c>
      <c r="E15" s="1">
        <v>3</v>
      </c>
      <c r="F15" s="1"/>
      <c r="G15" s="1"/>
      <c r="H15" s="4" t="s">
        <v>1284</v>
      </c>
      <c r="I15" s="73"/>
      <c r="J15" s="1"/>
      <c r="K15" s="4" t="s">
        <v>3596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1864">
        <f t="shared" ref="X15:X78" si="0">SUM(L15:W15)</f>
        <v>0</v>
      </c>
      <c r="Y15" s="23">
        <f t="shared" ref="Y15:Y78" si="1">I15-X15</f>
        <v>0</v>
      </c>
    </row>
    <row r="16" spans="1:25" x14ac:dyDescent="0.25">
      <c r="A16" s="1"/>
      <c r="B16" s="1"/>
      <c r="C16" s="1"/>
      <c r="D16" s="1"/>
      <c r="E16" s="1"/>
      <c r="F16" s="1">
        <v>4</v>
      </c>
      <c r="G16" s="1"/>
      <c r="H16" s="4" t="s">
        <v>2973</v>
      </c>
      <c r="I16" s="73"/>
      <c r="J16" s="1"/>
      <c r="K16" s="4" t="s">
        <v>3596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1864">
        <f t="shared" si="0"/>
        <v>0</v>
      </c>
      <c r="Y16" s="23">
        <f t="shared" si="1"/>
        <v>0</v>
      </c>
    </row>
    <row r="17" spans="1:25" ht="43.15" customHeight="1" x14ac:dyDescent="0.25">
      <c r="A17" s="1"/>
      <c r="B17" s="1"/>
      <c r="C17" s="1"/>
      <c r="D17" s="1"/>
      <c r="E17" s="1"/>
      <c r="F17" s="1"/>
      <c r="G17" s="1489" t="s">
        <v>3366</v>
      </c>
      <c r="H17" s="4" t="s">
        <v>1279</v>
      </c>
      <c r="I17" s="73">
        <v>536000</v>
      </c>
      <c r="J17" s="4" t="s">
        <v>1223</v>
      </c>
      <c r="K17" s="4" t="s">
        <v>3596</v>
      </c>
      <c r="L17" s="73"/>
      <c r="M17" s="73"/>
      <c r="N17" s="73"/>
      <c r="O17" s="73"/>
      <c r="P17" s="73"/>
      <c r="Q17" s="73">
        <v>536000</v>
      </c>
      <c r="R17" s="73"/>
      <c r="S17" s="73"/>
      <c r="T17" s="73"/>
      <c r="U17" s="73"/>
      <c r="V17" s="73"/>
      <c r="W17" s="73"/>
      <c r="X17" s="1864">
        <f t="shared" si="0"/>
        <v>536000</v>
      </c>
      <c r="Y17" s="23">
        <f t="shared" si="1"/>
        <v>0</v>
      </c>
    </row>
    <row r="18" spans="1:25" x14ac:dyDescent="0.25">
      <c r="A18" s="1"/>
      <c r="B18" s="1"/>
      <c r="C18" s="1"/>
      <c r="D18" s="1"/>
      <c r="E18" s="1"/>
      <c r="F18" s="1"/>
      <c r="G18" s="1489" t="s">
        <v>3386</v>
      </c>
      <c r="H18" s="1" t="s">
        <v>1268</v>
      </c>
      <c r="I18" s="73">
        <v>8160000</v>
      </c>
      <c r="J18" s="4" t="s">
        <v>1223</v>
      </c>
      <c r="K18" s="4" t="s">
        <v>3596</v>
      </c>
      <c r="L18" s="73"/>
      <c r="M18" s="73"/>
      <c r="N18" s="73"/>
      <c r="O18" s="73"/>
      <c r="P18" s="73"/>
      <c r="Q18" s="73">
        <v>8160000</v>
      </c>
      <c r="R18" s="73"/>
      <c r="S18" s="73"/>
      <c r="T18" s="73"/>
      <c r="U18" s="73"/>
      <c r="V18" s="73"/>
      <c r="W18" s="73"/>
      <c r="X18" s="1864">
        <f t="shared" si="0"/>
        <v>8160000</v>
      </c>
      <c r="Y18" s="23">
        <f t="shared" si="1"/>
        <v>0</v>
      </c>
    </row>
    <row r="19" spans="1:25" x14ac:dyDescent="0.25">
      <c r="A19" s="1"/>
      <c r="B19" s="1"/>
      <c r="C19" s="1"/>
      <c r="D19" s="1"/>
      <c r="E19" s="1"/>
      <c r="F19" s="1"/>
      <c r="G19" s="1489" t="s">
        <v>3388</v>
      </c>
      <c r="H19" s="1" t="s">
        <v>1271</v>
      </c>
      <c r="I19" s="73">
        <v>18663000</v>
      </c>
      <c r="J19" s="4" t="s">
        <v>1223</v>
      </c>
      <c r="K19" s="4" t="s">
        <v>3596</v>
      </c>
      <c r="L19" s="73"/>
      <c r="M19" s="73"/>
      <c r="N19" s="73"/>
      <c r="O19" s="73"/>
      <c r="P19" s="73"/>
      <c r="Q19" s="73">
        <v>18663000</v>
      </c>
      <c r="R19" s="73"/>
      <c r="S19" s="73"/>
      <c r="T19" s="73"/>
      <c r="U19" s="73"/>
      <c r="V19" s="73"/>
      <c r="W19" s="73"/>
      <c r="X19" s="1864">
        <f t="shared" si="0"/>
        <v>18663000</v>
      </c>
      <c r="Y19" s="23">
        <f t="shared" si="1"/>
        <v>0</v>
      </c>
    </row>
    <row r="20" spans="1:25" ht="28.9" customHeight="1" x14ac:dyDescent="0.25">
      <c r="A20" s="865">
        <v>1</v>
      </c>
      <c r="B20" s="865">
        <v>2</v>
      </c>
      <c r="C20" s="1490" t="s">
        <v>3386</v>
      </c>
      <c r="D20" s="865"/>
      <c r="E20" s="865"/>
      <c r="F20" s="865"/>
      <c r="G20" s="865"/>
      <c r="H20" s="1061" t="s">
        <v>2960</v>
      </c>
      <c r="I20" s="1063">
        <v>4305420</v>
      </c>
      <c r="J20" s="1061" t="s">
        <v>1223</v>
      </c>
      <c r="K20" s="1061" t="s">
        <v>3596</v>
      </c>
      <c r="L20" s="1063"/>
      <c r="M20" s="1063"/>
      <c r="N20" s="1063"/>
      <c r="O20" s="1063"/>
      <c r="P20" s="1063"/>
      <c r="Q20" s="1063"/>
      <c r="R20" s="1063"/>
      <c r="S20" s="1063"/>
      <c r="T20" s="1063"/>
      <c r="U20" s="1063"/>
      <c r="V20" s="1063"/>
      <c r="W20" s="1063"/>
      <c r="X20" s="1866">
        <f t="shared" si="0"/>
        <v>0</v>
      </c>
      <c r="Y20" s="23">
        <f t="shared" si="1"/>
        <v>4305420</v>
      </c>
    </row>
    <row r="21" spans="1:25" x14ac:dyDescent="0.25">
      <c r="A21" s="1"/>
      <c r="B21" s="1"/>
      <c r="C21" s="1"/>
      <c r="D21" s="1">
        <v>5</v>
      </c>
      <c r="E21" s="1">
        <v>3</v>
      </c>
      <c r="F21" s="1"/>
      <c r="G21" s="1"/>
      <c r="H21" s="4" t="s">
        <v>1284</v>
      </c>
      <c r="I21" s="73"/>
      <c r="J21" s="1"/>
      <c r="K21" s="4" t="s">
        <v>3596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1864">
        <f t="shared" si="0"/>
        <v>0</v>
      </c>
      <c r="Y21" s="23">
        <f t="shared" si="1"/>
        <v>0</v>
      </c>
    </row>
    <row r="22" spans="1:25" x14ac:dyDescent="0.25">
      <c r="A22" s="1"/>
      <c r="B22" s="1"/>
      <c r="C22" s="1"/>
      <c r="D22" s="1"/>
      <c r="E22" s="1"/>
      <c r="F22" s="1">
        <v>4</v>
      </c>
      <c r="G22" s="1"/>
      <c r="H22" s="4" t="s">
        <v>2973</v>
      </c>
      <c r="I22" s="73"/>
      <c r="J22" s="1"/>
      <c r="K22" s="4" t="s">
        <v>3596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1864">
        <f t="shared" si="0"/>
        <v>0</v>
      </c>
      <c r="Y22" s="23">
        <f t="shared" si="1"/>
        <v>0</v>
      </c>
    </row>
    <row r="23" spans="1:25" ht="43.15" customHeight="1" x14ac:dyDescent="0.25">
      <c r="A23" s="1"/>
      <c r="B23" s="1"/>
      <c r="C23" s="1"/>
      <c r="D23" s="1"/>
      <c r="E23" s="1"/>
      <c r="F23" s="1"/>
      <c r="G23" s="1489" t="s">
        <v>3366</v>
      </c>
      <c r="H23" s="4" t="s">
        <v>1279</v>
      </c>
      <c r="I23" s="73">
        <v>84420</v>
      </c>
      <c r="J23" s="4" t="s">
        <v>1223</v>
      </c>
      <c r="K23" s="4" t="s">
        <v>3596</v>
      </c>
      <c r="L23" s="73"/>
      <c r="M23" s="73"/>
      <c r="N23" s="73"/>
      <c r="O23" s="73"/>
      <c r="P23" s="73"/>
      <c r="Q23" s="73">
        <v>84420</v>
      </c>
      <c r="R23" s="73"/>
      <c r="S23" s="73"/>
      <c r="T23" s="73"/>
      <c r="U23" s="73"/>
      <c r="V23" s="73"/>
      <c r="W23" s="73"/>
      <c r="X23" s="1864">
        <f t="shared" si="0"/>
        <v>84420</v>
      </c>
      <c r="Y23" s="23">
        <f t="shared" si="1"/>
        <v>0</v>
      </c>
    </row>
    <row r="24" spans="1:25" x14ac:dyDescent="0.25">
      <c r="A24" s="1"/>
      <c r="B24" s="1"/>
      <c r="C24" s="1"/>
      <c r="D24" s="1"/>
      <c r="E24" s="1"/>
      <c r="F24" s="1"/>
      <c r="G24" s="1489" t="s">
        <v>3386</v>
      </c>
      <c r="H24" s="1" t="s">
        <v>1268</v>
      </c>
      <c r="I24" s="73">
        <v>1260000</v>
      </c>
      <c r="J24" s="4" t="s">
        <v>1223</v>
      </c>
      <c r="K24" s="4" t="s">
        <v>3596</v>
      </c>
      <c r="L24" s="73"/>
      <c r="M24" s="73"/>
      <c r="N24" s="73"/>
      <c r="O24" s="73"/>
      <c r="P24" s="73"/>
      <c r="Q24" s="73">
        <v>1260000</v>
      </c>
      <c r="R24" s="73"/>
      <c r="S24" s="73"/>
      <c r="T24" s="73"/>
      <c r="U24" s="73"/>
      <c r="V24" s="73"/>
      <c r="W24" s="73"/>
      <c r="X24" s="1864">
        <f t="shared" si="0"/>
        <v>1260000</v>
      </c>
      <c r="Y24" s="23">
        <f t="shared" si="1"/>
        <v>0</v>
      </c>
    </row>
    <row r="25" spans="1:25" x14ac:dyDescent="0.25">
      <c r="A25" s="1"/>
      <c r="B25" s="1"/>
      <c r="C25" s="1"/>
      <c r="D25" s="1"/>
      <c r="E25" s="1"/>
      <c r="F25" s="1"/>
      <c r="G25" s="1489" t="s">
        <v>3388</v>
      </c>
      <c r="H25" s="1" t="s">
        <v>1271</v>
      </c>
      <c r="I25" s="73">
        <v>2961000</v>
      </c>
      <c r="J25" s="4" t="s">
        <v>1223</v>
      </c>
      <c r="K25" s="4" t="s">
        <v>3596</v>
      </c>
      <c r="L25" s="73"/>
      <c r="M25" s="73"/>
      <c r="N25" s="73"/>
      <c r="O25" s="73"/>
      <c r="P25" s="73"/>
      <c r="Q25" s="73">
        <v>2961000</v>
      </c>
      <c r="R25" s="73"/>
      <c r="S25" s="73"/>
      <c r="T25" s="73"/>
      <c r="U25" s="73"/>
      <c r="V25" s="73"/>
      <c r="W25" s="73"/>
      <c r="X25" s="1864">
        <f t="shared" si="0"/>
        <v>2961000</v>
      </c>
      <c r="Y25" s="23">
        <f t="shared" si="1"/>
        <v>0</v>
      </c>
    </row>
    <row r="26" spans="1:25" ht="28.9" customHeight="1" x14ac:dyDescent="0.25">
      <c r="A26" s="865">
        <v>1</v>
      </c>
      <c r="B26" s="865">
        <v>2</v>
      </c>
      <c r="C26" s="1490" t="s">
        <v>3386</v>
      </c>
      <c r="D26" s="865"/>
      <c r="E26" s="865"/>
      <c r="F26" s="865"/>
      <c r="G26" s="865"/>
      <c r="H26" s="1061" t="s">
        <v>2962</v>
      </c>
      <c r="I26" s="1063">
        <v>15798000</v>
      </c>
      <c r="J26" s="1061" t="s">
        <v>1223</v>
      </c>
      <c r="K26" s="1061" t="s">
        <v>3596</v>
      </c>
      <c r="L26" s="1063"/>
      <c r="M26" s="1063"/>
      <c r="N26" s="1063"/>
      <c r="O26" s="1063"/>
      <c r="P26" s="1063"/>
      <c r="Q26" s="1063"/>
      <c r="R26" s="1063"/>
      <c r="S26" s="1063"/>
      <c r="T26" s="1063"/>
      <c r="U26" s="1063"/>
      <c r="V26" s="1063"/>
      <c r="W26" s="1063"/>
      <c r="X26" s="1866">
        <f t="shared" si="0"/>
        <v>0</v>
      </c>
      <c r="Y26" s="23">
        <f t="shared" si="1"/>
        <v>15798000</v>
      </c>
    </row>
    <row r="27" spans="1:25" x14ac:dyDescent="0.25">
      <c r="A27" s="1"/>
      <c r="B27" s="1"/>
      <c r="C27" s="1"/>
      <c r="D27" s="1">
        <v>5</v>
      </c>
      <c r="E27" s="1">
        <v>3</v>
      </c>
      <c r="F27" s="1"/>
      <c r="G27" s="1"/>
      <c r="H27" s="4" t="s">
        <v>1284</v>
      </c>
      <c r="I27" s="73"/>
      <c r="J27" s="1"/>
      <c r="K27" s="4" t="s">
        <v>3596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1864">
        <f t="shared" si="0"/>
        <v>0</v>
      </c>
      <c r="Y27" s="23">
        <f t="shared" si="1"/>
        <v>0</v>
      </c>
    </row>
    <row r="28" spans="1:25" x14ac:dyDescent="0.25">
      <c r="A28" s="1"/>
      <c r="B28" s="1"/>
      <c r="C28" s="1"/>
      <c r="D28" s="1"/>
      <c r="E28" s="1"/>
      <c r="F28" s="1">
        <v>4</v>
      </c>
      <c r="G28" s="1"/>
      <c r="H28" s="4" t="s">
        <v>2973</v>
      </c>
      <c r="I28" s="73"/>
      <c r="J28" s="1"/>
      <c r="K28" s="4" t="s">
        <v>3596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1864">
        <f t="shared" si="0"/>
        <v>0</v>
      </c>
      <c r="Y28" s="23">
        <f t="shared" si="1"/>
        <v>0</v>
      </c>
    </row>
    <row r="29" spans="1:25" ht="28.9" customHeight="1" x14ac:dyDescent="0.25">
      <c r="A29" s="1"/>
      <c r="B29" s="1"/>
      <c r="C29" s="1"/>
      <c r="D29" s="1"/>
      <c r="E29" s="1"/>
      <c r="F29" s="1"/>
      <c r="G29" s="1489" t="s">
        <v>3366</v>
      </c>
      <c r="H29" s="4" t="s">
        <v>1279</v>
      </c>
      <c r="I29" s="73">
        <v>309000</v>
      </c>
      <c r="J29" s="4" t="s">
        <v>1223</v>
      </c>
      <c r="K29" s="4" t="s">
        <v>3596</v>
      </c>
      <c r="L29" s="73"/>
      <c r="M29" s="73"/>
      <c r="N29" s="73"/>
      <c r="O29" s="73"/>
      <c r="P29" s="73"/>
      <c r="Q29" s="73"/>
      <c r="R29" s="73">
        <v>309000</v>
      </c>
      <c r="S29" s="73"/>
      <c r="T29" s="73"/>
      <c r="U29" s="73"/>
      <c r="V29" s="73"/>
      <c r="W29" s="73"/>
      <c r="X29" s="1864">
        <f t="shared" si="0"/>
        <v>309000</v>
      </c>
      <c r="Y29" s="23">
        <f t="shared" si="1"/>
        <v>0</v>
      </c>
    </row>
    <row r="30" spans="1:25" x14ac:dyDescent="0.25">
      <c r="A30" s="1"/>
      <c r="B30" s="1"/>
      <c r="C30" s="1"/>
      <c r="D30" s="1"/>
      <c r="E30" s="1"/>
      <c r="F30" s="1"/>
      <c r="G30" s="1489" t="s">
        <v>3386</v>
      </c>
      <c r="H30" s="1" t="s">
        <v>1268</v>
      </c>
      <c r="I30" s="73">
        <v>5310000</v>
      </c>
      <c r="J30" s="4" t="s">
        <v>1223</v>
      </c>
      <c r="K30" s="4" t="s">
        <v>3596</v>
      </c>
      <c r="L30" s="73"/>
      <c r="M30" s="73"/>
      <c r="N30" s="73"/>
      <c r="O30" s="73"/>
      <c r="P30" s="73"/>
      <c r="Q30" s="73"/>
      <c r="R30" s="73">
        <v>5310000</v>
      </c>
      <c r="S30" s="73"/>
      <c r="T30" s="73"/>
      <c r="U30" s="73"/>
      <c r="V30" s="73"/>
      <c r="W30" s="73"/>
      <c r="X30" s="1864">
        <f t="shared" si="0"/>
        <v>5310000</v>
      </c>
      <c r="Y30" s="23">
        <f t="shared" si="1"/>
        <v>0</v>
      </c>
    </row>
    <row r="31" spans="1:25" x14ac:dyDescent="0.25">
      <c r="A31" s="1"/>
      <c r="B31" s="1"/>
      <c r="C31" s="1"/>
      <c r="D31" s="1"/>
      <c r="E31" s="1"/>
      <c r="F31" s="1"/>
      <c r="G31" s="1489" t="s">
        <v>3388</v>
      </c>
      <c r="H31" s="1" t="s">
        <v>1271</v>
      </c>
      <c r="I31" s="73">
        <v>10179000</v>
      </c>
      <c r="J31" s="4" t="s">
        <v>1223</v>
      </c>
      <c r="K31" s="4" t="s">
        <v>3596</v>
      </c>
      <c r="L31" s="73"/>
      <c r="M31" s="73"/>
      <c r="N31" s="73"/>
      <c r="O31" s="73"/>
      <c r="P31" s="73"/>
      <c r="Q31" s="73"/>
      <c r="R31" s="73">
        <v>10179000</v>
      </c>
      <c r="S31" s="73"/>
      <c r="T31" s="73"/>
      <c r="U31" s="73"/>
      <c r="V31" s="73"/>
      <c r="W31" s="73"/>
      <c r="X31" s="1864">
        <f t="shared" si="0"/>
        <v>10179000</v>
      </c>
      <c r="Y31" s="23">
        <f t="shared" si="1"/>
        <v>0</v>
      </c>
    </row>
    <row r="32" spans="1:25" ht="28.9" customHeight="1" x14ac:dyDescent="0.25">
      <c r="A32" s="865">
        <v>1</v>
      </c>
      <c r="B32" s="865">
        <v>2</v>
      </c>
      <c r="C32" s="1490" t="s">
        <v>3386</v>
      </c>
      <c r="D32" s="865"/>
      <c r="E32" s="865"/>
      <c r="F32" s="865"/>
      <c r="G32" s="865"/>
      <c r="H32" s="1061" t="s">
        <v>2970</v>
      </c>
      <c r="I32" s="1063">
        <v>20497000</v>
      </c>
      <c r="J32" s="1061" t="s">
        <v>1223</v>
      </c>
      <c r="K32" s="1061" t="s">
        <v>3596</v>
      </c>
      <c r="L32" s="1063"/>
      <c r="M32" s="1063"/>
      <c r="N32" s="1063"/>
      <c r="O32" s="1063"/>
      <c r="P32" s="1063"/>
      <c r="Q32" s="1063"/>
      <c r="R32" s="1063"/>
      <c r="S32" s="1063"/>
      <c r="T32" s="1063"/>
      <c r="U32" s="1063"/>
      <c r="V32" s="1063"/>
      <c r="W32" s="1063"/>
      <c r="X32" s="1866">
        <f t="shared" si="0"/>
        <v>0</v>
      </c>
      <c r="Y32" s="23">
        <f t="shared" si="1"/>
        <v>20497000</v>
      </c>
    </row>
    <row r="33" spans="1:25" x14ac:dyDescent="0.25">
      <c r="A33" s="1"/>
      <c r="B33" s="1"/>
      <c r="C33" s="1"/>
      <c r="D33" s="1">
        <v>5</v>
      </c>
      <c r="E33" s="1">
        <v>3</v>
      </c>
      <c r="F33" s="1"/>
      <c r="G33" s="1"/>
      <c r="H33" s="4" t="s">
        <v>1284</v>
      </c>
      <c r="I33" s="73"/>
      <c r="J33" s="1"/>
      <c r="K33" s="4" t="s">
        <v>3596</v>
      </c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1864">
        <f t="shared" si="0"/>
        <v>0</v>
      </c>
      <c r="Y33" s="23">
        <f t="shared" si="1"/>
        <v>0</v>
      </c>
    </row>
    <row r="34" spans="1:25" x14ac:dyDescent="0.25">
      <c r="A34" s="1"/>
      <c r="B34" s="1"/>
      <c r="C34" s="1"/>
      <c r="D34" s="1"/>
      <c r="E34" s="1"/>
      <c r="F34" s="1">
        <v>4</v>
      </c>
      <c r="G34" s="1"/>
      <c r="H34" s="4" t="s">
        <v>2973</v>
      </c>
      <c r="I34" s="73"/>
      <c r="J34" s="1"/>
      <c r="K34" s="4" t="s">
        <v>3596</v>
      </c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1864">
        <f t="shared" si="0"/>
        <v>0</v>
      </c>
      <c r="Y34" s="23">
        <f t="shared" si="1"/>
        <v>0</v>
      </c>
    </row>
    <row r="35" spans="1:25" ht="28.9" customHeight="1" x14ac:dyDescent="0.25">
      <c r="A35" s="1"/>
      <c r="B35" s="1"/>
      <c r="C35" s="1"/>
      <c r="D35" s="1"/>
      <c r="E35" s="1"/>
      <c r="F35" s="1"/>
      <c r="G35" s="1489" t="s">
        <v>3366</v>
      </c>
      <c r="H35" s="4" t="s">
        <v>1279</v>
      </c>
      <c r="I35" s="73">
        <v>401000</v>
      </c>
      <c r="J35" s="4" t="s">
        <v>1223</v>
      </c>
      <c r="K35" s="4" t="s">
        <v>3596</v>
      </c>
      <c r="L35" s="73"/>
      <c r="M35" s="73"/>
      <c r="N35" s="73"/>
      <c r="O35" s="73"/>
      <c r="P35" s="73"/>
      <c r="Q35" s="73">
        <v>401000</v>
      </c>
      <c r="R35" s="73"/>
      <c r="S35" s="73"/>
      <c r="T35" s="73"/>
      <c r="U35" s="73"/>
      <c r="V35" s="73"/>
      <c r="W35" s="73"/>
      <c r="X35" s="1864">
        <f t="shared" si="0"/>
        <v>401000</v>
      </c>
      <c r="Y35" s="23">
        <f t="shared" si="1"/>
        <v>0</v>
      </c>
    </row>
    <row r="36" spans="1:25" x14ac:dyDescent="0.25">
      <c r="A36" s="1"/>
      <c r="B36" s="1"/>
      <c r="C36" s="1"/>
      <c r="D36" s="1"/>
      <c r="E36" s="1"/>
      <c r="F36" s="1"/>
      <c r="G36" s="1489" t="s">
        <v>3386</v>
      </c>
      <c r="H36" s="1" t="s">
        <v>1268</v>
      </c>
      <c r="I36" s="73">
        <v>7950000</v>
      </c>
      <c r="J36" s="4" t="s">
        <v>1223</v>
      </c>
      <c r="K36" s="4" t="s">
        <v>3596</v>
      </c>
      <c r="L36" s="73"/>
      <c r="M36" s="73"/>
      <c r="N36" s="73"/>
      <c r="O36" s="73"/>
      <c r="P36" s="73"/>
      <c r="Q36" s="73">
        <v>7950000</v>
      </c>
      <c r="R36" s="73"/>
      <c r="S36" s="73"/>
      <c r="T36" s="73"/>
      <c r="U36" s="73"/>
      <c r="V36" s="73"/>
      <c r="W36" s="73"/>
      <c r="X36" s="1864">
        <f t="shared" si="0"/>
        <v>7950000</v>
      </c>
      <c r="Y36" s="23">
        <f t="shared" si="1"/>
        <v>0</v>
      </c>
    </row>
    <row r="37" spans="1:25" x14ac:dyDescent="0.25">
      <c r="A37" s="1"/>
      <c r="B37" s="1"/>
      <c r="C37" s="1"/>
      <c r="D37" s="1"/>
      <c r="E37" s="1"/>
      <c r="F37" s="1"/>
      <c r="G37" s="1489" t="s">
        <v>3388</v>
      </c>
      <c r="H37" s="1" t="s">
        <v>1271</v>
      </c>
      <c r="I37" s="73">
        <v>12146000</v>
      </c>
      <c r="J37" s="4" t="s">
        <v>1223</v>
      </c>
      <c r="K37" s="4" t="s">
        <v>3596</v>
      </c>
      <c r="L37" s="73"/>
      <c r="M37" s="73"/>
      <c r="N37" s="73"/>
      <c r="O37" s="73"/>
      <c r="P37" s="73"/>
      <c r="Q37" s="73">
        <v>12146000</v>
      </c>
      <c r="R37" s="73"/>
      <c r="S37" s="73"/>
      <c r="T37" s="73"/>
      <c r="U37" s="73"/>
      <c r="V37" s="73"/>
      <c r="W37" s="73"/>
      <c r="X37" s="1864">
        <f t="shared" si="0"/>
        <v>12146000</v>
      </c>
      <c r="Y37" s="23">
        <f t="shared" si="1"/>
        <v>0</v>
      </c>
    </row>
    <row r="38" spans="1:25" ht="28.9" customHeight="1" x14ac:dyDescent="0.25">
      <c r="A38" s="865">
        <v>1</v>
      </c>
      <c r="B38" s="865">
        <v>2</v>
      </c>
      <c r="C38" s="1490" t="s">
        <v>3386</v>
      </c>
      <c r="D38" s="865"/>
      <c r="E38" s="865"/>
      <c r="F38" s="865"/>
      <c r="G38" s="865"/>
      <c r="H38" s="1061" t="s">
        <v>3433</v>
      </c>
      <c r="I38" s="1063">
        <v>81599000</v>
      </c>
      <c r="J38" s="1061" t="s">
        <v>1506</v>
      </c>
      <c r="K38" s="1061" t="s">
        <v>3596</v>
      </c>
      <c r="L38" s="1063"/>
      <c r="M38" s="1063"/>
      <c r="N38" s="1063"/>
      <c r="O38" s="1063"/>
      <c r="P38" s="1063"/>
      <c r="Q38" s="1063"/>
      <c r="R38" s="1063"/>
      <c r="S38" s="1063"/>
      <c r="T38" s="1063"/>
      <c r="U38" s="1063"/>
      <c r="V38" s="1063"/>
      <c r="W38" s="1063"/>
      <c r="X38" s="1866">
        <f t="shared" si="0"/>
        <v>0</v>
      </c>
      <c r="Y38" s="23">
        <f t="shared" si="1"/>
        <v>81599000</v>
      </c>
    </row>
    <row r="39" spans="1:25" x14ac:dyDescent="0.25">
      <c r="A39" s="1"/>
      <c r="B39" s="1"/>
      <c r="C39" s="1"/>
      <c r="D39" s="1">
        <v>5</v>
      </c>
      <c r="E39" s="1">
        <v>3</v>
      </c>
      <c r="F39" s="1"/>
      <c r="G39" s="1"/>
      <c r="H39" s="4" t="s">
        <v>1284</v>
      </c>
      <c r="I39" s="73"/>
      <c r="J39" s="4"/>
      <c r="K39" s="4" t="s">
        <v>3596</v>
      </c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1864">
        <f t="shared" si="0"/>
        <v>0</v>
      </c>
      <c r="Y39" s="23">
        <f t="shared" si="1"/>
        <v>0</v>
      </c>
    </row>
    <row r="40" spans="1:25" x14ac:dyDescent="0.25">
      <c r="A40" s="1"/>
      <c r="B40" s="1"/>
      <c r="C40" s="1"/>
      <c r="D40" s="1"/>
      <c r="E40" s="1"/>
      <c r="F40" s="1">
        <v>4</v>
      </c>
      <c r="G40" s="1"/>
      <c r="H40" s="4" t="s">
        <v>2973</v>
      </c>
      <c r="I40" s="73"/>
      <c r="J40" s="4"/>
      <c r="K40" s="4" t="s">
        <v>3596</v>
      </c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1864">
        <f t="shared" si="0"/>
        <v>0</v>
      </c>
      <c r="Y40" s="23">
        <f t="shared" si="1"/>
        <v>0</v>
      </c>
    </row>
    <row r="41" spans="1:25" ht="57.6" customHeight="1" x14ac:dyDescent="0.25">
      <c r="A41" s="1"/>
      <c r="B41" s="1"/>
      <c r="C41" s="1"/>
      <c r="D41" s="1"/>
      <c r="E41" s="1"/>
      <c r="F41" s="1"/>
      <c r="G41" s="1489" t="s">
        <v>3366</v>
      </c>
      <c r="H41" s="4" t="s">
        <v>1279</v>
      </c>
      <c r="I41" s="73">
        <v>1567000</v>
      </c>
      <c r="J41" s="4" t="s">
        <v>1506</v>
      </c>
      <c r="K41" s="4" t="s">
        <v>3596</v>
      </c>
      <c r="L41" s="73"/>
      <c r="M41" s="73"/>
      <c r="N41" s="73"/>
      <c r="O41" s="73"/>
      <c r="P41" s="73"/>
      <c r="Q41" s="73"/>
      <c r="R41" s="73"/>
      <c r="S41" s="73">
        <v>1567000</v>
      </c>
      <c r="T41" s="73"/>
      <c r="U41" s="73"/>
      <c r="V41" s="73"/>
      <c r="W41" s="73"/>
      <c r="X41" s="1864">
        <f t="shared" si="0"/>
        <v>1567000</v>
      </c>
      <c r="Y41" s="23">
        <f t="shared" si="1"/>
        <v>0</v>
      </c>
    </row>
    <row r="42" spans="1:25" x14ac:dyDescent="0.25">
      <c r="A42" s="1"/>
      <c r="B42" s="1"/>
      <c r="C42" s="1"/>
      <c r="D42" s="1"/>
      <c r="E42" s="1"/>
      <c r="F42" s="1"/>
      <c r="G42" s="1489" t="s">
        <v>3386</v>
      </c>
      <c r="H42" s="1" t="s">
        <v>1268</v>
      </c>
      <c r="I42" s="73">
        <v>8130000</v>
      </c>
      <c r="J42" s="4" t="s">
        <v>1506</v>
      </c>
      <c r="K42" s="4" t="s">
        <v>3596</v>
      </c>
      <c r="L42" s="73"/>
      <c r="M42" s="73"/>
      <c r="N42" s="73"/>
      <c r="O42" s="73"/>
      <c r="P42" s="73"/>
      <c r="Q42" s="73"/>
      <c r="R42" s="73"/>
      <c r="S42" s="73">
        <v>8130000</v>
      </c>
      <c r="T42" s="73"/>
      <c r="U42" s="73"/>
      <c r="V42" s="73"/>
      <c r="W42" s="73"/>
      <c r="X42" s="1864">
        <f t="shared" si="0"/>
        <v>8130000</v>
      </c>
      <c r="Y42" s="23">
        <f t="shared" si="1"/>
        <v>0</v>
      </c>
    </row>
    <row r="43" spans="1:25" ht="28.9" customHeight="1" x14ac:dyDescent="0.25">
      <c r="A43" s="1"/>
      <c r="B43" s="1"/>
      <c r="C43" s="1"/>
      <c r="D43" s="1"/>
      <c r="E43" s="1"/>
      <c r="F43" s="1"/>
      <c r="G43" s="1489" t="s">
        <v>3388</v>
      </c>
      <c r="H43" s="1" t="s">
        <v>1271</v>
      </c>
      <c r="I43" s="73">
        <v>71902000</v>
      </c>
      <c r="J43" s="4" t="s">
        <v>1506</v>
      </c>
      <c r="K43" s="4" t="s">
        <v>3596</v>
      </c>
      <c r="L43" s="73"/>
      <c r="M43" s="73"/>
      <c r="N43" s="73"/>
      <c r="O43" s="73"/>
      <c r="P43" s="73"/>
      <c r="Q43" s="73"/>
      <c r="R43" s="73"/>
      <c r="S43" s="73">
        <v>71902000</v>
      </c>
      <c r="T43" s="73"/>
      <c r="U43" s="73"/>
      <c r="V43" s="73"/>
      <c r="W43" s="73"/>
      <c r="X43" s="1864">
        <f t="shared" si="0"/>
        <v>71902000</v>
      </c>
      <c r="Y43" s="23">
        <f t="shared" si="1"/>
        <v>0</v>
      </c>
    </row>
    <row r="44" spans="1:25" ht="28.9" customHeight="1" x14ac:dyDescent="0.25">
      <c r="A44" s="865">
        <v>1</v>
      </c>
      <c r="B44" s="865">
        <v>2</v>
      </c>
      <c r="C44" s="1490" t="s">
        <v>3386</v>
      </c>
      <c r="D44" s="865"/>
      <c r="E44" s="865"/>
      <c r="F44" s="865"/>
      <c r="G44" s="865"/>
      <c r="H44" s="1061" t="s">
        <v>1717</v>
      </c>
      <c r="I44" s="1063">
        <v>8177600</v>
      </c>
      <c r="J44" s="1061" t="s">
        <v>1223</v>
      </c>
      <c r="K44" s="1061" t="s">
        <v>3596</v>
      </c>
      <c r="L44" s="1063"/>
      <c r="M44" s="1063"/>
      <c r="N44" s="1063"/>
      <c r="O44" s="1063"/>
      <c r="P44" s="1063"/>
      <c r="Q44" s="1063"/>
      <c r="R44" s="1063"/>
      <c r="S44" s="1063"/>
      <c r="T44" s="1063"/>
      <c r="U44" s="1063"/>
      <c r="V44" s="1063"/>
      <c r="W44" s="1063"/>
      <c r="X44" s="1866">
        <f t="shared" si="0"/>
        <v>0</v>
      </c>
      <c r="Y44" s="23">
        <f t="shared" si="1"/>
        <v>8177600</v>
      </c>
    </row>
    <row r="45" spans="1:25" ht="14.45" customHeight="1" x14ac:dyDescent="0.25">
      <c r="A45" s="1"/>
      <c r="B45" s="1"/>
      <c r="C45" s="1"/>
      <c r="D45" s="1">
        <v>5</v>
      </c>
      <c r="E45" s="1">
        <v>3</v>
      </c>
      <c r="F45" s="1"/>
      <c r="G45" s="1"/>
      <c r="H45" s="4" t="s">
        <v>397</v>
      </c>
      <c r="I45" s="73"/>
      <c r="J45" s="4"/>
      <c r="K45" s="4" t="s">
        <v>3596</v>
      </c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1864">
        <f t="shared" si="0"/>
        <v>0</v>
      </c>
      <c r="Y45" s="23">
        <f t="shared" si="1"/>
        <v>0</v>
      </c>
    </row>
    <row r="46" spans="1:25" ht="30" x14ac:dyDescent="0.25">
      <c r="A46" s="1"/>
      <c r="B46" s="1"/>
      <c r="C46" s="1"/>
      <c r="D46" s="1"/>
      <c r="E46" s="1"/>
      <c r="F46" s="1">
        <v>4</v>
      </c>
      <c r="G46" s="1"/>
      <c r="H46" s="4" t="s">
        <v>1712</v>
      </c>
      <c r="I46" s="73"/>
      <c r="J46" s="4"/>
      <c r="K46" s="4" t="s">
        <v>3596</v>
      </c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1864">
        <f t="shared" si="0"/>
        <v>0</v>
      </c>
      <c r="Y46" s="23">
        <f t="shared" si="1"/>
        <v>0</v>
      </c>
    </row>
    <row r="47" spans="1:25" ht="57.6" customHeight="1" x14ac:dyDescent="0.25">
      <c r="A47" s="1"/>
      <c r="B47" s="1"/>
      <c r="C47" s="1"/>
      <c r="D47" s="1"/>
      <c r="E47" s="1"/>
      <c r="F47" s="1"/>
      <c r="G47" s="1489" t="s">
        <v>3366</v>
      </c>
      <c r="H47" s="4" t="s">
        <v>1713</v>
      </c>
      <c r="I47" s="73">
        <v>727600</v>
      </c>
      <c r="J47" s="4" t="s">
        <v>1223</v>
      </c>
      <c r="K47" s="4" t="s">
        <v>3596</v>
      </c>
      <c r="L47" s="73"/>
      <c r="M47" s="73"/>
      <c r="N47" s="73"/>
      <c r="O47" s="73"/>
      <c r="P47" s="73"/>
      <c r="Q47" s="73"/>
      <c r="R47" s="73">
        <v>727600</v>
      </c>
      <c r="S47" s="73"/>
      <c r="T47" s="73"/>
      <c r="U47" s="73"/>
      <c r="V47" s="73"/>
      <c r="W47" s="73"/>
      <c r="X47" s="1864">
        <f t="shared" si="0"/>
        <v>727600</v>
      </c>
      <c r="Y47" s="23">
        <f t="shared" si="1"/>
        <v>0</v>
      </c>
    </row>
    <row r="48" spans="1:25" ht="30" x14ac:dyDescent="0.25">
      <c r="A48" s="1"/>
      <c r="B48" s="1"/>
      <c r="C48" s="1"/>
      <c r="D48" s="1"/>
      <c r="E48" s="1"/>
      <c r="F48" s="1"/>
      <c r="G48" s="1489" t="s">
        <v>3386</v>
      </c>
      <c r="H48" s="4" t="s">
        <v>1715</v>
      </c>
      <c r="I48" s="73">
        <v>1300000</v>
      </c>
      <c r="J48" s="4" t="s">
        <v>1223</v>
      </c>
      <c r="K48" s="4" t="s">
        <v>3596</v>
      </c>
      <c r="L48" s="73"/>
      <c r="M48" s="73"/>
      <c r="N48" s="73"/>
      <c r="O48" s="73"/>
      <c r="P48" s="73"/>
      <c r="Q48" s="73"/>
      <c r="R48" s="73">
        <v>1300000</v>
      </c>
      <c r="S48" s="73"/>
      <c r="T48" s="73"/>
      <c r="U48" s="73"/>
      <c r="V48" s="73"/>
      <c r="W48" s="73"/>
      <c r="X48" s="1864">
        <f t="shared" si="0"/>
        <v>1300000</v>
      </c>
      <c r="Y48" s="23">
        <f t="shared" si="1"/>
        <v>0</v>
      </c>
    </row>
    <row r="49" spans="1:25" x14ac:dyDescent="0.25">
      <c r="A49" s="1"/>
      <c r="B49" s="1"/>
      <c r="C49" s="1"/>
      <c r="D49" s="1"/>
      <c r="E49" s="1"/>
      <c r="F49" s="1"/>
      <c r="G49" s="1489" t="s">
        <v>3388</v>
      </c>
      <c r="H49" s="1" t="s">
        <v>1716</v>
      </c>
      <c r="I49" s="73">
        <v>6150000</v>
      </c>
      <c r="J49" s="4" t="s">
        <v>1223</v>
      </c>
      <c r="K49" s="4" t="s">
        <v>3596</v>
      </c>
      <c r="L49" s="73"/>
      <c r="M49" s="73"/>
      <c r="N49" s="73"/>
      <c r="O49" s="73"/>
      <c r="P49" s="73"/>
      <c r="Q49" s="73"/>
      <c r="R49" s="73">
        <v>6150000</v>
      </c>
      <c r="S49" s="73"/>
      <c r="T49" s="73"/>
      <c r="U49" s="73"/>
      <c r="V49" s="73"/>
      <c r="W49" s="73"/>
      <c r="X49" s="1864">
        <f t="shared" si="0"/>
        <v>6150000</v>
      </c>
      <c r="Y49" s="23">
        <f t="shared" si="1"/>
        <v>0</v>
      </c>
    </row>
    <row r="50" spans="1:25" ht="30" x14ac:dyDescent="0.25">
      <c r="A50" s="1868">
        <v>2</v>
      </c>
      <c r="B50" s="1869"/>
      <c r="C50" s="1869"/>
      <c r="D50" s="1869"/>
      <c r="E50" s="1869"/>
      <c r="F50" s="1869"/>
      <c r="G50" s="1869"/>
      <c r="H50" s="1870" t="s">
        <v>3606</v>
      </c>
      <c r="I50" s="1871">
        <f>I51+I62+I70+I77+I86+I95+I107+I117+I129+I145+I159+I167+I175+I179+I188+I196+I213+I223+I230+I239+I245+I251+I255+I261</f>
        <v>1791804143</v>
      </c>
      <c r="J50" s="1869"/>
      <c r="K50" s="1870"/>
      <c r="L50" s="1871"/>
      <c r="M50" s="1871"/>
      <c r="N50" s="1871"/>
      <c r="O50" s="1871"/>
      <c r="P50" s="1871"/>
      <c r="Q50" s="1871"/>
      <c r="R50" s="1871"/>
      <c r="S50" s="1871"/>
      <c r="T50" s="1871"/>
      <c r="U50" s="1871"/>
      <c r="V50" s="1871"/>
      <c r="W50" s="1871"/>
      <c r="X50" s="1872">
        <f t="shared" si="0"/>
        <v>0</v>
      </c>
      <c r="Y50" s="23">
        <f t="shared" si="1"/>
        <v>1791804143</v>
      </c>
    </row>
    <row r="51" spans="1:25" ht="28.9" customHeight="1" x14ac:dyDescent="0.25">
      <c r="A51" s="865">
        <v>2</v>
      </c>
      <c r="B51" s="865">
        <v>2</v>
      </c>
      <c r="C51" s="1490" t="s">
        <v>3386</v>
      </c>
      <c r="D51" s="865"/>
      <c r="E51" s="865"/>
      <c r="F51" s="865"/>
      <c r="G51" s="865"/>
      <c r="H51" s="1061" t="s">
        <v>1854</v>
      </c>
      <c r="I51" s="1063">
        <v>983933100</v>
      </c>
      <c r="J51" s="865"/>
      <c r="K51" s="1061" t="s">
        <v>3600</v>
      </c>
      <c r="L51" s="1063"/>
      <c r="M51" s="1063"/>
      <c r="N51" s="1063"/>
      <c r="O51" s="1063"/>
      <c r="P51" s="1063"/>
      <c r="Q51" s="1063"/>
      <c r="R51" s="1063"/>
      <c r="S51" s="1063"/>
      <c r="T51" s="1063"/>
      <c r="U51" s="1063"/>
      <c r="V51" s="1063"/>
      <c r="W51" s="1063"/>
      <c r="X51" s="1866">
        <f t="shared" si="0"/>
        <v>0</v>
      </c>
      <c r="Y51" s="23">
        <f t="shared" si="1"/>
        <v>983933100</v>
      </c>
    </row>
    <row r="52" spans="1:25" ht="28.9" customHeight="1" x14ac:dyDescent="0.25">
      <c r="A52" s="1"/>
      <c r="B52" s="1"/>
      <c r="C52" s="1"/>
      <c r="D52" s="1">
        <v>5</v>
      </c>
      <c r="E52" s="1">
        <v>2</v>
      </c>
      <c r="F52" s="1"/>
      <c r="G52" s="1"/>
      <c r="H52" s="4" t="s">
        <v>304</v>
      </c>
      <c r="I52" s="73"/>
      <c r="J52" s="1"/>
      <c r="K52" s="4" t="s">
        <v>3600</v>
      </c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1864">
        <f t="shared" si="0"/>
        <v>0</v>
      </c>
      <c r="Y52" s="23">
        <f t="shared" si="1"/>
        <v>0</v>
      </c>
    </row>
    <row r="53" spans="1:25" ht="28.9" customHeight="1" x14ac:dyDescent="0.25">
      <c r="A53" s="1"/>
      <c r="B53" s="1"/>
      <c r="C53" s="1"/>
      <c r="D53" s="1"/>
      <c r="E53" s="1"/>
      <c r="F53" s="1">
        <v>1</v>
      </c>
      <c r="G53" s="1"/>
      <c r="H53" s="4" t="s">
        <v>642</v>
      </c>
      <c r="I53" s="73"/>
      <c r="J53" s="1"/>
      <c r="K53" s="4" t="s">
        <v>3600</v>
      </c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1864">
        <f t="shared" si="0"/>
        <v>0</v>
      </c>
      <c r="Y53" s="23">
        <f t="shared" si="1"/>
        <v>0</v>
      </c>
    </row>
    <row r="54" spans="1:25" ht="30" x14ac:dyDescent="0.25">
      <c r="A54" s="1"/>
      <c r="B54" s="1"/>
      <c r="C54" s="1"/>
      <c r="D54" s="1"/>
      <c r="E54" s="1"/>
      <c r="F54" s="1"/>
      <c r="G54" s="1489" t="s">
        <v>3366</v>
      </c>
      <c r="H54" s="4" t="s">
        <v>640</v>
      </c>
      <c r="I54" s="73">
        <v>4553000</v>
      </c>
      <c r="J54" s="4" t="s">
        <v>2179</v>
      </c>
      <c r="K54" s="4" t="s">
        <v>3600</v>
      </c>
      <c r="L54" s="73"/>
      <c r="M54" s="73"/>
      <c r="N54" s="73">
        <v>4553000</v>
      </c>
      <c r="O54" s="73"/>
      <c r="P54" s="73"/>
      <c r="Q54" s="73"/>
      <c r="R54" s="73"/>
      <c r="S54" s="73"/>
      <c r="T54" s="73"/>
      <c r="U54" s="73"/>
      <c r="V54" s="73"/>
      <c r="W54" s="73"/>
      <c r="X54" s="1864">
        <f t="shared" si="0"/>
        <v>4553000</v>
      </c>
      <c r="Y54" s="23">
        <f t="shared" si="1"/>
        <v>0</v>
      </c>
    </row>
    <row r="55" spans="1:25" ht="30" x14ac:dyDescent="0.25">
      <c r="A55" s="1"/>
      <c r="B55" s="1"/>
      <c r="C55" s="1"/>
      <c r="D55" s="1"/>
      <c r="E55" s="1"/>
      <c r="F55" s="1"/>
      <c r="G55" s="1489" t="s">
        <v>3391</v>
      </c>
      <c r="H55" s="4" t="s">
        <v>307</v>
      </c>
      <c r="I55" s="73">
        <v>288180000</v>
      </c>
      <c r="J55" s="1" t="s">
        <v>1410</v>
      </c>
      <c r="K55" s="4" t="s">
        <v>3600</v>
      </c>
      <c r="L55" s="73">
        <v>24015000</v>
      </c>
      <c r="M55" s="73">
        <v>24015000</v>
      </c>
      <c r="N55" s="73">
        <v>24015000</v>
      </c>
      <c r="O55" s="73">
        <v>24015000</v>
      </c>
      <c r="P55" s="73">
        <v>24015000</v>
      </c>
      <c r="Q55" s="73">
        <v>24015000</v>
      </c>
      <c r="R55" s="73">
        <v>24015000</v>
      </c>
      <c r="S55" s="73">
        <v>24015000</v>
      </c>
      <c r="T55" s="73">
        <v>24015000</v>
      </c>
      <c r="U55" s="73">
        <v>24015000</v>
      </c>
      <c r="V55" s="73">
        <v>24015000</v>
      </c>
      <c r="W55" s="73">
        <v>24015000</v>
      </c>
      <c r="X55" s="1864">
        <f t="shared" si="0"/>
        <v>288180000</v>
      </c>
      <c r="Y55" s="23">
        <f t="shared" si="1"/>
        <v>0</v>
      </c>
    </row>
    <row r="56" spans="1:25" ht="30" x14ac:dyDescent="0.25">
      <c r="A56" s="1"/>
      <c r="B56" s="1"/>
      <c r="C56" s="1"/>
      <c r="D56" s="1"/>
      <c r="E56" s="1"/>
      <c r="F56" s="1"/>
      <c r="G56" s="1489" t="s">
        <v>3391</v>
      </c>
      <c r="H56" s="4" t="s">
        <v>307</v>
      </c>
      <c r="I56" s="73">
        <v>175500000</v>
      </c>
      <c r="J56" s="4" t="s">
        <v>1777</v>
      </c>
      <c r="K56" s="4" t="s">
        <v>3600</v>
      </c>
      <c r="L56" s="73">
        <v>19500000</v>
      </c>
      <c r="M56" s="73">
        <v>19500000</v>
      </c>
      <c r="N56" s="73">
        <v>19500000</v>
      </c>
      <c r="O56" s="73">
        <v>19500000</v>
      </c>
      <c r="P56" s="73">
        <v>19500000</v>
      </c>
      <c r="Q56" s="73">
        <v>19500000</v>
      </c>
      <c r="R56" s="73">
        <v>9750000</v>
      </c>
      <c r="S56" s="73">
        <v>9750000</v>
      </c>
      <c r="T56" s="73">
        <v>9750000</v>
      </c>
      <c r="U56" s="73">
        <v>9750000</v>
      </c>
      <c r="V56" s="73">
        <v>9750000</v>
      </c>
      <c r="W56" s="73">
        <v>9750000</v>
      </c>
      <c r="X56" s="1864">
        <f t="shared" si="0"/>
        <v>175500000</v>
      </c>
      <c r="Y56" s="23">
        <f t="shared" si="1"/>
        <v>0</v>
      </c>
    </row>
    <row r="57" spans="1:25" x14ac:dyDescent="0.25">
      <c r="A57" s="1"/>
      <c r="B57" s="1"/>
      <c r="C57" s="1"/>
      <c r="D57" s="1"/>
      <c r="E57" s="1"/>
      <c r="F57" s="1"/>
      <c r="G57" s="1489" t="s">
        <v>3392</v>
      </c>
      <c r="H57" s="1" t="s">
        <v>483</v>
      </c>
      <c r="I57" s="73">
        <v>75427100</v>
      </c>
      <c r="J57" s="1" t="s">
        <v>1506</v>
      </c>
      <c r="K57" s="4" t="s">
        <v>3600</v>
      </c>
      <c r="L57" s="73">
        <v>34610050</v>
      </c>
      <c r="M57" s="73"/>
      <c r="N57" s="73"/>
      <c r="O57" s="73"/>
      <c r="P57" s="73"/>
      <c r="Q57" s="73"/>
      <c r="R57" s="68">
        <v>40850050</v>
      </c>
      <c r="S57" s="73"/>
      <c r="T57" s="73"/>
      <c r="U57" s="73"/>
      <c r="V57" s="73"/>
      <c r="W57" s="73"/>
      <c r="X57" s="1864">
        <f t="shared" si="0"/>
        <v>75460100</v>
      </c>
      <c r="Y57" s="23">
        <f t="shared" si="1"/>
        <v>-33000</v>
      </c>
    </row>
    <row r="58" spans="1:25" x14ac:dyDescent="0.25">
      <c r="A58" s="1"/>
      <c r="B58" s="1"/>
      <c r="C58" s="1"/>
      <c r="D58" s="1"/>
      <c r="E58" s="1"/>
      <c r="F58" s="1"/>
      <c r="G58" s="1489" t="s">
        <v>3394</v>
      </c>
      <c r="H58" s="1" t="s">
        <v>1846</v>
      </c>
      <c r="I58" s="73">
        <v>33233000</v>
      </c>
      <c r="J58" s="1" t="s">
        <v>1506</v>
      </c>
      <c r="K58" s="4" t="s">
        <v>3600</v>
      </c>
      <c r="L58" s="73">
        <v>33233000</v>
      </c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1864">
        <f t="shared" si="0"/>
        <v>33233000</v>
      </c>
      <c r="Y58" s="23">
        <f t="shared" si="1"/>
        <v>0</v>
      </c>
    </row>
    <row r="59" spans="1:25" x14ac:dyDescent="0.25">
      <c r="A59" s="1"/>
      <c r="B59" s="1"/>
      <c r="C59" s="1"/>
      <c r="D59" s="1"/>
      <c r="E59" s="1"/>
      <c r="F59" s="1"/>
      <c r="G59" s="1">
        <v>90</v>
      </c>
      <c r="H59" s="4" t="s">
        <v>1839</v>
      </c>
      <c r="I59" s="73">
        <v>6240000</v>
      </c>
      <c r="J59" s="1" t="s">
        <v>1506</v>
      </c>
      <c r="K59" s="4" t="s">
        <v>3600</v>
      </c>
      <c r="L59" s="73">
        <v>6240000</v>
      </c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1864">
        <f t="shared" si="0"/>
        <v>6240000</v>
      </c>
      <c r="Y59" s="23">
        <f t="shared" si="1"/>
        <v>0</v>
      </c>
    </row>
    <row r="60" spans="1:25" x14ac:dyDescent="0.25">
      <c r="A60" s="1"/>
      <c r="B60" s="1"/>
      <c r="C60" s="1"/>
      <c r="D60" s="1">
        <v>5</v>
      </c>
      <c r="E60" s="1">
        <v>2</v>
      </c>
      <c r="F60" s="1">
        <v>2</v>
      </c>
      <c r="G60" s="1"/>
      <c r="H60" s="4" t="s">
        <v>294</v>
      </c>
      <c r="I60" s="73"/>
      <c r="J60" s="1"/>
      <c r="K60" s="4" t="s">
        <v>3600</v>
      </c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1864">
        <f t="shared" si="0"/>
        <v>0</v>
      </c>
      <c r="Y60" s="23">
        <f t="shared" si="1"/>
        <v>0</v>
      </c>
    </row>
    <row r="61" spans="1:25" ht="30" x14ac:dyDescent="0.25">
      <c r="A61" s="1"/>
      <c r="B61" s="1"/>
      <c r="C61" s="1"/>
      <c r="D61" s="1"/>
      <c r="E61" s="1"/>
      <c r="F61" s="1"/>
      <c r="G61" s="1489" t="s">
        <v>3390</v>
      </c>
      <c r="H61" s="4" t="s">
        <v>333</v>
      </c>
      <c r="I61" s="73">
        <v>334000000</v>
      </c>
      <c r="J61" s="1" t="s">
        <v>1506</v>
      </c>
      <c r="K61" s="4" t="s">
        <v>3600</v>
      </c>
      <c r="L61" s="73">
        <v>33400000</v>
      </c>
      <c r="M61" s="73">
        <v>33400000</v>
      </c>
      <c r="N61" s="73">
        <v>33400000</v>
      </c>
      <c r="O61" s="73">
        <v>33400000</v>
      </c>
      <c r="P61" s="73">
        <v>33400000</v>
      </c>
      <c r="Q61" s="73">
        <v>33400000</v>
      </c>
      <c r="R61" s="73">
        <v>33400000</v>
      </c>
      <c r="S61" s="73">
        <v>33400000</v>
      </c>
      <c r="T61" s="73">
        <v>33400000</v>
      </c>
      <c r="U61" s="73">
        <v>33400000</v>
      </c>
      <c r="V61" s="73"/>
      <c r="W61" s="73"/>
      <c r="X61" s="1864">
        <f t="shared" si="0"/>
        <v>334000000</v>
      </c>
      <c r="Y61" s="23">
        <f t="shared" si="1"/>
        <v>0</v>
      </c>
    </row>
    <row r="62" spans="1:25" ht="30" x14ac:dyDescent="0.25">
      <c r="A62" s="865">
        <v>2</v>
      </c>
      <c r="B62" s="865">
        <v>2</v>
      </c>
      <c r="C62" s="1490" t="s">
        <v>3386</v>
      </c>
      <c r="D62" s="865"/>
      <c r="E62" s="865"/>
      <c r="F62" s="865"/>
      <c r="G62" s="865"/>
      <c r="H62" s="1061" t="s">
        <v>657</v>
      </c>
      <c r="I62" s="1063">
        <v>3095000</v>
      </c>
      <c r="J62" s="1061" t="s">
        <v>3295</v>
      </c>
      <c r="K62" s="1061" t="s">
        <v>3600</v>
      </c>
      <c r="L62" s="1063"/>
      <c r="M62" s="1063"/>
      <c r="N62" s="1063"/>
      <c r="O62" s="1063"/>
      <c r="P62" s="1063"/>
      <c r="Q62" s="1063"/>
      <c r="R62" s="1063"/>
      <c r="S62" s="1063"/>
      <c r="T62" s="1063"/>
      <c r="U62" s="1063"/>
      <c r="V62" s="1063"/>
      <c r="W62" s="1063"/>
      <c r="X62" s="1866">
        <f t="shared" si="0"/>
        <v>0</v>
      </c>
      <c r="Y62" s="23">
        <f t="shared" si="1"/>
        <v>3095000</v>
      </c>
    </row>
    <row r="63" spans="1:25" x14ac:dyDescent="0.25">
      <c r="A63" s="1"/>
      <c r="B63" s="1"/>
      <c r="C63" s="1"/>
      <c r="D63" s="1">
        <v>5</v>
      </c>
      <c r="E63" s="1">
        <v>2</v>
      </c>
      <c r="F63" s="1"/>
      <c r="G63" s="1"/>
      <c r="H63" s="4" t="s">
        <v>277</v>
      </c>
      <c r="I63" s="73"/>
      <c r="J63" s="1"/>
      <c r="K63" s="4" t="s">
        <v>3600</v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1864">
        <f t="shared" si="0"/>
        <v>0</v>
      </c>
      <c r="Y63" s="23">
        <f t="shared" si="1"/>
        <v>0</v>
      </c>
    </row>
    <row r="64" spans="1:25" x14ac:dyDescent="0.25">
      <c r="A64" s="1"/>
      <c r="B64" s="1"/>
      <c r="C64" s="1"/>
      <c r="D64" s="1"/>
      <c r="E64" s="1"/>
      <c r="F64" s="1">
        <v>1</v>
      </c>
      <c r="G64" s="1"/>
      <c r="H64" s="4" t="s">
        <v>84</v>
      </c>
      <c r="I64" s="73"/>
      <c r="J64" s="1"/>
      <c r="K64" s="4" t="s">
        <v>3600</v>
      </c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1864">
        <f t="shared" si="0"/>
        <v>0</v>
      </c>
      <c r="Y64" s="23">
        <f t="shared" si="1"/>
        <v>0</v>
      </c>
    </row>
    <row r="65" spans="1:25" ht="14.45" customHeight="1" x14ac:dyDescent="0.25">
      <c r="A65" s="1"/>
      <c r="B65" s="1"/>
      <c r="C65" s="1"/>
      <c r="D65" s="1"/>
      <c r="E65" s="1"/>
      <c r="F65" s="1"/>
      <c r="G65" s="1489" t="s">
        <v>3366</v>
      </c>
      <c r="H65" s="4" t="s">
        <v>679</v>
      </c>
      <c r="I65" s="73">
        <v>105000</v>
      </c>
      <c r="J65" s="4" t="s">
        <v>3295</v>
      </c>
      <c r="K65" s="4" t="s">
        <v>3600</v>
      </c>
      <c r="L65" s="73"/>
      <c r="M65" s="73"/>
      <c r="N65" s="73"/>
      <c r="O65" s="73"/>
      <c r="P65" s="73">
        <v>105000</v>
      </c>
      <c r="Q65" s="73"/>
      <c r="R65" s="73"/>
      <c r="S65" s="73"/>
      <c r="T65" s="73"/>
      <c r="U65" s="73"/>
      <c r="V65" s="73"/>
      <c r="W65" s="73"/>
      <c r="X65" s="1864">
        <f t="shared" si="0"/>
        <v>105000</v>
      </c>
      <c r="Y65" s="23">
        <f t="shared" si="1"/>
        <v>0</v>
      </c>
    </row>
    <row r="66" spans="1:25" ht="30" x14ac:dyDescent="0.25">
      <c r="A66" s="1"/>
      <c r="B66" s="1"/>
      <c r="C66" s="1"/>
      <c r="D66" s="1"/>
      <c r="E66" s="1"/>
      <c r="F66" s="1"/>
      <c r="G66" s="1489" t="s">
        <v>3391</v>
      </c>
      <c r="H66" s="4" t="s">
        <v>307</v>
      </c>
      <c r="I66" s="73">
        <v>2300000</v>
      </c>
      <c r="J66" s="4" t="s">
        <v>3295</v>
      </c>
      <c r="K66" s="4" t="s">
        <v>3600</v>
      </c>
      <c r="L66" s="73"/>
      <c r="M66" s="73"/>
      <c r="N66" s="73"/>
      <c r="O66" s="73"/>
      <c r="P66" s="73">
        <v>2300000</v>
      </c>
      <c r="Q66" s="73"/>
      <c r="R66" s="73"/>
      <c r="S66" s="73"/>
      <c r="T66" s="73"/>
      <c r="U66" s="73"/>
      <c r="V66" s="73"/>
      <c r="W66" s="73"/>
      <c r="X66" s="1864">
        <f t="shared" si="0"/>
        <v>2300000</v>
      </c>
      <c r="Y66" s="23">
        <f t="shared" si="1"/>
        <v>0</v>
      </c>
    </row>
    <row r="67" spans="1:25" ht="30" x14ac:dyDescent="0.25">
      <c r="A67" s="1"/>
      <c r="B67" s="1"/>
      <c r="C67" s="1"/>
      <c r="D67" s="1"/>
      <c r="E67" s="1"/>
      <c r="F67" s="1"/>
      <c r="G67" s="1489" t="s">
        <v>3393</v>
      </c>
      <c r="H67" s="4" t="s">
        <v>325</v>
      </c>
      <c r="I67" s="73">
        <v>90000</v>
      </c>
      <c r="J67" s="4" t="s">
        <v>3295</v>
      </c>
      <c r="K67" s="4" t="s">
        <v>3600</v>
      </c>
      <c r="L67" s="73"/>
      <c r="M67" s="73"/>
      <c r="N67" s="73"/>
      <c r="O67" s="73"/>
      <c r="P67" s="73">
        <v>90000</v>
      </c>
      <c r="Q67" s="73"/>
      <c r="R67" s="73"/>
      <c r="S67" s="73"/>
      <c r="T67" s="73"/>
      <c r="U67" s="73"/>
      <c r="V67" s="73"/>
      <c r="W67" s="73"/>
      <c r="X67" s="1864">
        <f t="shared" si="0"/>
        <v>90000</v>
      </c>
      <c r="Y67" s="23">
        <f t="shared" si="1"/>
        <v>0</v>
      </c>
    </row>
    <row r="68" spans="1:25" x14ac:dyDescent="0.25">
      <c r="A68" s="1"/>
      <c r="B68" s="1"/>
      <c r="C68" s="1"/>
      <c r="D68" s="1">
        <v>5</v>
      </c>
      <c r="E68" s="1">
        <v>2</v>
      </c>
      <c r="F68" s="1">
        <v>2</v>
      </c>
      <c r="G68" s="1"/>
      <c r="H68" s="4" t="s">
        <v>294</v>
      </c>
      <c r="I68" s="73"/>
      <c r="J68" s="1"/>
      <c r="K68" s="4" t="s">
        <v>3600</v>
      </c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1864">
        <f t="shared" si="0"/>
        <v>0</v>
      </c>
      <c r="Y68" s="23">
        <f t="shared" si="1"/>
        <v>0</v>
      </c>
    </row>
    <row r="69" spans="1:25" ht="45" x14ac:dyDescent="0.25">
      <c r="A69" s="1"/>
      <c r="B69" s="1"/>
      <c r="C69" s="1"/>
      <c r="D69" s="1"/>
      <c r="E69" s="1"/>
      <c r="F69" s="1"/>
      <c r="G69" s="1489" t="s">
        <v>3389</v>
      </c>
      <c r="H69" s="4" t="s">
        <v>656</v>
      </c>
      <c r="I69" s="73">
        <v>600000</v>
      </c>
      <c r="J69" s="4" t="s">
        <v>3295</v>
      </c>
      <c r="K69" s="4" t="s">
        <v>3600</v>
      </c>
      <c r="L69" s="73"/>
      <c r="M69" s="73"/>
      <c r="N69" s="73"/>
      <c r="O69" s="73"/>
      <c r="P69" s="73">
        <v>600000</v>
      </c>
      <c r="Q69" s="73"/>
      <c r="R69" s="73"/>
      <c r="S69" s="73"/>
      <c r="T69" s="73"/>
      <c r="U69" s="73"/>
      <c r="V69" s="73"/>
      <c r="W69" s="73"/>
      <c r="X69" s="1864">
        <f t="shared" si="0"/>
        <v>600000</v>
      </c>
      <c r="Y69" s="23">
        <f t="shared" si="1"/>
        <v>0</v>
      </c>
    </row>
    <row r="70" spans="1:25" ht="60" x14ac:dyDescent="0.25">
      <c r="A70" s="1061">
        <v>2</v>
      </c>
      <c r="B70" s="1061">
        <v>2</v>
      </c>
      <c r="C70" s="1542" t="s">
        <v>3388</v>
      </c>
      <c r="D70" s="1061"/>
      <c r="E70" s="1061"/>
      <c r="F70" s="1061"/>
      <c r="G70" s="1061"/>
      <c r="H70" s="1061" t="s">
        <v>1855</v>
      </c>
      <c r="I70" s="1534">
        <v>8410000</v>
      </c>
      <c r="J70" s="1061" t="s">
        <v>1410</v>
      </c>
      <c r="K70" s="1061" t="s">
        <v>3600</v>
      </c>
      <c r="L70" s="1063"/>
      <c r="M70" s="1063"/>
      <c r="N70" s="1063"/>
      <c r="O70" s="1063"/>
      <c r="P70" s="1063"/>
      <c r="Q70" s="1063"/>
      <c r="R70" s="1063"/>
      <c r="S70" s="1063"/>
      <c r="T70" s="1063"/>
      <c r="U70" s="1063"/>
      <c r="V70" s="1063"/>
      <c r="W70" s="1063"/>
      <c r="X70" s="1866">
        <f t="shared" si="0"/>
        <v>0</v>
      </c>
      <c r="Y70" s="23">
        <f t="shared" si="1"/>
        <v>8410000</v>
      </c>
    </row>
    <row r="71" spans="1:25" x14ac:dyDescent="0.25">
      <c r="A71" s="1"/>
      <c r="B71" s="1"/>
      <c r="C71" s="1"/>
      <c r="D71" s="1">
        <v>5</v>
      </c>
      <c r="E71" s="1">
        <v>2</v>
      </c>
      <c r="F71" s="1"/>
      <c r="G71" s="1"/>
      <c r="H71" s="1" t="s">
        <v>304</v>
      </c>
      <c r="I71" s="73"/>
      <c r="J71" s="1"/>
      <c r="K71" s="4" t="s">
        <v>3600</v>
      </c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1864">
        <f t="shared" si="0"/>
        <v>0</v>
      </c>
      <c r="Y71" s="23">
        <f t="shared" si="1"/>
        <v>0</v>
      </c>
    </row>
    <row r="72" spans="1:25" ht="14.45" customHeight="1" x14ac:dyDescent="0.25">
      <c r="A72" s="1"/>
      <c r="B72" s="1"/>
      <c r="C72" s="1"/>
      <c r="D72" s="1"/>
      <c r="E72" s="1"/>
      <c r="F72" s="1">
        <v>1</v>
      </c>
      <c r="G72" s="1"/>
      <c r="H72" s="1" t="s">
        <v>642</v>
      </c>
      <c r="I72" s="73"/>
      <c r="J72" s="1"/>
      <c r="K72" s="4" t="s">
        <v>3600</v>
      </c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1864">
        <f t="shared" si="0"/>
        <v>0</v>
      </c>
      <c r="Y72" s="23">
        <f t="shared" si="1"/>
        <v>0</v>
      </c>
    </row>
    <row r="73" spans="1:25" x14ac:dyDescent="0.25">
      <c r="A73" s="1"/>
      <c r="B73" s="1"/>
      <c r="C73" s="1"/>
      <c r="D73" s="1"/>
      <c r="E73" s="1"/>
      <c r="F73" s="1"/>
      <c r="G73" s="1489" t="s">
        <v>3391</v>
      </c>
      <c r="H73" s="1" t="s">
        <v>689</v>
      </c>
      <c r="I73" s="73">
        <v>520000</v>
      </c>
      <c r="J73" s="1" t="s">
        <v>1410</v>
      </c>
      <c r="K73" s="4" t="s">
        <v>3600</v>
      </c>
      <c r="L73" s="73"/>
      <c r="M73" s="73"/>
      <c r="N73" s="73"/>
      <c r="O73" s="73"/>
      <c r="P73" s="73"/>
      <c r="Q73" s="73"/>
      <c r="R73" s="73"/>
      <c r="S73" s="73">
        <v>520000</v>
      </c>
      <c r="T73" s="73"/>
      <c r="U73" s="73"/>
      <c r="V73" s="73"/>
      <c r="W73" s="73"/>
      <c r="X73" s="1864">
        <f t="shared" si="0"/>
        <v>520000</v>
      </c>
      <c r="Y73" s="23">
        <f t="shared" si="1"/>
        <v>0</v>
      </c>
    </row>
    <row r="74" spans="1:25" ht="43.15" customHeight="1" x14ac:dyDescent="0.25">
      <c r="A74" s="1"/>
      <c r="B74" s="1"/>
      <c r="C74" s="1"/>
      <c r="D74" s="1"/>
      <c r="E74" s="1"/>
      <c r="F74" s="1"/>
      <c r="G74" s="1489" t="s">
        <v>3393</v>
      </c>
      <c r="H74" s="1" t="s">
        <v>636</v>
      </c>
      <c r="I74" s="73">
        <v>90000</v>
      </c>
      <c r="J74" s="1" t="s">
        <v>1410</v>
      </c>
      <c r="K74" s="4" t="s">
        <v>3600</v>
      </c>
      <c r="L74" s="73"/>
      <c r="M74" s="73"/>
      <c r="N74" s="73"/>
      <c r="O74" s="73"/>
      <c r="P74" s="73"/>
      <c r="Q74" s="73"/>
      <c r="R74" s="73"/>
      <c r="S74" s="73">
        <v>90000</v>
      </c>
      <c r="T74" s="73"/>
      <c r="U74" s="73"/>
      <c r="V74" s="73"/>
      <c r="W74" s="73"/>
      <c r="X74" s="1864">
        <f t="shared" si="0"/>
        <v>90000</v>
      </c>
      <c r="Y74" s="23">
        <f t="shared" si="1"/>
        <v>0</v>
      </c>
    </row>
    <row r="75" spans="1:25" x14ac:dyDescent="0.25">
      <c r="A75" s="1"/>
      <c r="B75" s="1"/>
      <c r="C75" s="1"/>
      <c r="D75" s="1">
        <v>5</v>
      </c>
      <c r="E75" s="1">
        <v>2</v>
      </c>
      <c r="F75" s="1">
        <v>2</v>
      </c>
      <c r="G75" s="1"/>
      <c r="H75" s="4" t="s">
        <v>294</v>
      </c>
      <c r="I75" s="73"/>
      <c r="J75" s="1"/>
      <c r="K75" s="4" t="s">
        <v>3600</v>
      </c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1864">
        <f t="shared" si="0"/>
        <v>0</v>
      </c>
      <c r="Y75" s="23">
        <f t="shared" si="1"/>
        <v>0</v>
      </c>
    </row>
    <row r="76" spans="1:25" ht="45" x14ac:dyDescent="0.25">
      <c r="A76" s="1"/>
      <c r="B76" s="1"/>
      <c r="C76" s="1"/>
      <c r="D76" s="1"/>
      <c r="E76" s="1"/>
      <c r="F76" s="1"/>
      <c r="G76" s="1489" t="s">
        <v>3389</v>
      </c>
      <c r="H76" s="4" t="s">
        <v>656</v>
      </c>
      <c r="I76" s="73">
        <v>7800000</v>
      </c>
      <c r="J76" s="1" t="s">
        <v>1410</v>
      </c>
      <c r="K76" s="4" t="s">
        <v>3600</v>
      </c>
      <c r="L76" s="73"/>
      <c r="M76" s="73"/>
      <c r="N76" s="73"/>
      <c r="O76" s="73"/>
      <c r="P76" s="73"/>
      <c r="Q76" s="73"/>
      <c r="R76" s="73"/>
      <c r="S76" s="73">
        <v>7800000</v>
      </c>
      <c r="T76" s="73"/>
      <c r="U76" s="73"/>
      <c r="V76" s="73"/>
      <c r="W76" s="73"/>
      <c r="X76" s="1864">
        <f t="shared" si="0"/>
        <v>7800000</v>
      </c>
      <c r="Y76" s="23">
        <f t="shared" si="1"/>
        <v>0</v>
      </c>
    </row>
    <row r="77" spans="1:25" ht="28.9" customHeight="1" x14ac:dyDescent="0.25">
      <c r="A77" s="865">
        <v>2</v>
      </c>
      <c r="B77" s="865">
        <v>2</v>
      </c>
      <c r="C77" s="1490" t="s">
        <v>3388</v>
      </c>
      <c r="D77" s="865"/>
      <c r="E77" s="865"/>
      <c r="F77" s="865"/>
      <c r="G77" s="865"/>
      <c r="H77" s="1061" t="s">
        <v>2432</v>
      </c>
      <c r="I77" s="1063">
        <v>11814900</v>
      </c>
      <c r="J77" s="1061" t="s">
        <v>2179</v>
      </c>
      <c r="K77" s="1061" t="s">
        <v>3600</v>
      </c>
      <c r="L77" s="1063"/>
      <c r="M77" s="1063"/>
      <c r="N77" s="1063"/>
      <c r="O77" s="1063"/>
      <c r="P77" s="1063"/>
      <c r="Q77" s="1063"/>
      <c r="R77" s="1063"/>
      <c r="S77" s="1063"/>
      <c r="T77" s="1063"/>
      <c r="U77" s="1063"/>
      <c r="V77" s="1063"/>
      <c r="W77" s="1063"/>
      <c r="X77" s="1866">
        <f t="shared" si="0"/>
        <v>0</v>
      </c>
      <c r="Y77" s="23">
        <f t="shared" si="1"/>
        <v>11814900</v>
      </c>
    </row>
    <row r="78" spans="1:25" ht="14.45" customHeight="1" x14ac:dyDescent="0.25">
      <c r="A78" s="1"/>
      <c r="B78" s="1"/>
      <c r="C78" s="1"/>
      <c r="D78" s="1">
        <v>5</v>
      </c>
      <c r="E78" s="1">
        <v>2</v>
      </c>
      <c r="F78" s="1"/>
      <c r="G78" s="1"/>
      <c r="H78" s="4" t="s">
        <v>277</v>
      </c>
      <c r="I78" s="73"/>
      <c r="J78" s="1"/>
      <c r="K78" s="4" t="s">
        <v>3600</v>
      </c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1864">
        <f t="shared" si="0"/>
        <v>0</v>
      </c>
      <c r="Y78" s="23">
        <f t="shared" si="1"/>
        <v>0</v>
      </c>
    </row>
    <row r="79" spans="1:25" ht="28.9" customHeight="1" x14ac:dyDescent="0.25">
      <c r="A79" s="1"/>
      <c r="B79" s="1"/>
      <c r="C79" s="1"/>
      <c r="D79" s="1"/>
      <c r="E79" s="1"/>
      <c r="F79" s="1">
        <v>1</v>
      </c>
      <c r="G79" s="1"/>
      <c r="H79" s="4" t="s">
        <v>84</v>
      </c>
      <c r="I79" s="73"/>
      <c r="J79" s="1"/>
      <c r="K79" s="4" t="s">
        <v>3600</v>
      </c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1864">
        <f t="shared" ref="X79:X142" si="2">SUM(L79:W79)</f>
        <v>0</v>
      </c>
      <c r="Y79" s="23">
        <f t="shared" ref="Y79:Y142" si="3">I79-X79</f>
        <v>0</v>
      </c>
    </row>
    <row r="80" spans="1:25" ht="30" x14ac:dyDescent="0.25">
      <c r="A80" s="1"/>
      <c r="B80" s="1"/>
      <c r="C80" s="1"/>
      <c r="D80" s="1"/>
      <c r="E80" s="1"/>
      <c r="F80" s="1"/>
      <c r="G80" s="1489" t="s">
        <v>3366</v>
      </c>
      <c r="H80" s="4" t="s">
        <v>679</v>
      </c>
      <c r="I80" s="73">
        <v>45500</v>
      </c>
      <c r="J80" s="4" t="s">
        <v>2179</v>
      </c>
      <c r="K80" s="4" t="s">
        <v>3600</v>
      </c>
      <c r="L80" s="73"/>
      <c r="M80" s="73"/>
      <c r="N80" s="73">
        <v>45500</v>
      </c>
      <c r="O80" s="73"/>
      <c r="P80" s="73"/>
      <c r="Q80" s="73"/>
      <c r="R80" s="73"/>
      <c r="S80" s="73"/>
      <c r="T80" s="73"/>
      <c r="U80" s="73"/>
      <c r="V80" s="73"/>
      <c r="W80" s="73"/>
      <c r="X80" s="1864">
        <f t="shared" si="2"/>
        <v>45500</v>
      </c>
      <c r="Y80" s="23">
        <f t="shared" si="3"/>
        <v>0</v>
      </c>
    </row>
    <row r="81" spans="1:25" ht="14.45" customHeight="1" x14ac:dyDescent="0.25">
      <c r="A81" s="1"/>
      <c r="B81" s="1"/>
      <c r="C81" s="1"/>
      <c r="D81" s="1"/>
      <c r="E81" s="1"/>
      <c r="F81" s="1"/>
      <c r="G81" s="1489" t="s">
        <v>3392</v>
      </c>
      <c r="H81" s="4" t="s">
        <v>930</v>
      </c>
      <c r="I81" s="73">
        <v>1679400</v>
      </c>
      <c r="J81" s="4" t="s">
        <v>2179</v>
      </c>
      <c r="K81" s="4" t="s">
        <v>3600</v>
      </c>
      <c r="L81" s="73"/>
      <c r="M81" s="73"/>
      <c r="N81" s="73">
        <v>1679400</v>
      </c>
      <c r="O81" s="73"/>
      <c r="P81" s="73"/>
      <c r="Q81" s="73"/>
      <c r="R81" s="73"/>
      <c r="S81" s="73"/>
      <c r="T81" s="73"/>
      <c r="U81" s="73"/>
      <c r="V81" s="73"/>
      <c r="W81" s="73"/>
      <c r="X81" s="1864">
        <f t="shared" si="2"/>
        <v>1679400</v>
      </c>
      <c r="Y81" s="23">
        <f t="shared" si="3"/>
        <v>0</v>
      </c>
    </row>
    <row r="82" spans="1:25" ht="28.9" customHeight="1" x14ac:dyDescent="0.25">
      <c r="A82" s="1"/>
      <c r="B82" s="1"/>
      <c r="C82" s="1"/>
      <c r="D82" s="1"/>
      <c r="E82" s="1"/>
      <c r="F82" s="1"/>
      <c r="G82" s="1489" t="s">
        <v>3391</v>
      </c>
      <c r="H82" s="4" t="s">
        <v>307</v>
      </c>
      <c r="I82" s="73">
        <v>4000000</v>
      </c>
      <c r="J82" s="4" t="s">
        <v>2179</v>
      </c>
      <c r="K82" s="4" t="s">
        <v>3600</v>
      </c>
      <c r="L82" s="73"/>
      <c r="M82" s="73"/>
      <c r="N82" s="73">
        <v>1000000</v>
      </c>
      <c r="O82" s="73"/>
      <c r="P82" s="73"/>
      <c r="Q82" s="73">
        <v>1000000</v>
      </c>
      <c r="R82" s="73"/>
      <c r="S82" s="73"/>
      <c r="T82" s="73">
        <v>1000000</v>
      </c>
      <c r="U82" s="73"/>
      <c r="V82" s="73"/>
      <c r="W82" s="73">
        <v>1000000</v>
      </c>
      <c r="X82" s="1864">
        <f t="shared" si="2"/>
        <v>4000000</v>
      </c>
      <c r="Y82" s="23">
        <f t="shared" si="3"/>
        <v>0</v>
      </c>
    </row>
    <row r="83" spans="1:25" ht="57.6" customHeight="1" x14ac:dyDescent="0.25">
      <c r="A83" s="1"/>
      <c r="B83" s="1"/>
      <c r="C83" s="1"/>
      <c r="D83" s="1"/>
      <c r="E83" s="1"/>
      <c r="F83" s="1"/>
      <c r="G83" s="1489" t="s">
        <v>3393</v>
      </c>
      <c r="H83" s="4" t="s">
        <v>325</v>
      </c>
      <c r="I83" s="73">
        <v>90000</v>
      </c>
      <c r="J83" s="4" t="s">
        <v>2179</v>
      </c>
      <c r="K83" s="4" t="s">
        <v>3600</v>
      </c>
      <c r="L83" s="73"/>
      <c r="M83" s="73"/>
      <c r="N83" s="73">
        <v>90000</v>
      </c>
      <c r="O83" s="73"/>
      <c r="P83" s="73"/>
      <c r="Q83" s="73"/>
      <c r="R83" s="73"/>
      <c r="S83" s="73"/>
      <c r="T83" s="73"/>
      <c r="U83" s="73"/>
      <c r="V83" s="73"/>
      <c r="W83" s="73"/>
      <c r="X83" s="1864">
        <f t="shared" si="2"/>
        <v>90000</v>
      </c>
      <c r="Y83" s="23">
        <f t="shared" si="3"/>
        <v>0</v>
      </c>
    </row>
    <row r="84" spans="1:25" x14ac:dyDescent="0.25">
      <c r="A84" s="1"/>
      <c r="B84" s="1"/>
      <c r="C84" s="1"/>
      <c r="D84" s="1">
        <v>5</v>
      </c>
      <c r="E84" s="1">
        <v>2</v>
      </c>
      <c r="F84" s="1">
        <v>2</v>
      </c>
      <c r="G84" s="1"/>
      <c r="H84" s="4" t="s">
        <v>294</v>
      </c>
      <c r="I84" s="73"/>
      <c r="J84" s="1"/>
      <c r="K84" s="4" t="s">
        <v>3600</v>
      </c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1864">
        <f t="shared" si="2"/>
        <v>0</v>
      </c>
      <c r="Y84" s="23">
        <f t="shared" si="3"/>
        <v>0</v>
      </c>
    </row>
    <row r="85" spans="1:25" ht="45" x14ac:dyDescent="0.25">
      <c r="A85" s="1"/>
      <c r="B85" s="1"/>
      <c r="C85" s="1"/>
      <c r="D85" s="1"/>
      <c r="E85" s="1"/>
      <c r="F85" s="1"/>
      <c r="G85" s="1489" t="s">
        <v>3389</v>
      </c>
      <c r="H85" s="4" t="s">
        <v>656</v>
      </c>
      <c r="I85" s="73">
        <v>6000000</v>
      </c>
      <c r="J85" s="4" t="s">
        <v>2179</v>
      </c>
      <c r="K85" s="4" t="s">
        <v>3600</v>
      </c>
      <c r="L85" s="73"/>
      <c r="M85" s="73"/>
      <c r="N85" s="73">
        <v>1500000</v>
      </c>
      <c r="O85" s="73"/>
      <c r="P85" s="73"/>
      <c r="Q85" s="73">
        <v>1500000</v>
      </c>
      <c r="R85" s="73"/>
      <c r="S85" s="73"/>
      <c r="T85" s="73">
        <v>1500000</v>
      </c>
      <c r="U85" s="73"/>
      <c r="V85" s="73"/>
      <c r="W85" s="73">
        <v>1500000</v>
      </c>
      <c r="X85" s="1864">
        <f t="shared" si="2"/>
        <v>6000000</v>
      </c>
      <c r="Y85" s="23">
        <f t="shared" si="3"/>
        <v>0</v>
      </c>
    </row>
    <row r="86" spans="1:25" ht="28.9" customHeight="1" x14ac:dyDescent="0.25">
      <c r="A86" s="865">
        <v>2</v>
      </c>
      <c r="B86" s="865">
        <v>2</v>
      </c>
      <c r="C86" s="1490" t="s">
        <v>3388</v>
      </c>
      <c r="D86" s="865"/>
      <c r="E86" s="865"/>
      <c r="F86" s="865"/>
      <c r="G86" s="865"/>
      <c r="H86" s="1061" t="s">
        <v>1488</v>
      </c>
      <c r="I86" s="1063">
        <v>3757000</v>
      </c>
      <c r="J86" s="1061" t="s">
        <v>2179</v>
      </c>
      <c r="K86" s="1061" t="s">
        <v>3600</v>
      </c>
      <c r="L86" s="1063"/>
      <c r="M86" s="1063"/>
      <c r="N86" s="1063"/>
      <c r="O86" s="1063"/>
      <c r="P86" s="1063"/>
      <c r="Q86" s="1063"/>
      <c r="R86" s="1063"/>
      <c r="S86" s="1063"/>
      <c r="T86" s="1063"/>
      <c r="U86" s="1063"/>
      <c r="V86" s="1063"/>
      <c r="W86" s="1063"/>
      <c r="X86" s="1866">
        <f t="shared" si="2"/>
        <v>0</v>
      </c>
      <c r="Y86" s="23">
        <f t="shared" si="3"/>
        <v>3757000</v>
      </c>
    </row>
    <row r="87" spans="1:25" x14ac:dyDescent="0.25">
      <c r="A87" s="1"/>
      <c r="B87" s="1"/>
      <c r="C87" s="1"/>
      <c r="D87" s="1">
        <v>5</v>
      </c>
      <c r="E87" s="1">
        <v>2</v>
      </c>
      <c r="F87" s="1"/>
      <c r="G87" s="1"/>
      <c r="H87" s="4" t="s">
        <v>277</v>
      </c>
      <c r="I87" s="73"/>
      <c r="J87" s="1"/>
      <c r="K87" s="4" t="s">
        <v>3600</v>
      </c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1864">
        <f t="shared" si="2"/>
        <v>0</v>
      </c>
      <c r="Y87" s="23">
        <f t="shared" si="3"/>
        <v>0</v>
      </c>
    </row>
    <row r="88" spans="1:25" ht="28.9" customHeight="1" x14ac:dyDescent="0.25">
      <c r="A88" s="1"/>
      <c r="B88" s="1"/>
      <c r="C88" s="1"/>
      <c r="D88" s="1"/>
      <c r="E88" s="1"/>
      <c r="F88" s="1">
        <v>1</v>
      </c>
      <c r="G88" s="1"/>
      <c r="H88" s="4" t="s">
        <v>84</v>
      </c>
      <c r="I88" s="73"/>
      <c r="J88" s="1"/>
      <c r="K88" s="4" t="s">
        <v>3600</v>
      </c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1864">
        <f t="shared" si="2"/>
        <v>0</v>
      </c>
      <c r="Y88" s="23">
        <f t="shared" si="3"/>
        <v>0</v>
      </c>
    </row>
    <row r="89" spans="1:25" ht="28.9" customHeight="1" x14ac:dyDescent="0.25">
      <c r="A89" s="1"/>
      <c r="B89" s="1"/>
      <c r="C89" s="1"/>
      <c r="D89" s="1"/>
      <c r="E89" s="1"/>
      <c r="F89" s="1"/>
      <c r="G89" s="1489" t="s">
        <v>3366</v>
      </c>
      <c r="H89" s="4" t="s">
        <v>679</v>
      </c>
      <c r="I89" s="73">
        <v>1162000</v>
      </c>
      <c r="J89" s="4" t="s">
        <v>2179</v>
      </c>
      <c r="K89" s="4" t="s">
        <v>3600</v>
      </c>
      <c r="L89" s="73"/>
      <c r="M89" s="73"/>
      <c r="N89" s="73"/>
      <c r="O89" s="73"/>
      <c r="P89" s="73">
        <v>1162000</v>
      </c>
      <c r="Q89" s="73"/>
      <c r="R89" s="73"/>
      <c r="S89" s="73"/>
      <c r="T89" s="73"/>
      <c r="U89" s="73"/>
      <c r="V89" s="73"/>
      <c r="W89" s="73"/>
      <c r="X89" s="1864">
        <f t="shared" si="2"/>
        <v>1162000</v>
      </c>
      <c r="Y89" s="23">
        <f t="shared" si="3"/>
        <v>0</v>
      </c>
    </row>
    <row r="90" spans="1:25" ht="14.45" customHeight="1" x14ac:dyDescent="0.25">
      <c r="A90" s="1"/>
      <c r="B90" s="1"/>
      <c r="C90" s="1"/>
      <c r="D90" s="1"/>
      <c r="E90" s="1"/>
      <c r="F90" s="1"/>
      <c r="G90" s="1489" t="s">
        <v>3390</v>
      </c>
      <c r="H90" s="4" t="s">
        <v>2341</v>
      </c>
      <c r="I90" s="73">
        <v>105000</v>
      </c>
      <c r="J90" s="4" t="s">
        <v>2179</v>
      </c>
      <c r="K90" s="4" t="s">
        <v>3600</v>
      </c>
      <c r="L90" s="73"/>
      <c r="M90" s="73"/>
      <c r="N90" s="73"/>
      <c r="O90" s="73"/>
      <c r="P90" s="73">
        <v>105000</v>
      </c>
      <c r="Q90" s="73"/>
      <c r="R90" s="73"/>
      <c r="S90" s="73"/>
      <c r="T90" s="73"/>
      <c r="U90" s="73"/>
      <c r="V90" s="73"/>
      <c r="W90" s="73"/>
      <c r="X90" s="1864">
        <f t="shared" si="2"/>
        <v>105000</v>
      </c>
      <c r="Y90" s="23">
        <f t="shared" si="3"/>
        <v>0</v>
      </c>
    </row>
    <row r="91" spans="1:25" ht="43.15" customHeight="1" x14ac:dyDescent="0.25">
      <c r="A91" s="1"/>
      <c r="B91" s="1"/>
      <c r="C91" s="1"/>
      <c r="D91" s="1"/>
      <c r="E91" s="1"/>
      <c r="F91" s="1"/>
      <c r="G91" s="1489" t="s">
        <v>3391</v>
      </c>
      <c r="H91" s="4" t="s">
        <v>307</v>
      </c>
      <c r="I91" s="73">
        <v>600000</v>
      </c>
      <c r="J91" s="4" t="s">
        <v>2179</v>
      </c>
      <c r="K91" s="4" t="s">
        <v>3600</v>
      </c>
      <c r="L91" s="73"/>
      <c r="M91" s="73"/>
      <c r="N91" s="73"/>
      <c r="O91" s="73"/>
      <c r="P91" s="73">
        <v>600000</v>
      </c>
      <c r="Q91" s="73"/>
      <c r="R91" s="73"/>
      <c r="S91" s="73"/>
      <c r="T91" s="73"/>
      <c r="U91" s="73"/>
      <c r="V91" s="73"/>
      <c r="W91" s="73"/>
      <c r="X91" s="1864">
        <f t="shared" si="2"/>
        <v>600000</v>
      </c>
      <c r="Y91" s="23">
        <f t="shared" si="3"/>
        <v>0</v>
      </c>
    </row>
    <row r="92" spans="1:25" ht="57.6" customHeight="1" x14ac:dyDescent="0.25">
      <c r="A92" s="1"/>
      <c r="B92" s="1"/>
      <c r="C92" s="1"/>
      <c r="D92" s="1"/>
      <c r="E92" s="1"/>
      <c r="F92" s="1"/>
      <c r="G92" s="1489" t="s">
        <v>3393</v>
      </c>
      <c r="H92" s="4" t="s">
        <v>325</v>
      </c>
      <c r="I92" s="73">
        <v>90000</v>
      </c>
      <c r="J92" s="4" t="s">
        <v>2179</v>
      </c>
      <c r="K92" s="4" t="s">
        <v>3600</v>
      </c>
      <c r="L92" s="73"/>
      <c r="M92" s="73"/>
      <c r="N92" s="73"/>
      <c r="O92" s="73"/>
      <c r="P92" s="73">
        <v>90000</v>
      </c>
      <c r="Q92" s="73"/>
      <c r="R92" s="73"/>
      <c r="S92" s="73"/>
      <c r="T92" s="73"/>
      <c r="U92" s="73"/>
      <c r="V92" s="73"/>
      <c r="W92" s="73"/>
      <c r="X92" s="1864">
        <f t="shared" si="2"/>
        <v>90000</v>
      </c>
      <c r="Y92" s="23">
        <f t="shared" si="3"/>
        <v>0</v>
      </c>
    </row>
    <row r="93" spans="1:25" x14ac:dyDescent="0.25">
      <c r="A93" s="1"/>
      <c r="B93" s="1"/>
      <c r="C93" s="1"/>
      <c r="D93" s="1">
        <v>5</v>
      </c>
      <c r="E93" s="1">
        <v>2</v>
      </c>
      <c r="F93" s="1">
        <v>2</v>
      </c>
      <c r="G93" s="1"/>
      <c r="H93" s="4" t="s">
        <v>349</v>
      </c>
      <c r="I93" s="73"/>
      <c r="J93" s="4"/>
      <c r="K93" s="4" t="s">
        <v>3600</v>
      </c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1864">
        <f t="shared" si="2"/>
        <v>0</v>
      </c>
      <c r="Y93" s="23">
        <f t="shared" si="3"/>
        <v>0</v>
      </c>
    </row>
    <row r="94" spans="1:25" ht="45" x14ac:dyDescent="0.25">
      <c r="A94" s="1"/>
      <c r="B94" s="1"/>
      <c r="C94" s="1"/>
      <c r="D94" s="1"/>
      <c r="E94" s="1"/>
      <c r="F94" s="1"/>
      <c r="G94" s="1489" t="s">
        <v>3390</v>
      </c>
      <c r="H94" s="4" t="s">
        <v>411</v>
      </c>
      <c r="I94" s="73">
        <v>1800000</v>
      </c>
      <c r="J94" s="4" t="s">
        <v>2179</v>
      </c>
      <c r="K94" s="4" t="s">
        <v>3600</v>
      </c>
      <c r="L94" s="73"/>
      <c r="M94" s="73"/>
      <c r="N94" s="73"/>
      <c r="O94" s="73"/>
      <c r="P94" s="73">
        <v>1800000</v>
      </c>
      <c r="Q94" s="73"/>
      <c r="R94" s="73"/>
      <c r="S94" s="73"/>
      <c r="T94" s="73"/>
      <c r="U94" s="73"/>
      <c r="V94" s="73"/>
      <c r="W94" s="73"/>
      <c r="X94" s="1864">
        <f t="shared" si="2"/>
        <v>1800000</v>
      </c>
      <c r="Y94" s="23">
        <f t="shared" si="3"/>
        <v>0</v>
      </c>
    </row>
    <row r="95" spans="1:25" ht="43.15" customHeight="1" x14ac:dyDescent="0.25">
      <c r="A95" s="865">
        <v>2</v>
      </c>
      <c r="B95" s="865">
        <v>2</v>
      </c>
      <c r="C95" s="1490" t="s">
        <v>3388</v>
      </c>
      <c r="D95" s="865"/>
      <c r="E95" s="865"/>
      <c r="F95" s="865"/>
      <c r="G95" s="865"/>
      <c r="H95" s="1061" t="s">
        <v>3438</v>
      </c>
      <c r="I95" s="1063">
        <v>19592000</v>
      </c>
      <c r="J95" s="1061" t="s">
        <v>1220</v>
      </c>
      <c r="K95" s="1061" t="s">
        <v>3600</v>
      </c>
      <c r="L95" s="1063"/>
      <c r="M95" s="1063"/>
      <c r="N95" s="1063"/>
      <c r="O95" s="1063"/>
      <c r="P95" s="1063"/>
      <c r="Q95" s="1063"/>
      <c r="R95" s="1063"/>
      <c r="S95" s="1063"/>
      <c r="T95" s="1063"/>
      <c r="U95" s="1063"/>
      <c r="V95" s="1063"/>
      <c r="W95" s="1063"/>
      <c r="X95" s="1866">
        <f t="shared" si="2"/>
        <v>0</v>
      </c>
      <c r="Y95" s="23">
        <f t="shared" si="3"/>
        <v>19592000</v>
      </c>
    </row>
    <row r="96" spans="1:25" ht="28.9" customHeight="1" x14ac:dyDescent="0.25">
      <c r="A96" s="1"/>
      <c r="B96" s="1"/>
      <c r="C96" s="1"/>
      <c r="D96" s="1">
        <v>5</v>
      </c>
      <c r="E96" s="1">
        <v>2</v>
      </c>
      <c r="F96" s="1"/>
      <c r="G96" s="1"/>
      <c r="H96" s="4" t="s">
        <v>82</v>
      </c>
      <c r="I96" s="73"/>
      <c r="J96" s="4"/>
      <c r="K96" s="4" t="s">
        <v>3600</v>
      </c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1864">
        <f t="shared" si="2"/>
        <v>0</v>
      </c>
      <c r="Y96" s="23">
        <f t="shared" si="3"/>
        <v>0</v>
      </c>
    </row>
    <row r="97" spans="1:25" ht="28.9" customHeight="1" x14ac:dyDescent="0.25">
      <c r="A97" s="1"/>
      <c r="B97" s="1"/>
      <c r="C97" s="1"/>
      <c r="D97" s="1"/>
      <c r="E97" s="1"/>
      <c r="F97" s="1">
        <v>1</v>
      </c>
      <c r="G97" s="1"/>
      <c r="H97" s="4" t="s">
        <v>84</v>
      </c>
      <c r="I97" s="73"/>
      <c r="J97" s="4"/>
      <c r="K97" s="4" t="s">
        <v>3600</v>
      </c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1864">
        <f t="shared" si="2"/>
        <v>0</v>
      </c>
      <c r="Y97" s="23">
        <f t="shared" si="3"/>
        <v>0</v>
      </c>
    </row>
    <row r="98" spans="1:25" ht="28.9" customHeight="1" x14ac:dyDescent="0.25">
      <c r="A98" s="1"/>
      <c r="B98" s="1"/>
      <c r="C98" s="1"/>
      <c r="D98" s="1"/>
      <c r="E98" s="1"/>
      <c r="F98" s="1"/>
      <c r="G98" s="1489" t="s">
        <v>3391</v>
      </c>
      <c r="H98" s="4" t="s">
        <v>379</v>
      </c>
      <c r="I98" s="73">
        <v>820000</v>
      </c>
      <c r="J98" s="4" t="s">
        <v>1220</v>
      </c>
      <c r="K98" s="4" t="s">
        <v>3600</v>
      </c>
      <c r="L98" s="73"/>
      <c r="M98" s="73"/>
      <c r="N98" s="73"/>
      <c r="O98" s="73"/>
      <c r="P98" s="73">
        <v>820000</v>
      </c>
      <c r="Q98" s="73"/>
      <c r="R98" s="73"/>
      <c r="S98" s="73"/>
      <c r="T98" s="73"/>
      <c r="U98" s="73"/>
      <c r="V98" s="73"/>
      <c r="W98" s="73"/>
      <c r="X98" s="1864">
        <f t="shared" si="2"/>
        <v>820000</v>
      </c>
      <c r="Y98" s="23">
        <f t="shared" si="3"/>
        <v>0</v>
      </c>
    </row>
    <row r="99" spans="1:25" ht="30" x14ac:dyDescent="0.25">
      <c r="A99" s="1"/>
      <c r="B99" s="1"/>
      <c r="C99" s="1"/>
      <c r="D99" s="1"/>
      <c r="E99" s="1"/>
      <c r="F99" s="1"/>
      <c r="G99" s="1489" t="s">
        <v>3393</v>
      </c>
      <c r="H99" s="4" t="s">
        <v>160</v>
      </c>
      <c r="I99" s="73">
        <v>90000</v>
      </c>
      <c r="J99" s="4" t="s">
        <v>1220</v>
      </c>
      <c r="K99" s="4" t="s">
        <v>3600</v>
      </c>
      <c r="L99" s="73"/>
      <c r="M99" s="73"/>
      <c r="N99" s="73"/>
      <c r="O99" s="73"/>
      <c r="P99" s="73">
        <v>90000</v>
      </c>
      <c r="Q99" s="73"/>
      <c r="R99" s="73"/>
      <c r="S99" s="73"/>
      <c r="T99" s="73"/>
      <c r="U99" s="73"/>
      <c r="V99" s="73"/>
      <c r="W99" s="73"/>
      <c r="X99" s="1864">
        <f t="shared" si="2"/>
        <v>90000</v>
      </c>
      <c r="Y99" s="23">
        <f t="shared" si="3"/>
        <v>0</v>
      </c>
    </row>
    <row r="100" spans="1:25" ht="30" x14ac:dyDescent="0.25">
      <c r="A100" s="1"/>
      <c r="B100" s="1"/>
      <c r="C100" s="1"/>
      <c r="D100" s="1">
        <v>5</v>
      </c>
      <c r="E100" s="1">
        <v>2</v>
      </c>
      <c r="F100" s="1">
        <v>2</v>
      </c>
      <c r="G100" s="1489"/>
      <c r="H100" s="4" t="s">
        <v>1057</v>
      </c>
      <c r="I100" s="73"/>
      <c r="J100" s="4"/>
      <c r="K100" s="4" t="s">
        <v>3600</v>
      </c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1864">
        <f t="shared" si="2"/>
        <v>0</v>
      </c>
      <c r="Y100" s="23">
        <f t="shared" si="3"/>
        <v>0</v>
      </c>
    </row>
    <row r="101" spans="1:25" ht="30" x14ac:dyDescent="0.25">
      <c r="A101" s="1"/>
      <c r="B101" s="1"/>
      <c r="C101" s="1"/>
      <c r="D101" s="1"/>
      <c r="E101" s="1"/>
      <c r="F101" s="1"/>
      <c r="G101" s="1489" t="s">
        <v>3389</v>
      </c>
      <c r="H101" s="4" t="s">
        <v>1057</v>
      </c>
      <c r="I101" s="73">
        <v>600000</v>
      </c>
      <c r="J101" s="4" t="s">
        <v>1220</v>
      </c>
      <c r="K101" s="4" t="s">
        <v>3600</v>
      </c>
      <c r="L101" s="73"/>
      <c r="M101" s="73"/>
      <c r="N101" s="73"/>
      <c r="O101" s="73"/>
      <c r="P101" s="73">
        <v>600000</v>
      </c>
      <c r="Q101" s="73"/>
      <c r="R101" s="73"/>
      <c r="S101" s="73"/>
      <c r="T101" s="73"/>
      <c r="U101" s="73"/>
      <c r="V101" s="73"/>
      <c r="W101" s="73"/>
      <c r="X101" s="1864">
        <f t="shared" si="2"/>
        <v>600000</v>
      </c>
      <c r="Y101" s="23">
        <f t="shared" si="3"/>
        <v>0</v>
      </c>
    </row>
    <row r="102" spans="1:25" ht="43.15" customHeight="1" x14ac:dyDescent="0.25">
      <c r="A102" s="1"/>
      <c r="B102" s="1"/>
      <c r="C102" s="1"/>
      <c r="D102" s="1"/>
      <c r="E102" s="1"/>
      <c r="F102" s="1"/>
      <c r="G102" s="1489"/>
      <c r="H102" s="4" t="s">
        <v>3468</v>
      </c>
      <c r="I102" s="73"/>
      <c r="J102" s="4"/>
      <c r="K102" s="4" t="s">
        <v>3600</v>
      </c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1864">
        <f t="shared" si="2"/>
        <v>0</v>
      </c>
      <c r="Y102" s="23">
        <f t="shared" si="3"/>
        <v>0</v>
      </c>
    </row>
    <row r="103" spans="1:25" ht="14.45" customHeight="1" x14ac:dyDescent="0.25">
      <c r="A103" s="1"/>
      <c r="B103" s="1"/>
      <c r="C103" s="1"/>
      <c r="D103" s="1">
        <v>5</v>
      </c>
      <c r="E103" s="1">
        <v>2</v>
      </c>
      <c r="F103" s="1"/>
      <c r="G103" s="1489"/>
      <c r="H103" s="4" t="s">
        <v>82</v>
      </c>
      <c r="I103" s="73"/>
      <c r="J103" s="4"/>
      <c r="K103" s="4" t="s">
        <v>3600</v>
      </c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1864">
        <f t="shared" si="2"/>
        <v>0</v>
      </c>
      <c r="Y103" s="23">
        <f t="shared" si="3"/>
        <v>0</v>
      </c>
    </row>
    <row r="104" spans="1:25" ht="43.15" customHeight="1" x14ac:dyDescent="0.25">
      <c r="A104" s="1"/>
      <c r="B104" s="1"/>
      <c r="C104" s="1"/>
      <c r="D104" s="1"/>
      <c r="E104" s="1"/>
      <c r="F104" s="1">
        <v>1</v>
      </c>
      <c r="G104" s="1489"/>
      <c r="H104" s="4" t="s">
        <v>84</v>
      </c>
      <c r="I104" s="73"/>
      <c r="J104" s="4"/>
      <c r="K104" s="4" t="s">
        <v>3600</v>
      </c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1864">
        <f t="shared" si="2"/>
        <v>0</v>
      </c>
      <c r="Y104" s="23">
        <f t="shared" si="3"/>
        <v>0</v>
      </c>
    </row>
    <row r="105" spans="1:25" ht="45" x14ac:dyDescent="0.25">
      <c r="A105" s="1"/>
      <c r="B105" s="1"/>
      <c r="C105" s="1"/>
      <c r="D105" s="1"/>
      <c r="E105" s="1"/>
      <c r="F105" s="1"/>
      <c r="G105" s="1489" t="s">
        <v>3391</v>
      </c>
      <c r="H105" s="4" t="s">
        <v>379</v>
      </c>
      <c r="I105" s="73">
        <v>16800000</v>
      </c>
      <c r="J105" s="4" t="s">
        <v>1220</v>
      </c>
      <c r="K105" s="4" t="s">
        <v>3600</v>
      </c>
      <c r="L105" s="73"/>
      <c r="M105" s="73"/>
      <c r="N105" s="73"/>
      <c r="O105" s="73"/>
      <c r="P105" s="73">
        <v>16800000</v>
      </c>
      <c r="Q105" s="73"/>
      <c r="R105" s="73"/>
      <c r="S105" s="73"/>
      <c r="T105" s="73"/>
      <c r="U105" s="73"/>
      <c r="V105" s="73"/>
      <c r="W105" s="73"/>
      <c r="X105" s="1864">
        <f t="shared" si="2"/>
        <v>16800000</v>
      </c>
      <c r="Y105" s="23">
        <f t="shared" si="3"/>
        <v>0</v>
      </c>
    </row>
    <row r="106" spans="1:25" x14ac:dyDescent="0.25">
      <c r="A106" s="1"/>
      <c r="B106" s="1"/>
      <c r="C106" s="1"/>
      <c r="D106" s="1"/>
      <c r="E106" s="1"/>
      <c r="F106" s="1"/>
      <c r="G106" s="1489" t="s">
        <v>3392</v>
      </c>
      <c r="H106" s="4" t="s">
        <v>930</v>
      </c>
      <c r="I106" s="73">
        <v>1282000</v>
      </c>
      <c r="J106" s="4" t="s">
        <v>1220</v>
      </c>
      <c r="K106" s="4" t="s">
        <v>3600</v>
      </c>
      <c r="L106" s="73"/>
      <c r="M106" s="73"/>
      <c r="N106" s="73"/>
      <c r="O106" s="73"/>
      <c r="P106" s="73">
        <v>1282000</v>
      </c>
      <c r="Q106" s="73"/>
      <c r="R106" s="73"/>
      <c r="S106" s="73"/>
      <c r="T106" s="73"/>
      <c r="U106" s="73"/>
      <c r="V106" s="73"/>
      <c r="W106" s="73"/>
      <c r="X106" s="1864">
        <f t="shared" si="2"/>
        <v>1282000</v>
      </c>
      <c r="Y106" s="23">
        <f t="shared" si="3"/>
        <v>0</v>
      </c>
    </row>
    <row r="107" spans="1:25" ht="28.9" customHeight="1" x14ac:dyDescent="0.25">
      <c r="A107" s="865">
        <v>2</v>
      </c>
      <c r="B107" s="865">
        <v>2</v>
      </c>
      <c r="C107" s="1490" t="s">
        <v>3388</v>
      </c>
      <c r="D107" s="865"/>
      <c r="E107" s="865"/>
      <c r="F107" s="865"/>
      <c r="G107" s="865"/>
      <c r="H107" s="1061" t="s">
        <v>681</v>
      </c>
      <c r="I107" s="1063">
        <v>25440000</v>
      </c>
      <c r="J107" s="1061" t="s">
        <v>1777</v>
      </c>
      <c r="K107" s="1061" t="s">
        <v>3600</v>
      </c>
      <c r="L107" s="1063"/>
      <c r="M107" s="1063"/>
      <c r="N107" s="1063"/>
      <c r="O107" s="1063"/>
      <c r="P107" s="1063"/>
      <c r="Q107" s="1063"/>
      <c r="R107" s="1063"/>
      <c r="S107" s="1063"/>
      <c r="T107" s="1063"/>
      <c r="U107" s="1063"/>
      <c r="V107" s="1063"/>
      <c r="W107" s="1063"/>
      <c r="X107" s="1866">
        <f t="shared" si="2"/>
        <v>0</v>
      </c>
      <c r="Y107" s="23">
        <f t="shared" si="3"/>
        <v>25440000</v>
      </c>
    </row>
    <row r="108" spans="1:25" x14ac:dyDescent="0.25">
      <c r="A108" s="1"/>
      <c r="B108" s="1"/>
      <c r="C108" s="1"/>
      <c r="D108" s="1">
        <v>5</v>
      </c>
      <c r="E108" s="1">
        <v>2</v>
      </c>
      <c r="F108" s="1"/>
      <c r="G108" s="1"/>
      <c r="H108" s="4" t="s">
        <v>277</v>
      </c>
      <c r="I108" s="73"/>
      <c r="J108" s="1"/>
      <c r="K108" s="4" t="s">
        <v>3600</v>
      </c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1864">
        <f t="shared" si="2"/>
        <v>0</v>
      </c>
      <c r="Y108" s="23">
        <f t="shared" si="3"/>
        <v>0</v>
      </c>
    </row>
    <row r="109" spans="1:25" ht="14.45" customHeight="1" x14ac:dyDescent="0.25">
      <c r="A109" s="1"/>
      <c r="B109" s="1"/>
      <c r="C109" s="1"/>
      <c r="D109" s="1"/>
      <c r="E109" s="1"/>
      <c r="F109" s="1">
        <v>1</v>
      </c>
      <c r="G109" s="1"/>
      <c r="H109" s="4" t="s">
        <v>84</v>
      </c>
      <c r="I109" s="73"/>
      <c r="J109" s="1"/>
      <c r="K109" s="4" t="s">
        <v>3600</v>
      </c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1864">
        <f t="shared" si="2"/>
        <v>0</v>
      </c>
      <c r="Y109" s="23">
        <f t="shared" si="3"/>
        <v>0</v>
      </c>
    </row>
    <row r="110" spans="1:25" ht="43.15" customHeight="1" x14ac:dyDescent="0.25">
      <c r="A110" s="1"/>
      <c r="B110" s="1"/>
      <c r="C110" s="1"/>
      <c r="D110" s="1"/>
      <c r="E110" s="1"/>
      <c r="F110" s="1"/>
      <c r="G110" s="1489" t="s">
        <v>3391</v>
      </c>
      <c r="H110" s="4" t="s">
        <v>307</v>
      </c>
      <c r="I110" s="73">
        <v>2600000</v>
      </c>
      <c r="J110" s="4" t="s">
        <v>1777</v>
      </c>
      <c r="K110" s="4" t="s">
        <v>3600</v>
      </c>
      <c r="L110" s="73"/>
      <c r="M110" s="73"/>
      <c r="N110" s="73"/>
      <c r="O110" s="73"/>
      <c r="P110" s="73"/>
      <c r="Q110" s="73">
        <v>2600000</v>
      </c>
      <c r="R110" s="73"/>
      <c r="S110" s="73"/>
      <c r="T110" s="73"/>
      <c r="U110" s="73"/>
      <c r="V110" s="73"/>
      <c r="W110" s="73"/>
      <c r="X110" s="1864">
        <f t="shared" si="2"/>
        <v>2600000</v>
      </c>
      <c r="Y110" s="23">
        <f t="shared" si="3"/>
        <v>0</v>
      </c>
    </row>
    <row r="111" spans="1:25" ht="28.9" customHeight="1" x14ac:dyDescent="0.25">
      <c r="A111" s="1"/>
      <c r="B111" s="1"/>
      <c r="C111" s="1"/>
      <c r="D111" s="1"/>
      <c r="E111" s="1"/>
      <c r="F111" s="1"/>
      <c r="G111" s="1489" t="s">
        <v>3393</v>
      </c>
      <c r="H111" s="1536" t="s">
        <v>325</v>
      </c>
      <c r="I111" s="73">
        <v>90000</v>
      </c>
      <c r="J111" s="4" t="s">
        <v>1777</v>
      </c>
      <c r="K111" s="4" t="s">
        <v>3600</v>
      </c>
      <c r="L111" s="73"/>
      <c r="M111" s="73"/>
      <c r="N111" s="73"/>
      <c r="O111" s="73"/>
      <c r="P111" s="73"/>
      <c r="Q111" s="73">
        <v>90000</v>
      </c>
      <c r="R111" s="73"/>
      <c r="S111" s="73"/>
      <c r="T111" s="73"/>
      <c r="U111" s="73"/>
      <c r="V111" s="73"/>
      <c r="W111" s="73"/>
      <c r="X111" s="1864">
        <f t="shared" si="2"/>
        <v>90000</v>
      </c>
      <c r="Y111" s="23">
        <f t="shared" si="3"/>
        <v>0</v>
      </c>
    </row>
    <row r="112" spans="1:25" x14ac:dyDescent="0.25">
      <c r="A112" s="1"/>
      <c r="B112" s="1"/>
      <c r="C112" s="1"/>
      <c r="D112" s="1">
        <v>5</v>
      </c>
      <c r="E112" s="1">
        <v>2</v>
      </c>
      <c r="F112" s="1">
        <v>2</v>
      </c>
      <c r="G112" s="1"/>
      <c r="H112" s="4" t="s">
        <v>294</v>
      </c>
      <c r="I112" s="73"/>
      <c r="J112" s="1"/>
      <c r="K112" s="4" t="s">
        <v>3600</v>
      </c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1864">
        <f t="shared" si="2"/>
        <v>0</v>
      </c>
      <c r="Y112" s="23">
        <f t="shared" si="3"/>
        <v>0</v>
      </c>
    </row>
    <row r="113" spans="1:25" ht="28.9" customHeight="1" x14ac:dyDescent="0.25">
      <c r="A113" s="1"/>
      <c r="B113" s="1"/>
      <c r="C113" s="1"/>
      <c r="D113" s="1"/>
      <c r="E113" s="1"/>
      <c r="F113" s="1"/>
      <c r="G113" s="1489" t="s">
        <v>3366</v>
      </c>
      <c r="H113" s="4" t="s">
        <v>661</v>
      </c>
      <c r="I113" s="73">
        <v>1150000</v>
      </c>
      <c r="J113" s="4" t="s">
        <v>1777</v>
      </c>
      <c r="K113" s="4" t="s">
        <v>3600</v>
      </c>
      <c r="L113" s="73"/>
      <c r="M113" s="73"/>
      <c r="N113" s="73"/>
      <c r="O113" s="73"/>
      <c r="P113" s="73"/>
      <c r="Q113" s="73">
        <v>1150000</v>
      </c>
      <c r="R113" s="73"/>
      <c r="S113" s="73"/>
      <c r="T113" s="73"/>
      <c r="U113" s="73"/>
      <c r="V113" s="73"/>
      <c r="W113" s="73"/>
      <c r="X113" s="1864">
        <f t="shared" si="2"/>
        <v>1150000</v>
      </c>
      <c r="Y113" s="23">
        <f t="shared" si="3"/>
        <v>0</v>
      </c>
    </row>
    <row r="114" spans="1:25" ht="43.15" customHeight="1" x14ac:dyDescent="0.25">
      <c r="A114" s="1"/>
      <c r="B114" s="1"/>
      <c r="C114" s="1"/>
      <c r="D114" s="1"/>
      <c r="E114" s="1"/>
      <c r="F114" s="1"/>
      <c r="G114" s="1489" t="s">
        <v>3389</v>
      </c>
      <c r="H114" s="4" t="s">
        <v>656</v>
      </c>
      <c r="I114" s="73">
        <v>900000</v>
      </c>
      <c r="J114" s="4" t="s">
        <v>1777</v>
      </c>
      <c r="K114" s="4" t="s">
        <v>3600</v>
      </c>
      <c r="L114" s="73"/>
      <c r="M114" s="73"/>
      <c r="N114" s="73"/>
      <c r="O114" s="73"/>
      <c r="P114" s="73"/>
      <c r="Q114" s="73">
        <v>900000</v>
      </c>
      <c r="R114" s="73"/>
      <c r="S114" s="73"/>
      <c r="T114" s="73"/>
      <c r="U114" s="73"/>
      <c r="V114" s="73"/>
      <c r="W114" s="73"/>
      <c r="X114" s="1864">
        <f t="shared" si="2"/>
        <v>900000</v>
      </c>
      <c r="Y114" s="23">
        <f t="shared" si="3"/>
        <v>0</v>
      </c>
    </row>
    <row r="115" spans="1:25" x14ac:dyDescent="0.25">
      <c r="A115" s="1"/>
      <c r="B115" s="1"/>
      <c r="C115" s="1"/>
      <c r="D115" s="1">
        <v>5</v>
      </c>
      <c r="E115" s="1">
        <v>2</v>
      </c>
      <c r="F115" s="1">
        <v>4</v>
      </c>
      <c r="G115" s="1"/>
      <c r="H115" s="4" t="s">
        <v>442</v>
      </c>
      <c r="I115" s="73"/>
      <c r="J115" s="1"/>
      <c r="K115" s="4" t="s">
        <v>3600</v>
      </c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1864">
        <f t="shared" si="2"/>
        <v>0</v>
      </c>
      <c r="Y115" s="23">
        <f t="shared" si="3"/>
        <v>0</v>
      </c>
    </row>
    <row r="116" spans="1:25" ht="30" x14ac:dyDescent="0.25">
      <c r="A116" s="1"/>
      <c r="B116" s="1"/>
      <c r="C116" s="1"/>
      <c r="D116" s="1"/>
      <c r="E116" s="1"/>
      <c r="F116" s="1"/>
      <c r="G116" s="1489" t="s">
        <v>3386</v>
      </c>
      <c r="H116" s="4" t="s">
        <v>675</v>
      </c>
      <c r="I116" s="73">
        <v>20700000</v>
      </c>
      <c r="J116" s="4" t="s">
        <v>1777</v>
      </c>
      <c r="K116" s="4" t="s">
        <v>3600</v>
      </c>
      <c r="L116" s="73"/>
      <c r="M116" s="73"/>
      <c r="N116" s="73"/>
      <c r="O116" s="73"/>
      <c r="P116" s="73"/>
      <c r="Q116" s="73">
        <v>20700000</v>
      </c>
      <c r="R116" s="73"/>
      <c r="S116" s="73"/>
      <c r="T116" s="73"/>
      <c r="U116" s="73"/>
      <c r="V116" s="73"/>
      <c r="W116" s="73"/>
      <c r="X116" s="1864">
        <f t="shared" si="2"/>
        <v>20700000</v>
      </c>
      <c r="Y116" s="23">
        <f t="shared" si="3"/>
        <v>0</v>
      </c>
    </row>
    <row r="117" spans="1:25" ht="28.9" customHeight="1" x14ac:dyDescent="0.25">
      <c r="A117" s="865">
        <v>2</v>
      </c>
      <c r="B117" s="865">
        <v>2</v>
      </c>
      <c r="C117" s="1490" t="s">
        <v>3388</v>
      </c>
      <c r="D117" s="865"/>
      <c r="E117" s="865"/>
      <c r="F117" s="865"/>
      <c r="G117" s="865"/>
      <c r="H117" s="1061" t="s">
        <v>1545</v>
      </c>
      <c r="I117" s="1063">
        <v>25990000</v>
      </c>
      <c r="J117" s="1061" t="s">
        <v>2179</v>
      </c>
      <c r="K117" s="1061" t="s">
        <v>3600</v>
      </c>
      <c r="L117" s="1063"/>
      <c r="M117" s="1063"/>
      <c r="N117" s="1063"/>
      <c r="O117" s="1063"/>
      <c r="P117" s="1063"/>
      <c r="Q117" s="1063"/>
      <c r="R117" s="1063"/>
      <c r="S117" s="1063"/>
      <c r="T117" s="1063"/>
      <c r="U117" s="1063"/>
      <c r="V117" s="1063"/>
      <c r="W117" s="1063"/>
      <c r="X117" s="1866">
        <f t="shared" si="2"/>
        <v>0</v>
      </c>
      <c r="Y117" s="23">
        <f t="shared" si="3"/>
        <v>25990000</v>
      </c>
    </row>
    <row r="118" spans="1:25" x14ac:dyDescent="0.25">
      <c r="A118" s="1"/>
      <c r="B118" s="1"/>
      <c r="C118" s="1"/>
      <c r="D118" s="1">
        <v>5</v>
      </c>
      <c r="E118" s="1">
        <v>2</v>
      </c>
      <c r="F118" s="1"/>
      <c r="G118" s="1"/>
      <c r="H118" s="4" t="s">
        <v>277</v>
      </c>
      <c r="I118" s="73"/>
      <c r="J118" s="1"/>
      <c r="K118" s="4" t="s">
        <v>3600</v>
      </c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1864">
        <f t="shared" si="2"/>
        <v>0</v>
      </c>
      <c r="Y118" s="23">
        <f t="shared" si="3"/>
        <v>0</v>
      </c>
    </row>
    <row r="119" spans="1:25" ht="14.45" customHeight="1" x14ac:dyDescent="0.25">
      <c r="A119" s="1"/>
      <c r="B119" s="1"/>
      <c r="C119" s="1"/>
      <c r="D119" s="1"/>
      <c r="E119" s="1"/>
      <c r="F119" s="1">
        <v>1</v>
      </c>
      <c r="G119" s="1"/>
      <c r="H119" s="4" t="s">
        <v>84</v>
      </c>
      <c r="I119" s="73"/>
      <c r="J119" s="1"/>
      <c r="K119" s="4" t="s">
        <v>3600</v>
      </c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1864">
        <f t="shared" si="2"/>
        <v>0</v>
      </c>
      <c r="Y119" s="23">
        <f t="shared" si="3"/>
        <v>0</v>
      </c>
    </row>
    <row r="120" spans="1:25" ht="43.15" customHeight="1" x14ac:dyDescent="0.25">
      <c r="A120" s="1"/>
      <c r="B120" s="1"/>
      <c r="C120" s="1"/>
      <c r="D120" s="1"/>
      <c r="E120" s="1"/>
      <c r="F120" s="1"/>
      <c r="G120" s="1489" t="s">
        <v>3391</v>
      </c>
      <c r="H120" s="4" t="s">
        <v>307</v>
      </c>
      <c r="I120" s="73">
        <v>2600000</v>
      </c>
      <c r="J120" s="4" t="s">
        <v>2179</v>
      </c>
      <c r="K120" s="4" t="s">
        <v>3600</v>
      </c>
      <c r="L120" s="73"/>
      <c r="M120" s="73"/>
      <c r="N120" s="73">
        <v>2600000</v>
      </c>
      <c r="O120" s="73"/>
      <c r="P120" s="73"/>
      <c r="Q120" s="73"/>
      <c r="R120" s="73"/>
      <c r="S120" s="73"/>
      <c r="T120" s="73"/>
      <c r="U120" s="73"/>
      <c r="V120" s="73"/>
      <c r="W120" s="73"/>
      <c r="X120" s="1864">
        <f t="shared" si="2"/>
        <v>2600000</v>
      </c>
      <c r="Y120" s="23">
        <f t="shared" si="3"/>
        <v>0</v>
      </c>
    </row>
    <row r="121" spans="1:25" ht="28.9" customHeight="1" x14ac:dyDescent="0.25">
      <c r="A121" s="1"/>
      <c r="B121" s="1"/>
      <c r="C121" s="1"/>
      <c r="D121" s="1"/>
      <c r="E121" s="1"/>
      <c r="F121" s="1"/>
      <c r="G121" s="1489" t="s">
        <v>3393</v>
      </c>
      <c r="H121" s="4" t="s">
        <v>325</v>
      </c>
      <c r="I121" s="73">
        <v>90000</v>
      </c>
      <c r="J121" s="4" t="s">
        <v>2179</v>
      </c>
      <c r="K121" s="4" t="s">
        <v>3600</v>
      </c>
      <c r="L121" s="73"/>
      <c r="M121" s="73"/>
      <c r="N121" s="73">
        <v>90000</v>
      </c>
      <c r="O121" s="73"/>
      <c r="P121" s="73"/>
      <c r="Q121" s="73"/>
      <c r="R121" s="73"/>
      <c r="S121" s="73"/>
      <c r="T121" s="73"/>
      <c r="U121" s="73"/>
      <c r="V121" s="73"/>
      <c r="W121" s="73"/>
      <c r="X121" s="1864">
        <f t="shared" si="2"/>
        <v>90000</v>
      </c>
      <c r="Y121" s="23">
        <f t="shared" si="3"/>
        <v>0</v>
      </c>
    </row>
    <row r="122" spans="1:25" ht="28.9" customHeight="1" x14ac:dyDescent="0.25">
      <c r="A122" s="1"/>
      <c r="B122" s="1"/>
      <c r="C122" s="1"/>
      <c r="D122" s="1">
        <v>5</v>
      </c>
      <c r="E122" s="1">
        <v>2</v>
      </c>
      <c r="F122" s="1">
        <v>2</v>
      </c>
      <c r="G122" s="1"/>
      <c r="H122" s="4" t="s">
        <v>294</v>
      </c>
      <c r="I122" s="73"/>
      <c r="J122" s="1"/>
      <c r="K122" s="4" t="s">
        <v>3600</v>
      </c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1864">
        <f t="shared" si="2"/>
        <v>0</v>
      </c>
      <c r="Y122" s="23">
        <f t="shared" si="3"/>
        <v>0</v>
      </c>
    </row>
    <row r="123" spans="1:25" ht="45" x14ac:dyDescent="0.25">
      <c r="A123" s="1"/>
      <c r="B123" s="1"/>
      <c r="C123" s="1"/>
      <c r="D123" s="1"/>
      <c r="E123" s="1"/>
      <c r="F123" s="1"/>
      <c r="G123" s="1489" t="s">
        <v>3366</v>
      </c>
      <c r="H123" s="4" t="s">
        <v>661</v>
      </c>
      <c r="I123" s="73">
        <v>1150000</v>
      </c>
      <c r="J123" s="4" t="s">
        <v>2179</v>
      </c>
      <c r="K123" s="4" t="s">
        <v>3600</v>
      </c>
      <c r="L123" s="73"/>
      <c r="M123" s="73"/>
      <c r="N123" s="73">
        <v>1150000</v>
      </c>
      <c r="O123" s="73"/>
      <c r="P123" s="73"/>
      <c r="Q123" s="73"/>
      <c r="R123" s="73"/>
      <c r="S123" s="73"/>
      <c r="T123" s="73"/>
      <c r="U123" s="73"/>
      <c r="V123" s="73"/>
      <c r="W123" s="73"/>
      <c r="X123" s="1864">
        <f t="shared" si="2"/>
        <v>1150000</v>
      </c>
      <c r="Y123" s="23">
        <f t="shared" si="3"/>
        <v>0</v>
      </c>
    </row>
    <row r="124" spans="1:25" ht="14.45" customHeight="1" x14ac:dyDescent="0.25">
      <c r="A124" s="1"/>
      <c r="B124" s="1"/>
      <c r="C124" s="1"/>
      <c r="D124" s="1"/>
      <c r="E124" s="1"/>
      <c r="F124" s="1"/>
      <c r="G124" s="1489" t="s">
        <v>3389</v>
      </c>
      <c r="H124" s="4" t="s">
        <v>656</v>
      </c>
      <c r="I124" s="73">
        <v>600000</v>
      </c>
      <c r="J124" s="4" t="s">
        <v>2179</v>
      </c>
      <c r="K124" s="4" t="s">
        <v>3600</v>
      </c>
      <c r="L124" s="73"/>
      <c r="M124" s="73"/>
      <c r="N124" s="73">
        <v>600000</v>
      </c>
      <c r="O124" s="73"/>
      <c r="P124" s="73"/>
      <c r="Q124" s="73"/>
      <c r="R124" s="73"/>
      <c r="S124" s="73"/>
      <c r="T124" s="73"/>
      <c r="U124" s="73"/>
      <c r="V124" s="73"/>
      <c r="W124" s="73"/>
      <c r="X124" s="1864">
        <f t="shared" si="2"/>
        <v>600000</v>
      </c>
      <c r="Y124" s="23">
        <f t="shared" si="3"/>
        <v>0</v>
      </c>
    </row>
    <row r="125" spans="1:25" ht="28.9" customHeight="1" x14ac:dyDescent="0.25">
      <c r="A125" s="1"/>
      <c r="B125" s="1"/>
      <c r="C125" s="1"/>
      <c r="D125" s="1"/>
      <c r="E125" s="1"/>
      <c r="F125" s="1"/>
      <c r="G125" s="1489" t="s">
        <v>3390</v>
      </c>
      <c r="H125" s="4" t="s">
        <v>333</v>
      </c>
      <c r="I125" s="73">
        <v>300000</v>
      </c>
      <c r="J125" s="4" t="s">
        <v>2179</v>
      </c>
      <c r="K125" s="4" t="s">
        <v>3600</v>
      </c>
      <c r="L125" s="73"/>
      <c r="M125" s="73"/>
      <c r="N125" s="73">
        <v>300000</v>
      </c>
      <c r="O125" s="73"/>
      <c r="P125" s="73"/>
      <c r="Q125" s="73"/>
      <c r="R125" s="73"/>
      <c r="S125" s="73"/>
      <c r="T125" s="73"/>
      <c r="U125" s="73"/>
      <c r="V125" s="73"/>
      <c r="W125" s="73"/>
      <c r="X125" s="1864">
        <f t="shared" si="2"/>
        <v>300000</v>
      </c>
      <c r="Y125" s="23">
        <f t="shared" si="3"/>
        <v>0</v>
      </c>
    </row>
    <row r="126" spans="1:25" ht="57.6" customHeight="1" x14ac:dyDescent="0.25">
      <c r="A126" s="1"/>
      <c r="B126" s="1"/>
      <c r="C126" s="1"/>
      <c r="D126" s="1">
        <v>5</v>
      </c>
      <c r="E126" s="1">
        <v>2</v>
      </c>
      <c r="F126" s="1">
        <v>4</v>
      </c>
      <c r="G126" s="1"/>
      <c r="H126" s="4" t="s">
        <v>442</v>
      </c>
      <c r="I126" s="73"/>
      <c r="J126" s="1"/>
      <c r="K126" s="4" t="s">
        <v>3600</v>
      </c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1864">
        <f t="shared" si="2"/>
        <v>0</v>
      </c>
      <c r="Y126" s="23">
        <f t="shared" si="3"/>
        <v>0</v>
      </c>
    </row>
    <row r="127" spans="1:25" x14ac:dyDescent="0.25">
      <c r="A127" s="1"/>
      <c r="B127" s="1"/>
      <c r="C127" s="1"/>
      <c r="D127" s="1"/>
      <c r="E127" s="1"/>
      <c r="F127" s="1"/>
      <c r="G127" s="1489" t="s">
        <v>3366</v>
      </c>
      <c r="H127" s="4" t="s">
        <v>2456</v>
      </c>
      <c r="I127" s="73">
        <v>1000000</v>
      </c>
      <c r="J127" s="4" t="s">
        <v>2179</v>
      </c>
      <c r="K127" s="4" t="s">
        <v>3600</v>
      </c>
      <c r="L127" s="73"/>
      <c r="M127" s="73"/>
      <c r="N127" s="73">
        <v>1000000</v>
      </c>
      <c r="O127" s="73"/>
      <c r="P127" s="73"/>
      <c r="Q127" s="73"/>
      <c r="R127" s="73"/>
      <c r="S127" s="73"/>
      <c r="T127" s="73"/>
      <c r="U127" s="73"/>
      <c r="V127" s="73"/>
      <c r="W127" s="73"/>
      <c r="X127" s="1864">
        <f t="shared" si="2"/>
        <v>1000000</v>
      </c>
      <c r="Y127" s="23">
        <f t="shared" si="3"/>
        <v>0</v>
      </c>
    </row>
    <row r="128" spans="1:25" ht="30" x14ac:dyDescent="0.25">
      <c r="A128" s="1"/>
      <c r="B128" s="1"/>
      <c r="C128" s="1"/>
      <c r="D128" s="1"/>
      <c r="E128" s="1"/>
      <c r="F128" s="1"/>
      <c r="G128" s="1489" t="s">
        <v>3386</v>
      </c>
      <c r="H128" s="4" t="s">
        <v>692</v>
      </c>
      <c r="I128" s="73">
        <v>20250000</v>
      </c>
      <c r="J128" s="4" t="s">
        <v>2179</v>
      </c>
      <c r="K128" s="4" t="s">
        <v>3600</v>
      </c>
      <c r="L128" s="73"/>
      <c r="M128" s="73"/>
      <c r="N128" s="73">
        <v>20250000</v>
      </c>
      <c r="O128" s="73"/>
      <c r="P128" s="73"/>
      <c r="Q128" s="73"/>
      <c r="R128" s="73"/>
      <c r="S128" s="73"/>
      <c r="T128" s="73"/>
      <c r="U128" s="73"/>
      <c r="V128" s="73"/>
      <c r="W128" s="73"/>
      <c r="X128" s="1864">
        <f t="shared" si="2"/>
        <v>20250000</v>
      </c>
      <c r="Y128" s="23">
        <f t="shared" si="3"/>
        <v>0</v>
      </c>
    </row>
    <row r="129" spans="1:25" ht="60" x14ac:dyDescent="0.25">
      <c r="A129" s="865">
        <v>2</v>
      </c>
      <c r="B129" s="865">
        <v>2</v>
      </c>
      <c r="C129" s="1490" t="s">
        <v>3388</v>
      </c>
      <c r="D129" s="865"/>
      <c r="E129" s="865"/>
      <c r="F129" s="865"/>
      <c r="G129" s="865"/>
      <c r="H129" s="1061" t="s">
        <v>1477</v>
      </c>
      <c r="I129" s="1063">
        <v>10261000</v>
      </c>
      <c r="J129" s="1061" t="s">
        <v>1775</v>
      </c>
      <c r="K129" s="1061" t="s">
        <v>3600</v>
      </c>
      <c r="L129" s="1063"/>
      <c r="M129" s="1063"/>
      <c r="N129" s="1063"/>
      <c r="O129" s="1063"/>
      <c r="P129" s="1063"/>
      <c r="Q129" s="1063"/>
      <c r="R129" s="1063"/>
      <c r="S129" s="1063"/>
      <c r="T129" s="1063"/>
      <c r="U129" s="1063"/>
      <c r="V129" s="1063"/>
      <c r="W129" s="1063"/>
      <c r="X129" s="1866">
        <f t="shared" si="2"/>
        <v>0</v>
      </c>
      <c r="Y129" s="23">
        <f t="shared" si="3"/>
        <v>10261000</v>
      </c>
    </row>
    <row r="130" spans="1:25" x14ac:dyDescent="0.25">
      <c r="A130" s="1"/>
      <c r="B130" s="1"/>
      <c r="C130" s="1"/>
      <c r="D130" s="1">
        <v>5</v>
      </c>
      <c r="E130" s="1">
        <v>2</v>
      </c>
      <c r="F130" s="1"/>
      <c r="G130" s="1"/>
      <c r="H130" s="4" t="s">
        <v>82</v>
      </c>
      <c r="I130" s="73"/>
      <c r="J130" s="1"/>
      <c r="K130" s="4" t="s">
        <v>3600</v>
      </c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1864">
        <f t="shared" si="2"/>
        <v>0</v>
      </c>
      <c r="Y130" s="23">
        <f t="shared" si="3"/>
        <v>0</v>
      </c>
    </row>
    <row r="131" spans="1:25" ht="14.45" customHeight="1" x14ac:dyDescent="0.25">
      <c r="A131" s="1"/>
      <c r="B131" s="1"/>
      <c r="C131" s="1"/>
      <c r="D131" s="1"/>
      <c r="E131" s="1"/>
      <c r="F131" s="1">
        <v>1</v>
      </c>
      <c r="G131" s="1"/>
      <c r="H131" s="4" t="s">
        <v>84</v>
      </c>
      <c r="I131" s="73"/>
      <c r="J131" s="1"/>
      <c r="K131" s="4" t="s">
        <v>3600</v>
      </c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1864">
        <f t="shared" si="2"/>
        <v>0</v>
      </c>
      <c r="Y131" s="23">
        <f t="shared" si="3"/>
        <v>0</v>
      </c>
    </row>
    <row r="132" spans="1:25" ht="30" x14ac:dyDescent="0.25">
      <c r="A132" s="1"/>
      <c r="B132" s="1"/>
      <c r="C132" s="1"/>
      <c r="D132" s="1"/>
      <c r="E132" s="1"/>
      <c r="F132" s="1"/>
      <c r="G132" s="1489" t="s">
        <v>3366</v>
      </c>
      <c r="H132" s="4" t="s">
        <v>278</v>
      </c>
      <c r="I132" s="73">
        <v>312000</v>
      </c>
      <c r="J132" s="4" t="s">
        <v>1775</v>
      </c>
      <c r="K132" s="4" t="s">
        <v>3600</v>
      </c>
      <c r="L132" s="73"/>
      <c r="M132" s="73"/>
      <c r="N132" s="73"/>
      <c r="O132" s="73">
        <v>312000</v>
      </c>
      <c r="P132" s="73"/>
      <c r="Q132" s="73"/>
      <c r="R132" s="73"/>
      <c r="S132" s="73"/>
      <c r="T132" s="73"/>
      <c r="U132" s="73"/>
      <c r="V132" s="73"/>
      <c r="W132" s="73"/>
      <c r="X132" s="1864">
        <f t="shared" si="2"/>
        <v>312000</v>
      </c>
      <c r="Y132" s="23">
        <f t="shared" si="3"/>
        <v>0</v>
      </c>
    </row>
    <row r="133" spans="1:25" ht="14.45" customHeight="1" x14ac:dyDescent="0.25">
      <c r="A133" s="1"/>
      <c r="B133" s="1"/>
      <c r="C133" s="1"/>
      <c r="D133" s="1"/>
      <c r="E133" s="1"/>
      <c r="F133" s="1"/>
      <c r="G133" s="1489" t="s">
        <v>3391</v>
      </c>
      <c r="H133" s="4" t="s">
        <v>307</v>
      </c>
      <c r="I133" s="73">
        <v>600000</v>
      </c>
      <c r="J133" s="4" t="s">
        <v>1775</v>
      </c>
      <c r="K133" s="4" t="s">
        <v>3600</v>
      </c>
      <c r="L133" s="73"/>
      <c r="M133" s="73"/>
      <c r="N133" s="73"/>
      <c r="O133" s="73">
        <v>600000</v>
      </c>
      <c r="P133" s="73"/>
      <c r="Q133" s="73"/>
      <c r="R133" s="73"/>
      <c r="S133" s="73"/>
      <c r="T133" s="73"/>
      <c r="U133" s="73"/>
      <c r="V133" s="73"/>
      <c r="W133" s="73"/>
      <c r="X133" s="1864">
        <f t="shared" si="2"/>
        <v>600000</v>
      </c>
      <c r="Y133" s="23">
        <f t="shared" si="3"/>
        <v>0</v>
      </c>
    </row>
    <row r="134" spans="1:25" x14ac:dyDescent="0.25">
      <c r="A134" s="1"/>
      <c r="B134" s="1"/>
      <c r="C134" s="1"/>
      <c r="D134" s="1">
        <v>5</v>
      </c>
      <c r="E134" s="1">
        <v>2</v>
      </c>
      <c r="F134" s="1">
        <v>2</v>
      </c>
      <c r="G134" s="1"/>
      <c r="H134" s="4" t="s">
        <v>294</v>
      </c>
      <c r="I134" s="73"/>
      <c r="J134" s="1"/>
      <c r="K134" s="4" t="s">
        <v>3600</v>
      </c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1864">
        <f t="shared" si="2"/>
        <v>0</v>
      </c>
      <c r="Y134" s="23">
        <f t="shared" si="3"/>
        <v>0</v>
      </c>
    </row>
    <row r="135" spans="1:25" ht="30" x14ac:dyDescent="0.25">
      <c r="A135" s="1"/>
      <c r="B135" s="1"/>
      <c r="C135" s="1"/>
      <c r="D135" s="1"/>
      <c r="E135" s="1"/>
      <c r="F135" s="1"/>
      <c r="G135" s="1489" t="s">
        <v>3389</v>
      </c>
      <c r="H135" s="4" t="s">
        <v>974</v>
      </c>
      <c r="I135" s="73">
        <v>600000</v>
      </c>
      <c r="J135" s="4" t="s">
        <v>1775</v>
      </c>
      <c r="K135" s="4" t="s">
        <v>3600</v>
      </c>
      <c r="L135" s="73"/>
      <c r="M135" s="73"/>
      <c r="N135" s="73"/>
      <c r="O135" s="73">
        <v>600000</v>
      </c>
      <c r="P135" s="73"/>
      <c r="Q135" s="73"/>
      <c r="R135" s="73"/>
      <c r="S135" s="73"/>
      <c r="T135" s="73"/>
      <c r="U135" s="73"/>
      <c r="V135" s="73"/>
      <c r="W135" s="73"/>
      <c r="X135" s="1864">
        <f t="shared" si="2"/>
        <v>600000</v>
      </c>
      <c r="Y135" s="23">
        <f t="shared" si="3"/>
        <v>0</v>
      </c>
    </row>
    <row r="136" spans="1:25" x14ac:dyDescent="0.25">
      <c r="A136" s="1"/>
      <c r="B136" s="1"/>
      <c r="C136" s="1"/>
      <c r="D136" s="1">
        <v>5</v>
      </c>
      <c r="E136" s="1">
        <v>2</v>
      </c>
      <c r="F136" s="1">
        <v>1</v>
      </c>
      <c r="G136" s="1"/>
      <c r="H136" s="4" t="s">
        <v>1480</v>
      </c>
      <c r="I136" s="73"/>
      <c r="J136" s="1"/>
      <c r="K136" s="4" t="s">
        <v>3600</v>
      </c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1864">
        <f t="shared" si="2"/>
        <v>0</v>
      </c>
      <c r="Y136" s="23">
        <f t="shared" si="3"/>
        <v>0</v>
      </c>
    </row>
    <row r="137" spans="1:25" ht="30" x14ac:dyDescent="0.25">
      <c r="A137" s="1"/>
      <c r="B137" s="1"/>
      <c r="C137" s="1"/>
      <c r="D137" s="1"/>
      <c r="E137" s="1"/>
      <c r="F137" s="1"/>
      <c r="G137" s="1489" t="s">
        <v>3391</v>
      </c>
      <c r="H137" s="4" t="s">
        <v>307</v>
      </c>
      <c r="I137" s="73">
        <v>700000</v>
      </c>
      <c r="J137" s="4" t="s">
        <v>1775</v>
      </c>
      <c r="K137" s="4" t="s">
        <v>3600</v>
      </c>
      <c r="L137" s="73"/>
      <c r="M137" s="73"/>
      <c r="N137" s="73"/>
      <c r="O137" s="73">
        <v>700000</v>
      </c>
      <c r="P137" s="73"/>
      <c r="Q137" s="73"/>
      <c r="R137" s="73"/>
      <c r="S137" s="73"/>
      <c r="T137" s="73"/>
      <c r="U137" s="73"/>
      <c r="V137" s="73"/>
      <c r="W137" s="73"/>
      <c r="X137" s="1864">
        <f t="shared" si="2"/>
        <v>700000</v>
      </c>
      <c r="Y137" s="23">
        <f t="shared" si="3"/>
        <v>0</v>
      </c>
    </row>
    <row r="138" spans="1:25" ht="30" x14ac:dyDescent="0.25">
      <c r="A138" s="1"/>
      <c r="B138" s="1"/>
      <c r="C138" s="1"/>
      <c r="D138" s="1"/>
      <c r="E138" s="1"/>
      <c r="F138" s="1"/>
      <c r="G138" s="1489" t="s">
        <v>3393</v>
      </c>
      <c r="H138" s="4" t="s">
        <v>973</v>
      </c>
      <c r="I138" s="73">
        <v>90000</v>
      </c>
      <c r="J138" s="4" t="s">
        <v>1775</v>
      </c>
      <c r="K138" s="4" t="s">
        <v>3600</v>
      </c>
      <c r="L138" s="73"/>
      <c r="M138" s="73"/>
      <c r="N138" s="73"/>
      <c r="O138" s="73">
        <v>90000</v>
      </c>
      <c r="P138" s="73"/>
      <c r="Q138" s="73"/>
      <c r="R138" s="73"/>
      <c r="S138" s="73"/>
      <c r="T138" s="73"/>
      <c r="U138" s="73"/>
      <c r="V138" s="73"/>
      <c r="W138" s="73"/>
      <c r="X138" s="1864">
        <f t="shared" si="2"/>
        <v>90000</v>
      </c>
      <c r="Y138" s="23">
        <f t="shared" si="3"/>
        <v>0</v>
      </c>
    </row>
    <row r="139" spans="1:25" ht="43.15" customHeight="1" x14ac:dyDescent="0.25">
      <c r="A139" s="1"/>
      <c r="B139" s="1"/>
      <c r="C139" s="1"/>
      <c r="D139" s="1"/>
      <c r="E139" s="1"/>
      <c r="F139" s="1"/>
      <c r="G139" s="1489" t="s">
        <v>3417</v>
      </c>
      <c r="H139" s="4" t="s">
        <v>421</v>
      </c>
      <c r="I139" s="73">
        <v>75000</v>
      </c>
      <c r="J139" s="4" t="s">
        <v>1775</v>
      </c>
      <c r="K139" s="4" t="s">
        <v>3600</v>
      </c>
      <c r="L139" s="73"/>
      <c r="M139" s="73"/>
      <c r="N139" s="73"/>
      <c r="O139" s="73">
        <v>75000</v>
      </c>
      <c r="P139" s="73"/>
      <c r="Q139" s="73"/>
      <c r="R139" s="73"/>
      <c r="S139" s="73"/>
      <c r="T139" s="73"/>
      <c r="U139" s="73"/>
      <c r="V139" s="73"/>
      <c r="W139" s="73"/>
      <c r="X139" s="1864">
        <f t="shared" si="2"/>
        <v>75000</v>
      </c>
      <c r="Y139" s="23">
        <f t="shared" si="3"/>
        <v>0</v>
      </c>
    </row>
    <row r="140" spans="1:25" ht="28.9" customHeight="1" x14ac:dyDescent="0.25">
      <c r="A140" s="1"/>
      <c r="B140" s="1"/>
      <c r="C140" s="1"/>
      <c r="D140" s="1">
        <v>5</v>
      </c>
      <c r="E140" s="1">
        <v>2</v>
      </c>
      <c r="F140" s="1">
        <v>2</v>
      </c>
      <c r="G140" s="1"/>
      <c r="H140" s="4" t="s">
        <v>294</v>
      </c>
      <c r="I140" s="73"/>
      <c r="J140" s="1"/>
      <c r="K140" s="4" t="s">
        <v>3600</v>
      </c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1864">
        <f t="shared" si="2"/>
        <v>0</v>
      </c>
      <c r="Y140" s="23">
        <f t="shared" si="3"/>
        <v>0</v>
      </c>
    </row>
    <row r="141" spans="1:25" ht="30" x14ac:dyDescent="0.25">
      <c r="A141" s="1"/>
      <c r="B141" s="1"/>
      <c r="C141" s="1"/>
      <c r="D141" s="1"/>
      <c r="E141" s="1"/>
      <c r="F141" s="1"/>
      <c r="G141" s="1489" t="s">
        <v>3366</v>
      </c>
      <c r="H141" s="4" t="s">
        <v>484</v>
      </c>
      <c r="I141" s="73">
        <v>750000</v>
      </c>
      <c r="J141" s="4" t="s">
        <v>1775</v>
      </c>
      <c r="K141" s="4" t="s">
        <v>3600</v>
      </c>
      <c r="L141" s="73"/>
      <c r="M141" s="73"/>
      <c r="N141" s="73"/>
      <c r="O141" s="73">
        <v>750000</v>
      </c>
      <c r="P141" s="73"/>
      <c r="Q141" s="73"/>
      <c r="R141" s="73"/>
      <c r="S141" s="73"/>
      <c r="T141" s="73"/>
      <c r="U141" s="73"/>
      <c r="V141" s="73"/>
      <c r="W141" s="73"/>
      <c r="X141" s="1864">
        <f t="shared" si="2"/>
        <v>750000</v>
      </c>
      <c r="Y141" s="23">
        <f t="shared" si="3"/>
        <v>0</v>
      </c>
    </row>
    <row r="142" spans="1:25" ht="72" customHeight="1" x14ac:dyDescent="0.25">
      <c r="A142" s="1"/>
      <c r="B142" s="1"/>
      <c r="C142" s="1"/>
      <c r="D142" s="1"/>
      <c r="E142" s="1"/>
      <c r="F142" s="1"/>
      <c r="G142" s="1489" t="s">
        <v>3389</v>
      </c>
      <c r="H142" s="4" t="s">
        <v>842</v>
      </c>
      <c r="I142" s="73">
        <v>1134000</v>
      </c>
      <c r="J142" s="4" t="s">
        <v>1775</v>
      </c>
      <c r="K142" s="4" t="s">
        <v>3600</v>
      </c>
      <c r="L142" s="73"/>
      <c r="M142" s="73"/>
      <c r="N142" s="73"/>
      <c r="O142" s="73">
        <v>1134000</v>
      </c>
      <c r="P142" s="73"/>
      <c r="Q142" s="73"/>
      <c r="R142" s="73"/>
      <c r="S142" s="73"/>
      <c r="T142" s="73"/>
      <c r="U142" s="73"/>
      <c r="V142" s="73"/>
      <c r="W142" s="73"/>
      <c r="X142" s="1864">
        <f t="shared" si="2"/>
        <v>1134000</v>
      </c>
      <c r="Y142" s="23">
        <f t="shared" si="3"/>
        <v>0</v>
      </c>
    </row>
    <row r="143" spans="1:25" ht="45" x14ac:dyDescent="0.25">
      <c r="A143" s="1"/>
      <c r="B143" s="1"/>
      <c r="C143" s="1"/>
      <c r="D143" s="1">
        <v>5</v>
      </c>
      <c r="E143" s="1">
        <v>2</v>
      </c>
      <c r="F143" s="1">
        <v>7</v>
      </c>
      <c r="G143" s="1"/>
      <c r="H143" s="4" t="s">
        <v>971</v>
      </c>
      <c r="I143" s="73"/>
      <c r="J143" s="1"/>
      <c r="K143" s="4" t="s">
        <v>3600</v>
      </c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1864">
        <f t="shared" ref="X143:X206" si="4">SUM(L143:W143)</f>
        <v>0</v>
      </c>
      <c r="Y143" s="23">
        <f t="shared" ref="Y143:Y206" si="5">I143-X143</f>
        <v>0</v>
      </c>
    </row>
    <row r="144" spans="1:25" ht="30" x14ac:dyDescent="0.25">
      <c r="A144" s="1"/>
      <c r="B144" s="1"/>
      <c r="C144" s="1"/>
      <c r="D144" s="1"/>
      <c r="E144" s="1"/>
      <c r="F144" s="1"/>
      <c r="G144" s="1489">
        <v>90</v>
      </c>
      <c r="H144" s="4" t="s">
        <v>970</v>
      </c>
      <c r="I144" s="73">
        <v>6000000</v>
      </c>
      <c r="J144" s="4" t="s">
        <v>1775</v>
      </c>
      <c r="K144" s="4" t="s">
        <v>3600</v>
      </c>
      <c r="L144" s="73"/>
      <c r="M144" s="73"/>
      <c r="N144" s="73"/>
      <c r="O144" s="73">
        <v>6000000</v>
      </c>
      <c r="P144" s="73"/>
      <c r="Q144" s="73"/>
      <c r="R144" s="73"/>
      <c r="S144" s="73"/>
      <c r="T144" s="73"/>
      <c r="U144" s="73"/>
      <c r="V144" s="73"/>
      <c r="W144" s="73"/>
      <c r="X144" s="1864">
        <f t="shared" si="4"/>
        <v>6000000</v>
      </c>
      <c r="Y144" s="23">
        <f t="shared" si="5"/>
        <v>0</v>
      </c>
    </row>
    <row r="145" spans="1:25" ht="28.9" customHeight="1" x14ac:dyDescent="0.25">
      <c r="A145" s="865">
        <v>2</v>
      </c>
      <c r="B145" s="865">
        <v>2</v>
      </c>
      <c r="C145" s="1490" t="s">
        <v>3388</v>
      </c>
      <c r="D145" s="865"/>
      <c r="E145" s="865"/>
      <c r="F145" s="865"/>
      <c r="G145" s="865"/>
      <c r="H145" s="1061" t="s">
        <v>1484</v>
      </c>
      <c r="I145" s="1063">
        <v>8585000</v>
      </c>
      <c r="J145" s="865" t="s">
        <v>2177</v>
      </c>
      <c r="K145" s="1061" t="s">
        <v>3600</v>
      </c>
      <c r="L145" s="1063"/>
      <c r="M145" s="1063"/>
      <c r="N145" s="1063"/>
      <c r="O145" s="1063"/>
      <c r="P145" s="1063"/>
      <c r="Q145" s="1063"/>
      <c r="R145" s="1063"/>
      <c r="S145" s="1063"/>
      <c r="T145" s="1063"/>
      <c r="U145" s="1063"/>
      <c r="V145" s="1063"/>
      <c r="W145" s="1063"/>
      <c r="X145" s="1866">
        <f t="shared" si="4"/>
        <v>0</v>
      </c>
      <c r="Y145" s="23">
        <f t="shared" si="5"/>
        <v>8585000</v>
      </c>
    </row>
    <row r="146" spans="1:25" x14ac:dyDescent="0.25">
      <c r="A146" s="1"/>
      <c r="B146" s="1"/>
      <c r="C146" s="1"/>
      <c r="D146" s="1">
        <v>5</v>
      </c>
      <c r="E146" s="1">
        <v>2</v>
      </c>
      <c r="F146" s="1"/>
      <c r="G146" s="1"/>
      <c r="H146" s="4" t="s">
        <v>277</v>
      </c>
      <c r="I146" s="73"/>
      <c r="J146" s="1"/>
      <c r="K146" s="4" t="s">
        <v>3600</v>
      </c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1864">
        <f t="shared" si="4"/>
        <v>0</v>
      </c>
      <c r="Y146" s="23">
        <f t="shared" si="5"/>
        <v>0</v>
      </c>
    </row>
    <row r="147" spans="1:25" x14ac:dyDescent="0.25">
      <c r="A147" s="1"/>
      <c r="B147" s="1"/>
      <c r="C147" s="1"/>
      <c r="D147" s="1"/>
      <c r="E147" s="1"/>
      <c r="F147" s="1">
        <v>1</v>
      </c>
      <c r="G147" s="1"/>
      <c r="H147" s="4" t="s">
        <v>84</v>
      </c>
      <c r="I147" s="73"/>
      <c r="J147" s="1"/>
      <c r="K147" s="4" t="s">
        <v>3600</v>
      </c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1864">
        <f t="shared" si="4"/>
        <v>0</v>
      </c>
      <c r="Y147" s="23">
        <f t="shared" si="5"/>
        <v>0</v>
      </c>
    </row>
    <row r="148" spans="1:25" ht="28.9" customHeight="1" x14ac:dyDescent="0.25">
      <c r="A148" s="1"/>
      <c r="B148" s="1"/>
      <c r="C148" s="1"/>
      <c r="D148" s="1"/>
      <c r="E148" s="1"/>
      <c r="F148" s="1"/>
      <c r="G148" s="1489" t="s">
        <v>3366</v>
      </c>
      <c r="H148" s="4" t="s">
        <v>679</v>
      </c>
      <c r="I148" s="73">
        <v>105000</v>
      </c>
      <c r="J148" s="1" t="s">
        <v>2177</v>
      </c>
      <c r="K148" s="4" t="s">
        <v>3600</v>
      </c>
      <c r="L148" s="73"/>
      <c r="M148" s="73"/>
      <c r="N148" s="73"/>
      <c r="O148" s="73"/>
      <c r="P148" s="73"/>
      <c r="Q148" s="73"/>
      <c r="R148" s="73">
        <v>105000</v>
      </c>
      <c r="S148" s="73"/>
      <c r="T148" s="73"/>
      <c r="U148" s="73"/>
      <c r="V148" s="73"/>
      <c r="W148" s="73"/>
      <c r="X148" s="1864">
        <f t="shared" si="4"/>
        <v>105000</v>
      </c>
      <c r="Y148" s="23">
        <f t="shared" si="5"/>
        <v>0</v>
      </c>
    </row>
    <row r="149" spans="1:25" ht="30" x14ac:dyDescent="0.25">
      <c r="A149" s="1"/>
      <c r="B149" s="1"/>
      <c r="C149" s="1"/>
      <c r="D149" s="1"/>
      <c r="E149" s="1"/>
      <c r="F149" s="1"/>
      <c r="G149" s="1489" t="s">
        <v>3391</v>
      </c>
      <c r="H149" s="4" t="s">
        <v>307</v>
      </c>
      <c r="I149" s="73">
        <v>800000</v>
      </c>
      <c r="J149" s="1" t="s">
        <v>2177</v>
      </c>
      <c r="K149" s="4" t="s">
        <v>3600</v>
      </c>
      <c r="L149" s="73"/>
      <c r="M149" s="73"/>
      <c r="N149" s="73"/>
      <c r="O149" s="73"/>
      <c r="P149" s="73"/>
      <c r="Q149" s="73"/>
      <c r="R149" s="73">
        <v>600000</v>
      </c>
      <c r="S149" s="73"/>
      <c r="T149" s="73"/>
      <c r="U149" s="73">
        <v>200000</v>
      </c>
      <c r="V149" s="73"/>
      <c r="W149" s="73"/>
      <c r="X149" s="1864">
        <f t="shared" si="4"/>
        <v>800000</v>
      </c>
      <c r="Y149" s="23">
        <f t="shared" si="5"/>
        <v>0</v>
      </c>
    </row>
    <row r="150" spans="1:25" x14ac:dyDescent="0.25">
      <c r="A150" s="1"/>
      <c r="B150" s="1"/>
      <c r="C150" s="1"/>
      <c r="D150" s="1"/>
      <c r="E150" s="1"/>
      <c r="F150" s="1"/>
      <c r="G150" s="1489" t="s">
        <v>3392</v>
      </c>
      <c r="H150" s="4" t="s">
        <v>1486</v>
      </c>
      <c r="I150" s="73">
        <v>6000000</v>
      </c>
      <c r="J150" s="1" t="s">
        <v>2177</v>
      </c>
      <c r="K150" s="4" t="s">
        <v>3600</v>
      </c>
      <c r="L150" s="73"/>
      <c r="M150" s="73"/>
      <c r="N150" s="73"/>
      <c r="O150" s="73"/>
      <c r="P150" s="73"/>
      <c r="Q150" s="73"/>
      <c r="R150" s="73">
        <v>403687</v>
      </c>
      <c r="S150" s="73">
        <v>2788687</v>
      </c>
      <c r="T150" s="73">
        <v>617437</v>
      </c>
      <c r="U150" s="73">
        <v>2190189</v>
      </c>
      <c r="V150" s="73"/>
      <c r="W150" s="73"/>
      <c r="X150" s="1864">
        <f t="shared" si="4"/>
        <v>6000000</v>
      </c>
      <c r="Y150" s="23">
        <f t="shared" si="5"/>
        <v>0</v>
      </c>
    </row>
    <row r="151" spans="1:25" ht="30" x14ac:dyDescent="0.25">
      <c r="A151" s="1"/>
      <c r="B151" s="1"/>
      <c r="C151" s="1"/>
      <c r="D151" s="1"/>
      <c r="E151" s="1"/>
      <c r="F151" s="1"/>
      <c r="G151" s="1489" t="s">
        <v>3393</v>
      </c>
      <c r="H151" s="4" t="s">
        <v>325</v>
      </c>
      <c r="I151" s="73">
        <v>90000</v>
      </c>
      <c r="J151" s="1" t="s">
        <v>2177</v>
      </c>
      <c r="K151" s="4" t="s">
        <v>3600</v>
      </c>
      <c r="L151" s="73"/>
      <c r="M151" s="73"/>
      <c r="N151" s="73"/>
      <c r="O151" s="73"/>
      <c r="P151" s="73"/>
      <c r="Q151" s="73"/>
      <c r="R151" s="73">
        <v>90000</v>
      </c>
      <c r="S151" s="73"/>
      <c r="T151" s="73"/>
      <c r="U151" s="73"/>
      <c r="V151" s="73"/>
      <c r="W151" s="73"/>
      <c r="X151" s="1864">
        <f t="shared" si="4"/>
        <v>90000</v>
      </c>
      <c r="Y151" s="23">
        <f t="shared" si="5"/>
        <v>0</v>
      </c>
    </row>
    <row r="152" spans="1:25" x14ac:dyDescent="0.25">
      <c r="A152" s="1"/>
      <c r="B152" s="1"/>
      <c r="C152" s="1"/>
      <c r="D152" s="1">
        <v>5</v>
      </c>
      <c r="E152" s="1">
        <v>2</v>
      </c>
      <c r="F152" s="1">
        <v>2</v>
      </c>
      <c r="G152" s="1"/>
      <c r="H152" s="4" t="s">
        <v>294</v>
      </c>
      <c r="I152" s="73"/>
      <c r="J152" s="1"/>
      <c r="K152" s="4" t="s">
        <v>3600</v>
      </c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1864">
        <f t="shared" si="4"/>
        <v>0</v>
      </c>
      <c r="Y152" s="23">
        <f t="shared" si="5"/>
        <v>0</v>
      </c>
    </row>
    <row r="153" spans="1:25" ht="30" x14ac:dyDescent="0.25">
      <c r="A153" s="1"/>
      <c r="B153" s="1"/>
      <c r="C153" s="1"/>
      <c r="D153" s="1"/>
      <c r="E153" s="1"/>
      <c r="F153" s="1"/>
      <c r="G153" s="1489" t="s">
        <v>3389</v>
      </c>
      <c r="H153" s="4" t="s">
        <v>1867</v>
      </c>
      <c r="I153" s="73">
        <v>250000</v>
      </c>
      <c r="J153" s="1" t="s">
        <v>2177</v>
      </c>
      <c r="K153" s="4" t="s">
        <v>3600</v>
      </c>
      <c r="L153" s="73"/>
      <c r="M153" s="73"/>
      <c r="N153" s="73"/>
      <c r="O153" s="73"/>
      <c r="P153" s="73"/>
      <c r="Q153" s="73"/>
      <c r="R153" s="73">
        <v>250000</v>
      </c>
      <c r="S153" s="73"/>
      <c r="T153" s="73"/>
      <c r="U153" s="73"/>
      <c r="V153" s="73"/>
      <c r="W153" s="73"/>
      <c r="X153" s="1864">
        <f t="shared" si="4"/>
        <v>250000</v>
      </c>
      <c r="Y153" s="23">
        <f t="shared" si="5"/>
        <v>0</v>
      </c>
    </row>
    <row r="154" spans="1:25" ht="14.45" customHeight="1" x14ac:dyDescent="0.25">
      <c r="A154" s="1"/>
      <c r="B154" s="1"/>
      <c r="C154" s="1"/>
      <c r="D154" s="1">
        <v>5</v>
      </c>
      <c r="E154" s="1">
        <v>2</v>
      </c>
      <c r="F154" s="1">
        <v>1</v>
      </c>
      <c r="G154" s="1"/>
      <c r="H154" s="4" t="s">
        <v>1696</v>
      </c>
      <c r="I154" s="73"/>
      <c r="J154" s="1"/>
      <c r="K154" s="4" t="s">
        <v>3600</v>
      </c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1864">
        <f t="shared" si="4"/>
        <v>0</v>
      </c>
      <c r="Y154" s="23">
        <f t="shared" si="5"/>
        <v>0</v>
      </c>
    </row>
    <row r="155" spans="1:25" ht="28.9" customHeight="1" x14ac:dyDescent="0.25">
      <c r="A155" s="1"/>
      <c r="B155" s="1"/>
      <c r="C155" s="1"/>
      <c r="D155" s="1"/>
      <c r="E155" s="1"/>
      <c r="F155" s="1"/>
      <c r="G155" s="1489" t="s">
        <v>3366</v>
      </c>
      <c r="H155" s="4" t="s">
        <v>679</v>
      </c>
      <c r="I155" s="73">
        <v>360000</v>
      </c>
      <c r="J155" s="1" t="s">
        <v>2177</v>
      </c>
      <c r="K155" s="4" t="s">
        <v>3600</v>
      </c>
      <c r="L155" s="73"/>
      <c r="M155" s="73"/>
      <c r="N155" s="73"/>
      <c r="O155" s="73"/>
      <c r="P155" s="73"/>
      <c r="Q155" s="73"/>
      <c r="R155" s="73">
        <v>360000</v>
      </c>
      <c r="S155" s="73"/>
      <c r="T155" s="73"/>
      <c r="U155" s="73"/>
      <c r="V155" s="73"/>
      <c r="W155" s="73"/>
      <c r="X155" s="1864">
        <f t="shared" si="4"/>
        <v>360000</v>
      </c>
      <c r="Y155" s="23">
        <f t="shared" si="5"/>
        <v>0</v>
      </c>
    </row>
    <row r="156" spans="1:25" ht="57.6" customHeight="1" x14ac:dyDescent="0.25">
      <c r="A156" s="1"/>
      <c r="B156" s="1"/>
      <c r="C156" s="1"/>
      <c r="D156" s="1"/>
      <c r="E156" s="1"/>
      <c r="F156" s="1"/>
      <c r="G156" s="1489" t="s">
        <v>3391</v>
      </c>
      <c r="H156" s="4" t="s">
        <v>307</v>
      </c>
      <c r="I156" s="73">
        <v>680000</v>
      </c>
      <c r="J156" s="1" t="s">
        <v>2177</v>
      </c>
      <c r="K156" s="4" t="s">
        <v>3600</v>
      </c>
      <c r="L156" s="73"/>
      <c r="M156" s="73"/>
      <c r="N156" s="73"/>
      <c r="O156" s="73"/>
      <c r="P156" s="73"/>
      <c r="Q156" s="73"/>
      <c r="R156" s="73">
        <v>680000</v>
      </c>
      <c r="S156" s="73"/>
      <c r="T156" s="73"/>
      <c r="U156" s="73"/>
      <c r="V156" s="73"/>
      <c r="W156" s="73"/>
      <c r="X156" s="1864">
        <f t="shared" si="4"/>
        <v>680000</v>
      </c>
      <c r="Y156" s="23">
        <f t="shared" si="5"/>
        <v>0</v>
      </c>
    </row>
    <row r="157" spans="1:25" x14ac:dyDescent="0.25">
      <c r="A157" s="1"/>
      <c r="B157" s="1"/>
      <c r="C157" s="1"/>
      <c r="D157" s="1">
        <v>5</v>
      </c>
      <c r="E157" s="1">
        <v>2</v>
      </c>
      <c r="F157" s="1">
        <v>2</v>
      </c>
      <c r="G157" s="1489"/>
      <c r="H157" s="4" t="s">
        <v>294</v>
      </c>
      <c r="I157" s="73"/>
      <c r="J157" s="1"/>
      <c r="K157" s="4" t="s">
        <v>3600</v>
      </c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1864">
        <f t="shared" si="4"/>
        <v>0</v>
      </c>
      <c r="Y157" s="23">
        <f t="shared" si="5"/>
        <v>0</v>
      </c>
    </row>
    <row r="158" spans="1:25" ht="45" x14ac:dyDescent="0.25">
      <c r="A158" s="1"/>
      <c r="B158" s="1"/>
      <c r="C158" s="1"/>
      <c r="D158" s="1"/>
      <c r="E158" s="1"/>
      <c r="F158" s="1"/>
      <c r="G158" s="1489" t="s">
        <v>3389</v>
      </c>
      <c r="H158" s="4" t="s">
        <v>656</v>
      </c>
      <c r="I158" s="73">
        <v>300000</v>
      </c>
      <c r="J158" s="1" t="s">
        <v>2177</v>
      </c>
      <c r="K158" s="4" t="s">
        <v>3600</v>
      </c>
      <c r="L158" s="73"/>
      <c r="M158" s="73"/>
      <c r="N158" s="73"/>
      <c r="O158" s="73"/>
      <c r="P158" s="73"/>
      <c r="Q158" s="73"/>
      <c r="R158" s="73">
        <v>300000</v>
      </c>
      <c r="S158" s="73"/>
      <c r="T158" s="73"/>
      <c r="U158" s="73"/>
      <c r="V158" s="73"/>
      <c r="W158" s="73"/>
      <c r="X158" s="1864">
        <f t="shared" si="4"/>
        <v>300000</v>
      </c>
      <c r="Y158" s="23">
        <f t="shared" si="5"/>
        <v>0</v>
      </c>
    </row>
    <row r="159" spans="1:25" ht="28.9" customHeight="1" x14ac:dyDescent="0.25">
      <c r="A159" s="865">
        <v>2</v>
      </c>
      <c r="B159" s="865">
        <v>2</v>
      </c>
      <c r="C159" s="1490" t="s">
        <v>3388</v>
      </c>
      <c r="D159" s="865"/>
      <c r="E159" s="865"/>
      <c r="F159" s="865"/>
      <c r="G159" s="865"/>
      <c r="H159" s="1061" t="s">
        <v>1489</v>
      </c>
      <c r="I159" s="1063">
        <v>1550000</v>
      </c>
      <c r="J159" s="865" t="s">
        <v>2177</v>
      </c>
      <c r="K159" s="1061" t="s">
        <v>3600</v>
      </c>
      <c r="L159" s="1063"/>
      <c r="M159" s="1063"/>
      <c r="N159" s="1063"/>
      <c r="O159" s="1063"/>
      <c r="P159" s="1063"/>
      <c r="Q159" s="1063"/>
      <c r="R159" s="1063"/>
      <c r="S159" s="1063"/>
      <c r="T159" s="1063"/>
      <c r="U159" s="1063"/>
      <c r="V159" s="1063"/>
      <c r="W159" s="1063"/>
      <c r="X159" s="1866">
        <f t="shared" si="4"/>
        <v>0</v>
      </c>
      <c r="Y159" s="23">
        <f t="shared" si="5"/>
        <v>1550000</v>
      </c>
    </row>
    <row r="160" spans="1:25" ht="28.9" customHeight="1" x14ac:dyDescent="0.25">
      <c r="A160" s="1"/>
      <c r="B160" s="1"/>
      <c r="C160" s="1"/>
      <c r="D160" s="1">
        <v>5</v>
      </c>
      <c r="E160" s="1">
        <v>2</v>
      </c>
      <c r="F160" s="1"/>
      <c r="G160" s="1"/>
      <c r="H160" s="4" t="s">
        <v>277</v>
      </c>
      <c r="I160" s="73"/>
      <c r="J160" s="1"/>
      <c r="K160" s="4" t="s">
        <v>3600</v>
      </c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1864">
        <f t="shared" si="4"/>
        <v>0</v>
      </c>
      <c r="Y160" s="23">
        <f t="shared" si="5"/>
        <v>0</v>
      </c>
    </row>
    <row r="161" spans="1:25" x14ac:dyDescent="0.25">
      <c r="A161" s="1"/>
      <c r="B161" s="1"/>
      <c r="C161" s="1"/>
      <c r="D161" s="1"/>
      <c r="E161" s="1"/>
      <c r="F161" s="1">
        <v>1</v>
      </c>
      <c r="G161" s="1"/>
      <c r="H161" s="4" t="s">
        <v>84</v>
      </c>
      <c r="I161" s="73"/>
      <c r="J161" s="1"/>
      <c r="K161" s="4" t="s">
        <v>3600</v>
      </c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1864">
        <f t="shared" si="4"/>
        <v>0</v>
      </c>
      <c r="Y161" s="23">
        <f t="shared" si="5"/>
        <v>0</v>
      </c>
    </row>
    <row r="162" spans="1:25" ht="30" x14ac:dyDescent="0.25">
      <c r="A162" s="1"/>
      <c r="B162" s="1"/>
      <c r="C162" s="1"/>
      <c r="D162" s="1"/>
      <c r="E162" s="1"/>
      <c r="F162" s="1"/>
      <c r="G162" s="1489" t="s">
        <v>3366</v>
      </c>
      <c r="H162" s="4" t="s">
        <v>679</v>
      </c>
      <c r="I162" s="73">
        <v>660000</v>
      </c>
      <c r="J162" s="1" t="s">
        <v>2177</v>
      </c>
      <c r="K162" s="4" t="s">
        <v>3600</v>
      </c>
      <c r="L162" s="73"/>
      <c r="M162" s="73"/>
      <c r="N162" s="73"/>
      <c r="O162" s="73"/>
      <c r="P162" s="73">
        <v>660000</v>
      </c>
      <c r="Q162" s="73"/>
      <c r="R162" s="73"/>
      <c r="S162" s="73"/>
      <c r="T162" s="73"/>
      <c r="U162" s="73"/>
      <c r="V162" s="73"/>
      <c r="W162" s="73"/>
      <c r="X162" s="1864">
        <f t="shared" si="4"/>
        <v>660000</v>
      </c>
      <c r="Y162" s="23">
        <f t="shared" si="5"/>
        <v>0</v>
      </c>
    </row>
    <row r="163" spans="1:25" ht="43.15" customHeight="1" x14ac:dyDescent="0.25">
      <c r="A163" s="1"/>
      <c r="B163" s="1"/>
      <c r="C163" s="1"/>
      <c r="D163" s="1"/>
      <c r="E163" s="1"/>
      <c r="F163" s="1"/>
      <c r="G163" s="1489" t="s">
        <v>3391</v>
      </c>
      <c r="H163" s="4" t="s">
        <v>307</v>
      </c>
      <c r="I163" s="73">
        <v>200000</v>
      </c>
      <c r="J163" s="1" t="s">
        <v>2177</v>
      </c>
      <c r="K163" s="4" t="s">
        <v>3600</v>
      </c>
      <c r="L163" s="73"/>
      <c r="M163" s="73"/>
      <c r="N163" s="73"/>
      <c r="O163" s="73"/>
      <c r="P163" s="73">
        <v>200000</v>
      </c>
      <c r="Q163" s="73"/>
      <c r="R163" s="73"/>
      <c r="S163" s="73"/>
      <c r="T163" s="73"/>
      <c r="U163" s="73"/>
      <c r="V163" s="73"/>
      <c r="W163" s="73"/>
      <c r="X163" s="1864">
        <f t="shared" si="4"/>
        <v>200000</v>
      </c>
      <c r="Y163" s="23">
        <f t="shared" si="5"/>
        <v>0</v>
      </c>
    </row>
    <row r="164" spans="1:25" ht="57.6" customHeight="1" x14ac:dyDescent="0.25">
      <c r="A164" s="1"/>
      <c r="B164" s="1"/>
      <c r="C164" s="1"/>
      <c r="D164" s="1"/>
      <c r="E164" s="1"/>
      <c r="F164" s="1"/>
      <c r="G164" s="1489" t="s">
        <v>3393</v>
      </c>
      <c r="H164" s="4" t="s">
        <v>325</v>
      </c>
      <c r="I164" s="73">
        <v>90000</v>
      </c>
      <c r="J164" s="1" t="s">
        <v>2177</v>
      </c>
      <c r="K164" s="4" t="s">
        <v>3600</v>
      </c>
      <c r="L164" s="73"/>
      <c r="M164" s="73"/>
      <c r="N164" s="73"/>
      <c r="O164" s="73"/>
      <c r="P164" s="73">
        <v>90000</v>
      </c>
      <c r="Q164" s="73"/>
      <c r="R164" s="73"/>
      <c r="S164" s="73"/>
      <c r="T164" s="73"/>
      <c r="U164" s="73"/>
      <c r="V164" s="73"/>
      <c r="W164" s="73"/>
      <c r="X164" s="1864">
        <f t="shared" si="4"/>
        <v>90000</v>
      </c>
      <c r="Y164" s="23">
        <f t="shared" si="5"/>
        <v>0</v>
      </c>
    </row>
    <row r="165" spans="1:25" x14ac:dyDescent="0.25">
      <c r="A165" s="1"/>
      <c r="B165" s="1"/>
      <c r="C165" s="1"/>
      <c r="D165" s="1">
        <v>5</v>
      </c>
      <c r="E165" s="1">
        <v>2</v>
      </c>
      <c r="F165" s="1">
        <v>2</v>
      </c>
      <c r="G165" s="1"/>
      <c r="H165" s="4" t="s">
        <v>349</v>
      </c>
      <c r="I165" s="73"/>
      <c r="J165" s="1"/>
      <c r="K165" s="4" t="s">
        <v>3600</v>
      </c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1864">
        <f t="shared" si="4"/>
        <v>0</v>
      </c>
      <c r="Y165" s="23">
        <f t="shared" si="5"/>
        <v>0</v>
      </c>
    </row>
    <row r="166" spans="1:25" ht="45" x14ac:dyDescent="0.25">
      <c r="A166" s="1"/>
      <c r="B166" s="1"/>
      <c r="C166" s="1"/>
      <c r="D166" s="1"/>
      <c r="E166" s="1"/>
      <c r="F166" s="1"/>
      <c r="G166" s="1489" t="s">
        <v>3390</v>
      </c>
      <c r="H166" s="4" t="s">
        <v>411</v>
      </c>
      <c r="I166" s="73">
        <v>600000</v>
      </c>
      <c r="J166" s="1" t="s">
        <v>2177</v>
      </c>
      <c r="K166" s="4" t="s">
        <v>3600</v>
      </c>
      <c r="L166" s="73"/>
      <c r="M166" s="73"/>
      <c r="N166" s="73"/>
      <c r="O166" s="73"/>
      <c r="P166" s="73">
        <v>600000</v>
      </c>
      <c r="Q166" s="73"/>
      <c r="R166" s="73"/>
      <c r="S166" s="73"/>
      <c r="T166" s="73"/>
      <c r="U166" s="73"/>
      <c r="V166" s="73"/>
      <c r="W166" s="73"/>
      <c r="X166" s="1864">
        <f t="shared" si="4"/>
        <v>600000</v>
      </c>
      <c r="Y166" s="23">
        <f t="shared" si="5"/>
        <v>0</v>
      </c>
    </row>
    <row r="167" spans="1:25" ht="28.9" customHeight="1" x14ac:dyDescent="0.25">
      <c r="A167" s="865">
        <v>2</v>
      </c>
      <c r="B167" s="865">
        <v>2</v>
      </c>
      <c r="C167" s="1490" t="s">
        <v>3388</v>
      </c>
      <c r="D167" s="865"/>
      <c r="E167" s="865"/>
      <c r="F167" s="865"/>
      <c r="G167" s="865"/>
      <c r="H167" s="1061" t="s">
        <v>2188</v>
      </c>
      <c r="I167" s="1063">
        <v>4593200</v>
      </c>
      <c r="J167" s="1061" t="s">
        <v>2179</v>
      </c>
      <c r="K167" s="1061" t="s">
        <v>3600</v>
      </c>
      <c r="L167" s="1063"/>
      <c r="M167" s="1063"/>
      <c r="N167" s="1063"/>
      <c r="O167" s="1063"/>
      <c r="P167" s="1063"/>
      <c r="Q167" s="1063"/>
      <c r="R167" s="1063"/>
      <c r="S167" s="1063"/>
      <c r="T167" s="1063"/>
      <c r="U167" s="1063"/>
      <c r="V167" s="1063"/>
      <c r="W167" s="1063"/>
      <c r="X167" s="1866">
        <f t="shared" si="4"/>
        <v>0</v>
      </c>
      <c r="Y167" s="23">
        <f t="shared" si="5"/>
        <v>4593200</v>
      </c>
    </row>
    <row r="168" spans="1:25" x14ac:dyDescent="0.25">
      <c r="A168" s="1"/>
      <c r="B168" s="1"/>
      <c r="C168" s="1"/>
      <c r="D168" s="1">
        <v>5</v>
      </c>
      <c r="E168" s="1">
        <v>2</v>
      </c>
      <c r="F168" s="1"/>
      <c r="G168" s="1"/>
      <c r="H168" s="4" t="s">
        <v>683</v>
      </c>
      <c r="I168" s="73"/>
      <c r="J168" s="4"/>
      <c r="K168" s="4" t="s">
        <v>3600</v>
      </c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1864">
        <f t="shared" si="4"/>
        <v>0</v>
      </c>
      <c r="Y168" s="23">
        <f t="shared" si="5"/>
        <v>0</v>
      </c>
    </row>
    <row r="169" spans="1:25" ht="14.45" customHeight="1" x14ac:dyDescent="0.25">
      <c r="A169" s="1"/>
      <c r="B169" s="1"/>
      <c r="C169" s="1"/>
      <c r="D169" s="1"/>
      <c r="E169" s="1"/>
      <c r="F169" s="1">
        <v>1</v>
      </c>
      <c r="G169" s="1"/>
      <c r="H169" s="4" t="s">
        <v>682</v>
      </c>
      <c r="I169" s="73"/>
      <c r="J169" s="4"/>
      <c r="K169" s="4" t="s">
        <v>3600</v>
      </c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1864">
        <f t="shared" si="4"/>
        <v>0</v>
      </c>
      <c r="Y169" s="23">
        <f t="shared" si="5"/>
        <v>0</v>
      </c>
    </row>
    <row r="170" spans="1:25" ht="28.9" customHeight="1" x14ac:dyDescent="0.25">
      <c r="A170" s="1"/>
      <c r="B170" s="1"/>
      <c r="C170" s="1"/>
      <c r="D170" s="1"/>
      <c r="E170" s="1"/>
      <c r="F170" s="1"/>
      <c r="G170" s="1489" t="s">
        <v>3366</v>
      </c>
      <c r="H170" s="4" t="s">
        <v>1234</v>
      </c>
      <c r="I170" s="73">
        <v>43200</v>
      </c>
      <c r="J170" s="4" t="s">
        <v>2179</v>
      </c>
      <c r="K170" s="4" t="s">
        <v>3600</v>
      </c>
      <c r="L170" s="73"/>
      <c r="M170" s="73"/>
      <c r="N170" s="73"/>
      <c r="O170" s="73"/>
      <c r="P170" s="73">
        <v>43200</v>
      </c>
      <c r="Q170" s="73"/>
      <c r="R170" s="73"/>
      <c r="S170" s="73"/>
      <c r="T170" s="73"/>
      <c r="U170" s="73"/>
      <c r="V170" s="73"/>
      <c r="W170" s="73"/>
      <c r="X170" s="1864">
        <f t="shared" si="4"/>
        <v>43200</v>
      </c>
      <c r="Y170" s="23">
        <f t="shared" si="5"/>
        <v>0</v>
      </c>
    </row>
    <row r="171" spans="1:25" ht="28.9" customHeight="1" x14ac:dyDescent="0.25">
      <c r="A171" s="1"/>
      <c r="B171" s="1"/>
      <c r="C171" s="1"/>
      <c r="D171" s="1"/>
      <c r="E171" s="1"/>
      <c r="F171" s="1"/>
      <c r="G171" s="1489" t="s">
        <v>3391</v>
      </c>
      <c r="H171" s="4" t="s">
        <v>725</v>
      </c>
      <c r="I171" s="73">
        <v>400000</v>
      </c>
      <c r="J171" s="4" t="s">
        <v>2179</v>
      </c>
      <c r="K171" s="4" t="s">
        <v>3600</v>
      </c>
      <c r="L171" s="73"/>
      <c r="M171" s="73"/>
      <c r="N171" s="73"/>
      <c r="O171" s="73"/>
      <c r="P171" s="73">
        <v>400000</v>
      </c>
      <c r="Q171" s="73"/>
      <c r="R171" s="73"/>
      <c r="S171" s="73"/>
      <c r="T171" s="73"/>
      <c r="U171" s="73"/>
      <c r="V171" s="73"/>
      <c r="W171" s="73"/>
      <c r="X171" s="1864">
        <f t="shared" si="4"/>
        <v>400000</v>
      </c>
      <c r="Y171" s="23">
        <f t="shared" si="5"/>
        <v>0</v>
      </c>
    </row>
    <row r="172" spans="1:25" ht="57.6" customHeight="1" x14ac:dyDescent="0.25">
      <c r="A172" s="1"/>
      <c r="B172" s="1"/>
      <c r="C172" s="1"/>
      <c r="D172" s="1">
        <v>5</v>
      </c>
      <c r="E172" s="1">
        <v>2</v>
      </c>
      <c r="F172" s="1">
        <v>2</v>
      </c>
      <c r="G172" s="1"/>
      <c r="H172" s="4" t="s">
        <v>294</v>
      </c>
      <c r="I172" s="73"/>
      <c r="J172" s="4"/>
      <c r="K172" s="4" t="s">
        <v>3600</v>
      </c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1864">
        <f t="shared" si="4"/>
        <v>0</v>
      </c>
      <c r="Y172" s="23">
        <f t="shared" si="5"/>
        <v>0</v>
      </c>
    </row>
    <row r="173" spans="1:25" ht="30" x14ac:dyDescent="0.25">
      <c r="A173" s="1"/>
      <c r="B173" s="1"/>
      <c r="C173" s="1"/>
      <c r="D173" s="1"/>
      <c r="E173" s="1"/>
      <c r="F173" s="1"/>
      <c r="G173" s="1489" t="s">
        <v>3366</v>
      </c>
      <c r="H173" s="4" t="s">
        <v>717</v>
      </c>
      <c r="I173" s="73">
        <v>1150000</v>
      </c>
      <c r="J173" s="4" t="s">
        <v>2179</v>
      </c>
      <c r="K173" s="4" t="s">
        <v>3600</v>
      </c>
      <c r="L173" s="73"/>
      <c r="M173" s="73"/>
      <c r="N173" s="73"/>
      <c r="O173" s="73"/>
      <c r="P173" s="73">
        <v>1150000</v>
      </c>
      <c r="Q173" s="73"/>
      <c r="R173" s="73"/>
      <c r="S173" s="73"/>
      <c r="T173" s="73"/>
      <c r="U173" s="73"/>
      <c r="V173" s="73"/>
      <c r="W173" s="73"/>
      <c r="X173" s="1864">
        <f t="shared" si="4"/>
        <v>1150000</v>
      </c>
      <c r="Y173" s="23">
        <f t="shared" si="5"/>
        <v>0</v>
      </c>
    </row>
    <row r="174" spans="1:25" ht="30" x14ac:dyDescent="0.25">
      <c r="A174" s="1"/>
      <c r="B174" s="1"/>
      <c r="C174" s="1"/>
      <c r="D174" s="1"/>
      <c r="E174" s="1"/>
      <c r="F174" s="1"/>
      <c r="G174" s="1489" t="s">
        <v>3386</v>
      </c>
      <c r="H174" s="4" t="s">
        <v>333</v>
      </c>
      <c r="I174" s="73">
        <v>3000000</v>
      </c>
      <c r="J174" s="4" t="s">
        <v>2179</v>
      </c>
      <c r="K174" s="4" t="s">
        <v>3600</v>
      </c>
      <c r="L174" s="73"/>
      <c r="M174" s="73"/>
      <c r="N174" s="73"/>
      <c r="O174" s="73"/>
      <c r="P174" s="73">
        <v>3000000</v>
      </c>
      <c r="Q174" s="73"/>
      <c r="R174" s="73"/>
      <c r="S174" s="73"/>
      <c r="T174" s="73"/>
      <c r="U174" s="73"/>
      <c r="V174" s="73"/>
      <c r="W174" s="73"/>
      <c r="X174" s="1864">
        <f t="shared" si="4"/>
        <v>3000000</v>
      </c>
      <c r="Y174" s="23">
        <f t="shared" si="5"/>
        <v>0</v>
      </c>
    </row>
    <row r="175" spans="1:25" ht="28.9" customHeight="1" x14ac:dyDescent="0.25">
      <c r="A175" s="865">
        <v>2</v>
      </c>
      <c r="B175" s="865">
        <v>2</v>
      </c>
      <c r="C175" s="1490" t="s">
        <v>3388</v>
      </c>
      <c r="D175" s="865"/>
      <c r="E175" s="865"/>
      <c r="F175" s="865"/>
      <c r="G175" s="865"/>
      <c r="H175" s="1061" t="s">
        <v>2433</v>
      </c>
      <c r="I175" s="1063">
        <v>4800000</v>
      </c>
      <c r="J175" s="865" t="s">
        <v>1506</v>
      </c>
      <c r="K175" s="1061" t="s">
        <v>3600</v>
      </c>
      <c r="L175" s="1063"/>
      <c r="M175" s="1063"/>
      <c r="N175" s="1063"/>
      <c r="O175" s="1063"/>
      <c r="P175" s="1063"/>
      <c r="Q175" s="1063"/>
      <c r="R175" s="1063"/>
      <c r="S175" s="1063"/>
      <c r="T175" s="1063"/>
      <c r="U175" s="1063"/>
      <c r="V175" s="1063"/>
      <c r="W175" s="1063"/>
      <c r="X175" s="1866">
        <f t="shared" si="4"/>
        <v>0</v>
      </c>
      <c r="Y175" s="23">
        <f t="shared" si="5"/>
        <v>4800000</v>
      </c>
    </row>
    <row r="176" spans="1:25" ht="28.9" customHeight="1" x14ac:dyDescent="0.25">
      <c r="A176" s="1"/>
      <c r="B176" s="1"/>
      <c r="C176" s="1"/>
      <c r="D176" s="1">
        <v>5</v>
      </c>
      <c r="E176" s="1">
        <v>2</v>
      </c>
      <c r="F176" s="1"/>
      <c r="G176" s="1"/>
      <c r="H176" s="4" t="s">
        <v>683</v>
      </c>
      <c r="I176" s="73"/>
      <c r="J176" s="1"/>
      <c r="K176" s="4" t="s">
        <v>3600</v>
      </c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1864">
        <f t="shared" si="4"/>
        <v>0</v>
      </c>
      <c r="Y176" s="23">
        <f t="shared" si="5"/>
        <v>0</v>
      </c>
    </row>
    <row r="177" spans="1:25" x14ac:dyDescent="0.25">
      <c r="A177" s="1"/>
      <c r="B177" s="1"/>
      <c r="C177" s="1"/>
      <c r="D177" s="1"/>
      <c r="E177" s="1"/>
      <c r="F177" s="1">
        <v>2</v>
      </c>
      <c r="G177" s="1"/>
      <c r="H177" s="4" t="s">
        <v>294</v>
      </c>
      <c r="I177" s="73"/>
      <c r="J177" s="1"/>
      <c r="K177" s="4" t="s">
        <v>3600</v>
      </c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1864">
        <f t="shared" si="4"/>
        <v>0</v>
      </c>
      <c r="Y177" s="23">
        <f t="shared" si="5"/>
        <v>0</v>
      </c>
    </row>
    <row r="178" spans="1:25" ht="30" x14ac:dyDescent="0.25">
      <c r="A178" s="1"/>
      <c r="B178" s="1"/>
      <c r="C178" s="1"/>
      <c r="D178" s="1"/>
      <c r="E178" s="1"/>
      <c r="F178" s="1"/>
      <c r="G178" s="1489" t="s">
        <v>3389</v>
      </c>
      <c r="H178" s="4" t="s">
        <v>688</v>
      </c>
      <c r="I178" s="73">
        <v>4800000</v>
      </c>
      <c r="J178" s="1" t="s">
        <v>1506</v>
      </c>
      <c r="K178" s="4" t="s">
        <v>3600</v>
      </c>
      <c r="L178" s="73"/>
      <c r="M178" s="73">
        <v>4800000</v>
      </c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1864">
        <f t="shared" si="4"/>
        <v>4800000</v>
      </c>
      <c r="Y178" s="23">
        <f t="shared" si="5"/>
        <v>0</v>
      </c>
    </row>
    <row r="179" spans="1:25" ht="28.9" customHeight="1" x14ac:dyDescent="0.25">
      <c r="A179" s="865">
        <v>2</v>
      </c>
      <c r="B179" s="865">
        <v>2</v>
      </c>
      <c r="C179" s="1490" t="s">
        <v>3389</v>
      </c>
      <c r="D179" s="865"/>
      <c r="E179" s="865"/>
      <c r="F179" s="865"/>
      <c r="G179" s="865"/>
      <c r="H179" s="1061" t="s">
        <v>3159</v>
      </c>
      <c r="I179" s="1063">
        <v>1802000</v>
      </c>
      <c r="J179" s="865" t="s">
        <v>2177</v>
      </c>
      <c r="K179" s="1061" t="s">
        <v>3600</v>
      </c>
      <c r="L179" s="1063"/>
      <c r="M179" s="1063"/>
      <c r="N179" s="1063"/>
      <c r="O179" s="1063"/>
      <c r="P179" s="1063"/>
      <c r="Q179" s="1063"/>
      <c r="R179" s="1063"/>
      <c r="S179" s="1063"/>
      <c r="T179" s="1063"/>
      <c r="U179" s="1063"/>
      <c r="V179" s="1063"/>
      <c r="W179" s="1063"/>
      <c r="X179" s="1866">
        <f t="shared" si="4"/>
        <v>0</v>
      </c>
      <c r="Y179" s="23">
        <f t="shared" si="5"/>
        <v>1802000</v>
      </c>
    </row>
    <row r="180" spans="1:25" ht="28.9" customHeight="1" x14ac:dyDescent="0.25">
      <c r="A180" s="1"/>
      <c r="B180" s="1"/>
      <c r="C180" s="1"/>
      <c r="D180" s="1">
        <v>5</v>
      </c>
      <c r="E180" s="1">
        <v>2</v>
      </c>
      <c r="F180" s="1"/>
      <c r="G180" s="1"/>
      <c r="H180" s="4" t="s">
        <v>277</v>
      </c>
      <c r="I180" s="73"/>
      <c r="J180" s="1"/>
      <c r="K180" s="4" t="s">
        <v>3600</v>
      </c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1864">
        <f t="shared" si="4"/>
        <v>0</v>
      </c>
      <c r="Y180" s="23">
        <f t="shared" si="5"/>
        <v>0</v>
      </c>
    </row>
    <row r="181" spans="1:25" x14ac:dyDescent="0.25">
      <c r="A181" s="1"/>
      <c r="B181" s="1"/>
      <c r="C181" s="1"/>
      <c r="D181" s="1"/>
      <c r="E181" s="1"/>
      <c r="F181" s="1">
        <v>1</v>
      </c>
      <c r="G181" s="1"/>
      <c r="H181" s="4" t="s">
        <v>84</v>
      </c>
      <c r="I181" s="73"/>
      <c r="J181" s="1"/>
      <c r="K181" s="4" t="s">
        <v>3600</v>
      </c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1864">
        <f t="shared" si="4"/>
        <v>0</v>
      </c>
      <c r="Y181" s="23">
        <f t="shared" si="5"/>
        <v>0</v>
      </c>
    </row>
    <row r="182" spans="1:25" ht="30" x14ac:dyDescent="0.25">
      <c r="A182" s="1"/>
      <c r="B182" s="1"/>
      <c r="C182" s="1"/>
      <c r="D182" s="1"/>
      <c r="E182" s="1"/>
      <c r="F182" s="1"/>
      <c r="G182" s="1489" t="s">
        <v>3366</v>
      </c>
      <c r="H182" s="4" t="s">
        <v>679</v>
      </c>
      <c r="I182" s="73">
        <v>417000</v>
      </c>
      <c r="J182" s="1" t="s">
        <v>2177</v>
      </c>
      <c r="K182" s="4" t="s">
        <v>3600</v>
      </c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>
        <v>417000</v>
      </c>
      <c r="W182" s="73"/>
      <c r="X182" s="1864">
        <f t="shared" si="4"/>
        <v>417000</v>
      </c>
      <c r="Y182" s="23">
        <f t="shared" si="5"/>
        <v>0</v>
      </c>
    </row>
    <row r="183" spans="1:25" ht="30" x14ac:dyDescent="0.25">
      <c r="A183" s="1"/>
      <c r="B183" s="1"/>
      <c r="C183" s="1"/>
      <c r="D183" s="1"/>
      <c r="E183" s="1"/>
      <c r="F183" s="1"/>
      <c r="G183" s="1489" t="s">
        <v>3391</v>
      </c>
      <c r="H183" s="4" t="s">
        <v>307</v>
      </c>
      <c r="I183" s="73">
        <v>620000</v>
      </c>
      <c r="J183" s="1" t="s">
        <v>2177</v>
      </c>
      <c r="K183" s="4" t="s">
        <v>3600</v>
      </c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>
        <v>620000</v>
      </c>
      <c r="W183" s="73"/>
      <c r="X183" s="1864">
        <f t="shared" si="4"/>
        <v>620000</v>
      </c>
      <c r="Y183" s="23">
        <f t="shared" si="5"/>
        <v>0</v>
      </c>
    </row>
    <row r="184" spans="1:25" ht="43.15" customHeight="1" x14ac:dyDescent="0.25">
      <c r="A184" s="1"/>
      <c r="B184" s="1"/>
      <c r="C184" s="1"/>
      <c r="D184" s="1"/>
      <c r="E184" s="1"/>
      <c r="F184" s="1"/>
      <c r="G184" s="1489" t="s">
        <v>3393</v>
      </c>
      <c r="H184" s="4" t="s">
        <v>325</v>
      </c>
      <c r="I184" s="73">
        <v>90000</v>
      </c>
      <c r="J184" s="1" t="s">
        <v>2177</v>
      </c>
      <c r="K184" s="4" t="s">
        <v>3600</v>
      </c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>
        <v>90000</v>
      </c>
      <c r="W184" s="73"/>
      <c r="X184" s="1864">
        <f t="shared" si="4"/>
        <v>90000</v>
      </c>
      <c r="Y184" s="23">
        <f t="shared" si="5"/>
        <v>0</v>
      </c>
    </row>
    <row r="185" spans="1:25" ht="43.15" customHeight="1" x14ac:dyDescent="0.25">
      <c r="A185" s="1"/>
      <c r="B185" s="1"/>
      <c r="C185" s="1"/>
      <c r="D185" s="1"/>
      <c r="E185" s="1"/>
      <c r="F185" s="1"/>
      <c r="G185" s="1489" t="s">
        <v>3417</v>
      </c>
      <c r="H185" s="4" t="s">
        <v>669</v>
      </c>
      <c r="I185" s="73">
        <v>75000</v>
      </c>
      <c r="J185" s="1" t="s">
        <v>2177</v>
      </c>
      <c r="K185" s="4" t="s">
        <v>3600</v>
      </c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>
        <v>75000</v>
      </c>
      <c r="W185" s="73"/>
      <c r="X185" s="1864">
        <f t="shared" si="4"/>
        <v>75000</v>
      </c>
      <c r="Y185" s="23">
        <f t="shared" si="5"/>
        <v>0</v>
      </c>
    </row>
    <row r="186" spans="1:25" x14ac:dyDescent="0.25">
      <c r="A186" s="1"/>
      <c r="B186" s="1"/>
      <c r="C186" s="1"/>
      <c r="D186" s="1">
        <v>5</v>
      </c>
      <c r="E186" s="1">
        <v>2</v>
      </c>
      <c r="F186" s="1">
        <v>2</v>
      </c>
      <c r="G186" s="1"/>
      <c r="H186" s="4" t="s">
        <v>349</v>
      </c>
      <c r="I186" s="73"/>
      <c r="J186" s="1"/>
      <c r="K186" s="4" t="s">
        <v>3600</v>
      </c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1864">
        <f t="shared" si="4"/>
        <v>0</v>
      </c>
      <c r="Y186" s="23">
        <f t="shared" si="5"/>
        <v>0</v>
      </c>
    </row>
    <row r="187" spans="1:25" ht="45" x14ac:dyDescent="0.25">
      <c r="A187" s="1"/>
      <c r="B187" s="1"/>
      <c r="C187" s="1"/>
      <c r="D187" s="1"/>
      <c r="E187" s="1"/>
      <c r="F187" s="1"/>
      <c r="G187" s="1489" t="s">
        <v>3389</v>
      </c>
      <c r="H187" s="4" t="s">
        <v>411</v>
      </c>
      <c r="I187" s="73">
        <v>600000</v>
      </c>
      <c r="J187" s="1" t="s">
        <v>2177</v>
      </c>
      <c r="K187" s="4" t="s">
        <v>3600</v>
      </c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>
        <v>600000</v>
      </c>
      <c r="W187" s="73"/>
      <c r="X187" s="1864">
        <f t="shared" si="4"/>
        <v>600000</v>
      </c>
      <c r="Y187" s="23">
        <f t="shared" si="5"/>
        <v>0</v>
      </c>
    </row>
    <row r="188" spans="1:25" ht="28.9" customHeight="1" x14ac:dyDescent="0.25">
      <c r="A188" s="865">
        <v>2</v>
      </c>
      <c r="B188" s="865">
        <v>2</v>
      </c>
      <c r="C188" s="1490" t="s">
        <v>3389</v>
      </c>
      <c r="D188" s="865"/>
      <c r="E188" s="865"/>
      <c r="F188" s="865"/>
      <c r="G188" s="865"/>
      <c r="H188" s="1061" t="s">
        <v>2358</v>
      </c>
      <c r="I188" s="1063">
        <v>1095000</v>
      </c>
      <c r="J188" s="865" t="s">
        <v>2177</v>
      </c>
      <c r="K188" s="1061" t="s">
        <v>3600</v>
      </c>
      <c r="L188" s="1063"/>
      <c r="M188" s="1063"/>
      <c r="N188" s="1063"/>
      <c r="O188" s="1063"/>
      <c r="P188" s="1063"/>
      <c r="Q188" s="1063"/>
      <c r="R188" s="1063"/>
      <c r="S188" s="1063"/>
      <c r="T188" s="1063"/>
      <c r="U188" s="1063"/>
      <c r="V188" s="1063"/>
      <c r="W188" s="1063"/>
      <c r="X188" s="1866">
        <f t="shared" si="4"/>
        <v>0</v>
      </c>
      <c r="Y188" s="23">
        <f t="shared" si="5"/>
        <v>1095000</v>
      </c>
    </row>
    <row r="189" spans="1:25" x14ac:dyDescent="0.25">
      <c r="A189" s="1"/>
      <c r="B189" s="1"/>
      <c r="C189" s="1"/>
      <c r="D189" s="1">
        <v>5</v>
      </c>
      <c r="E189" s="1">
        <v>2</v>
      </c>
      <c r="F189" s="1"/>
      <c r="G189" s="1"/>
      <c r="H189" s="4" t="s">
        <v>277</v>
      </c>
      <c r="I189" s="73"/>
      <c r="J189" s="1"/>
      <c r="K189" s="4" t="s">
        <v>3600</v>
      </c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1864">
        <f t="shared" si="4"/>
        <v>0</v>
      </c>
      <c r="Y189" s="23">
        <f t="shared" si="5"/>
        <v>0</v>
      </c>
    </row>
    <row r="190" spans="1:25" x14ac:dyDescent="0.25">
      <c r="A190" s="1"/>
      <c r="B190" s="1"/>
      <c r="C190" s="1"/>
      <c r="D190" s="1"/>
      <c r="E190" s="1"/>
      <c r="F190" s="1">
        <v>1</v>
      </c>
      <c r="G190" s="1"/>
      <c r="H190" s="4" t="s">
        <v>84</v>
      </c>
      <c r="I190" s="73"/>
      <c r="J190" s="1"/>
      <c r="K190" s="4" t="s">
        <v>3600</v>
      </c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1864">
        <f t="shared" si="4"/>
        <v>0</v>
      </c>
      <c r="Y190" s="23">
        <f t="shared" si="5"/>
        <v>0</v>
      </c>
    </row>
    <row r="191" spans="1:25" ht="14.45" customHeight="1" x14ac:dyDescent="0.25">
      <c r="A191" s="1"/>
      <c r="B191" s="1"/>
      <c r="C191" s="1"/>
      <c r="D191" s="1"/>
      <c r="E191" s="1"/>
      <c r="F191" s="1"/>
      <c r="G191" s="1489" t="s">
        <v>3366</v>
      </c>
      <c r="H191" s="4" t="s">
        <v>679</v>
      </c>
      <c r="I191" s="73">
        <v>105000</v>
      </c>
      <c r="J191" s="1" t="s">
        <v>2177</v>
      </c>
      <c r="K191" s="4" t="s">
        <v>3600</v>
      </c>
      <c r="L191" s="73"/>
      <c r="M191" s="73"/>
      <c r="N191" s="73"/>
      <c r="O191" s="73"/>
      <c r="P191" s="73"/>
      <c r="Q191" s="73"/>
      <c r="R191" s="73"/>
      <c r="S191" s="73"/>
      <c r="T191" s="73"/>
      <c r="U191" s="73">
        <v>81313</v>
      </c>
      <c r="V191" s="73">
        <v>23687</v>
      </c>
      <c r="W191" s="73"/>
      <c r="X191" s="1864">
        <f t="shared" si="4"/>
        <v>105000</v>
      </c>
      <c r="Y191" s="23">
        <f t="shared" si="5"/>
        <v>0</v>
      </c>
    </row>
    <row r="192" spans="1:25" ht="43.15" customHeight="1" x14ac:dyDescent="0.25">
      <c r="A192" s="1"/>
      <c r="B192" s="1"/>
      <c r="C192" s="1"/>
      <c r="D192" s="1"/>
      <c r="E192" s="1"/>
      <c r="F192" s="1"/>
      <c r="G192" s="1489" t="s">
        <v>3391</v>
      </c>
      <c r="H192" s="4" t="s">
        <v>307</v>
      </c>
      <c r="I192" s="73">
        <v>600000</v>
      </c>
      <c r="J192" s="1" t="s">
        <v>2177</v>
      </c>
      <c r="K192" s="4" t="s">
        <v>3600</v>
      </c>
      <c r="L192" s="73"/>
      <c r="M192" s="73"/>
      <c r="N192" s="73"/>
      <c r="O192" s="73"/>
      <c r="P192" s="73"/>
      <c r="Q192" s="73"/>
      <c r="R192" s="73"/>
      <c r="S192" s="73"/>
      <c r="T192" s="73"/>
      <c r="U192" s="73">
        <v>600000</v>
      </c>
      <c r="V192" s="73"/>
      <c r="W192" s="73"/>
      <c r="X192" s="1864">
        <f t="shared" si="4"/>
        <v>600000</v>
      </c>
      <c r="Y192" s="23">
        <f t="shared" si="5"/>
        <v>0</v>
      </c>
    </row>
    <row r="193" spans="1:25" ht="43.15" customHeight="1" x14ac:dyDescent="0.25">
      <c r="A193" s="1"/>
      <c r="B193" s="1"/>
      <c r="C193" s="1"/>
      <c r="D193" s="1"/>
      <c r="E193" s="1"/>
      <c r="F193" s="1"/>
      <c r="G193" s="1489" t="s">
        <v>3393</v>
      </c>
      <c r="H193" s="4" t="s">
        <v>325</v>
      </c>
      <c r="I193" s="73">
        <v>90000</v>
      </c>
      <c r="J193" s="1" t="s">
        <v>2177</v>
      </c>
      <c r="K193" s="4" t="s">
        <v>3600</v>
      </c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>
        <v>90000</v>
      </c>
      <c r="W193" s="73"/>
      <c r="X193" s="1864">
        <f t="shared" si="4"/>
        <v>90000</v>
      </c>
      <c r="Y193" s="23">
        <f t="shared" si="5"/>
        <v>0</v>
      </c>
    </row>
    <row r="194" spans="1:25" x14ac:dyDescent="0.25">
      <c r="A194" s="1"/>
      <c r="B194" s="1"/>
      <c r="C194" s="1"/>
      <c r="D194" s="1">
        <v>5</v>
      </c>
      <c r="E194" s="1">
        <v>2</v>
      </c>
      <c r="F194" s="1">
        <v>2</v>
      </c>
      <c r="G194" s="1"/>
      <c r="H194" s="4" t="s">
        <v>349</v>
      </c>
      <c r="I194" s="73"/>
      <c r="J194" s="1"/>
      <c r="K194" s="4" t="s">
        <v>3600</v>
      </c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1864">
        <f t="shared" si="4"/>
        <v>0</v>
      </c>
      <c r="Y194" s="23">
        <f t="shared" si="5"/>
        <v>0</v>
      </c>
    </row>
    <row r="195" spans="1:25" ht="45" x14ac:dyDescent="0.25">
      <c r="A195" s="1"/>
      <c r="B195" s="1"/>
      <c r="C195" s="1"/>
      <c r="D195" s="1"/>
      <c r="E195" s="1"/>
      <c r="F195" s="1"/>
      <c r="G195" s="1489" t="s">
        <v>3389</v>
      </c>
      <c r="H195" s="4" t="s">
        <v>411</v>
      </c>
      <c r="I195" s="73">
        <v>300000</v>
      </c>
      <c r="J195" s="1" t="s">
        <v>2177</v>
      </c>
      <c r="K195" s="4" t="s">
        <v>3600</v>
      </c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>
        <v>73000</v>
      </c>
      <c r="W195" s="73">
        <v>227000</v>
      </c>
      <c r="X195" s="1864">
        <f t="shared" si="4"/>
        <v>300000</v>
      </c>
      <c r="Y195" s="23">
        <f t="shared" si="5"/>
        <v>0</v>
      </c>
    </row>
    <row r="196" spans="1:25" ht="60" x14ac:dyDescent="0.25">
      <c r="A196" s="865">
        <v>2</v>
      </c>
      <c r="B196" s="865">
        <v>2</v>
      </c>
      <c r="C196" s="865">
        <v>90</v>
      </c>
      <c r="D196" s="865"/>
      <c r="E196" s="865"/>
      <c r="F196" s="865"/>
      <c r="G196" s="865"/>
      <c r="H196" s="1061" t="s">
        <v>3491</v>
      </c>
      <c r="I196" s="1063">
        <v>19845000</v>
      </c>
      <c r="J196" s="1061" t="s">
        <v>2253</v>
      </c>
      <c r="K196" s="1061" t="s">
        <v>3600</v>
      </c>
      <c r="L196" s="1063"/>
      <c r="M196" s="1063"/>
      <c r="N196" s="1063"/>
      <c r="O196" s="1063"/>
      <c r="P196" s="1063"/>
      <c r="Q196" s="1063"/>
      <c r="R196" s="1063"/>
      <c r="S196" s="1063"/>
      <c r="T196" s="1063"/>
      <c r="U196" s="1063"/>
      <c r="V196" s="1063"/>
      <c r="W196" s="1063"/>
      <c r="X196" s="1866">
        <f t="shared" si="4"/>
        <v>0</v>
      </c>
      <c r="Y196" s="23">
        <f t="shared" si="5"/>
        <v>19845000</v>
      </c>
    </row>
    <row r="197" spans="1:25" x14ac:dyDescent="0.25">
      <c r="A197" s="1"/>
      <c r="B197" s="1"/>
      <c r="C197" s="1"/>
      <c r="D197" s="1">
        <v>5</v>
      </c>
      <c r="E197" s="1">
        <v>2</v>
      </c>
      <c r="F197" s="1"/>
      <c r="G197" s="1"/>
      <c r="H197" s="4" t="s">
        <v>82</v>
      </c>
      <c r="I197" s="73"/>
      <c r="J197" s="4"/>
      <c r="K197" s="4" t="s">
        <v>3600</v>
      </c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1864">
        <f t="shared" si="4"/>
        <v>0</v>
      </c>
      <c r="Y197" s="23">
        <f t="shared" si="5"/>
        <v>0</v>
      </c>
    </row>
    <row r="198" spans="1:25" x14ac:dyDescent="0.25">
      <c r="A198" s="1"/>
      <c r="B198" s="1"/>
      <c r="C198" s="1"/>
      <c r="D198" s="1"/>
      <c r="E198" s="1"/>
      <c r="F198" s="1">
        <v>1</v>
      </c>
      <c r="G198" s="1"/>
      <c r="H198" s="4" t="s">
        <v>84</v>
      </c>
      <c r="I198" s="73"/>
      <c r="J198" s="4"/>
      <c r="K198" s="4" t="s">
        <v>3600</v>
      </c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1864">
        <f t="shared" si="4"/>
        <v>0</v>
      </c>
      <c r="Y198" s="23">
        <f t="shared" si="5"/>
        <v>0</v>
      </c>
    </row>
    <row r="199" spans="1:25" ht="30" x14ac:dyDescent="0.25">
      <c r="A199" s="1"/>
      <c r="B199" s="1"/>
      <c r="C199" s="1"/>
      <c r="D199" s="1"/>
      <c r="E199" s="1"/>
      <c r="F199" s="1"/>
      <c r="G199" s="1489" t="s">
        <v>3366</v>
      </c>
      <c r="H199" s="4" t="s">
        <v>278</v>
      </c>
      <c r="I199" s="73">
        <v>240000</v>
      </c>
      <c r="J199" s="4" t="s">
        <v>2253</v>
      </c>
      <c r="K199" s="4" t="s">
        <v>3600</v>
      </c>
      <c r="L199" s="73"/>
      <c r="M199" s="73"/>
      <c r="N199" s="73"/>
      <c r="O199" s="73"/>
      <c r="P199" s="73">
        <v>240000</v>
      </c>
      <c r="Q199" s="73"/>
      <c r="R199" s="73"/>
      <c r="S199" s="73"/>
      <c r="T199" s="73"/>
      <c r="U199" s="73"/>
      <c r="V199" s="73"/>
      <c r="W199" s="73"/>
      <c r="X199" s="1864">
        <f t="shared" si="4"/>
        <v>240000</v>
      </c>
      <c r="Y199" s="23">
        <f t="shared" si="5"/>
        <v>0</v>
      </c>
    </row>
    <row r="200" spans="1:25" ht="30" x14ac:dyDescent="0.25">
      <c r="A200" s="1"/>
      <c r="B200" s="1"/>
      <c r="C200" s="1"/>
      <c r="D200" s="1"/>
      <c r="E200" s="1"/>
      <c r="F200" s="1"/>
      <c r="G200" s="1489" t="s">
        <v>3391</v>
      </c>
      <c r="H200" s="4" t="s">
        <v>307</v>
      </c>
      <c r="I200" s="73">
        <v>500000</v>
      </c>
      <c r="J200" s="4" t="s">
        <v>2253</v>
      </c>
      <c r="K200" s="4" t="s">
        <v>3600</v>
      </c>
      <c r="L200" s="73"/>
      <c r="M200" s="73"/>
      <c r="N200" s="73"/>
      <c r="O200" s="73"/>
      <c r="P200" s="73">
        <v>500000</v>
      </c>
      <c r="Q200" s="73"/>
      <c r="R200" s="73"/>
      <c r="S200" s="73"/>
      <c r="T200" s="73"/>
      <c r="U200" s="73"/>
      <c r="V200" s="73"/>
      <c r="W200" s="73"/>
      <c r="X200" s="1864">
        <f t="shared" si="4"/>
        <v>500000</v>
      </c>
      <c r="Y200" s="23">
        <f t="shared" si="5"/>
        <v>0</v>
      </c>
    </row>
    <row r="201" spans="1:25" ht="14.45" customHeight="1" x14ac:dyDescent="0.25">
      <c r="A201" s="1"/>
      <c r="B201" s="1"/>
      <c r="C201" s="1"/>
      <c r="D201" s="1"/>
      <c r="E201" s="1"/>
      <c r="F201" s="1"/>
      <c r="G201" s="1489" t="s">
        <v>3393</v>
      </c>
      <c r="H201" s="4" t="s">
        <v>973</v>
      </c>
      <c r="I201" s="73">
        <v>90000</v>
      </c>
      <c r="J201" s="4" t="s">
        <v>2253</v>
      </c>
      <c r="K201" s="4" t="s">
        <v>3600</v>
      </c>
      <c r="L201" s="73"/>
      <c r="M201" s="73"/>
      <c r="N201" s="73"/>
      <c r="O201" s="73"/>
      <c r="P201" s="73">
        <v>90000</v>
      </c>
      <c r="Q201" s="73"/>
      <c r="R201" s="73"/>
      <c r="S201" s="73"/>
      <c r="T201" s="73"/>
      <c r="U201" s="73"/>
      <c r="V201" s="73"/>
      <c r="W201" s="73"/>
      <c r="X201" s="1864">
        <f t="shared" si="4"/>
        <v>90000</v>
      </c>
      <c r="Y201" s="23">
        <f t="shared" si="5"/>
        <v>0</v>
      </c>
    </row>
    <row r="202" spans="1:25" x14ac:dyDescent="0.25">
      <c r="A202" s="1"/>
      <c r="B202" s="1"/>
      <c r="C202" s="1"/>
      <c r="D202" s="1">
        <v>5</v>
      </c>
      <c r="E202" s="1">
        <v>2</v>
      </c>
      <c r="F202" s="1">
        <v>2</v>
      </c>
      <c r="G202" s="1"/>
      <c r="H202" s="4" t="s">
        <v>294</v>
      </c>
      <c r="I202" s="73"/>
      <c r="J202" s="4"/>
      <c r="K202" s="4" t="s">
        <v>3600</v>
      </c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1864">
        <f t="shared" si="4"/>
        <v>0</v>
      </c>
      <c r="Y202" s="23">
        <f t="shared" si="5"/>
        <v>0</v>
      </c>
    </row>
    <row r="203" spans="1:25" ht="30" x14ac:dyDescent="0.25">
      <c r="A203" s="1"/>
      <c r="B203" s="1"/>
      <c r="C203" s="1"/>
      <c r="D203" s="1"/>
      <c r="E203" s="1"/>
      <c r="F203" s="1"/>
      <c r="G203" s="1489" t="s">
        <v>3389</v>
      </c>
      <c r="H203" s="4" t="s">
        <v>974</v>
      </c>
      <c r="I203" s="73">
        <v>600000</v>
      </c>
      <c r="J203" s="4" t="s">
        <v>2253</v>
      </c>
      <c r="K203" s="4" t="s">
        <v>3600</v>
      </c>
      <c r="L203" s="73"/>
      <c r="M203" s="73"/>
      <c r="N203" s="73"/>
      <c r="O203" s="73"/>
      <c r="P203" s="73">
        <v>600000</v>
      </c>
      <c r="Q203" s="73"/>
      <c r="R203" s="73"/>
      <c r="S203" s="73"/>
      <c r="T203" s="73"/>
      <c r="U203" s="73"/>
      <c r="V203" s="73"/>
      <c r="W203" s="73"/>
      <c r="X203" s="1864">
        <f t="shared" si="4"/>
        <v>600000</v>
      </c>
      <c r="Y203" s="23">
        <f t="shared" si="5"/>
        <v>0</v>
      </c>
    </row>
    <row r="204" spans="1:25" x14ac:dyDescent="0.25">
      <c r="A204" s="1"/>
      <c r="B204" s="1"/>
      <c r="C204" s="1"/>
      <c r="D204" s="1"/>
      <c r="E204" s="1"/>
      <c r="F204" s="1"/>
      <c r="G204" s="1"/>
      <c r="H204" s="4" t="s">
        <v>1480</v>
      </c>
      <c r="I204" s="73"/>
      <c r="J204" s="4"/>
      <c r="K204" s="4" t="s">
        <v>3600</v>
      </c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1864">
        <f t="shared" si="4"/>
        <v>0</v>
      </c>
      <c r="Y204" s="23">
        <f t="shared" si="5"/>
        <v>0</v>
      </c>
    </row>
    <row r="205" spans="1:25" ht="30" x14ac:dyDescent="0.25">
      <c r="A205" s="1"/>
      <c r="B205" s="1"/>
      <c r="C205" s="1"/>
      <c r="D205" s="1">
        <v>5</v>
      </c>
      <c r="E205" s="1">
        <v>2</v>
      </c>
      <c r="F205" s="1">
        <v>1</v>
      </c>
      <c r="G205" s="1489" t="s">
        <v>3391</v>
      </c>
      <c r="H205" s="4" t="s">
        <v>307</v>
      </c>
      <c r="I205" s="73">
        <v>720000</v>
      </c>
      <c r="J205" s="4" t="s">
        <v>2253</v>
      </c>
      <c r="K205" s="4" t="s">
        <v>3600</v>
      </c>
      <c r="L205" s="73"/>
      <c r="M205" s="73"/>
      <c r="N205" s="73"/>
      <c r="O205" s="73"/>
      <c r="P205" s="73">
        <v>720000</v>
      </c>
      <c r="Q205" s="73"/>
      <c r="R205" s="73"/>
      <c r="S205" s="73"/>
      <c r="T205" s="73"/>
      <c r="U205" s="73"/>
      <c r="V205" s="73"/>
      <c r="W205" s="73"/>
      <c r="X205" s="1864">
        <f t="shared" si="4"/>
        <v>720000</v>
      </c>
      <c r="Y205" s="23">
        <f t="shared" si="5"/>
        <v>0</v>
      </c>
    </row>
    <row r="206" spans="1:25" ht="30" x14ac:dyDescent="0.25">
      <c r="A206" s="1"/>
      <c r="B206" s="1"/>
      <c r="C206" s="1"/>
      <c r="D206" s="1"/>
      <c r="E206" s="1"/>
      <c r="F206" s="1"/>
      <c r="G206" s="1489" t="s">
        <v>3393</v>
      </c>
      <c r="H206" s="4" t="s">
        <v>973</v>
      </c>
      <c r="I206" s="73">
        <v>90000</v>
      </c>
      <c r="J206" s="4" t="s">
        <v>2253</v>
      </c>
      <c r="K206" s="4" t="s">
        <v>3600</v>
      </c>
      <c r="L206" s="73"/>
      <c r="M206" s="73"/>
      <c r="N206" s="73"/>
      <c r="O206" s="73"/>
      <c r="P206" s="73">
        <v>90000</v>
      </c>
      <c r="Q206" s="73"/>
      <c r="R206" s="73"/>
      <c r="S206" s="73"/>
      <c r="T206" s="73"/>
      <c r="U206" s="73"/>
      <c r="V206" s="73"/>
      <c r="W206" s="73"/>
      <c r="X206" s="1864">
        <f t="shared" si="4"/>
        <v>90000</v>
      </c>
      <c r="Y206" s="23">
        <f t="shared" si="5"/>
        <v>0</v>
      </c>
    </row>
    <row r="207" spans="1:25" ht="43.15" customHeight="1" x14ac:dyDescent="0.25">
      <c r="A207" s="1"/>
      <c r="B207" s="1"/>
      <c r="C207" s="1"/>
      <c r="D207" s="1"/>
      <c r="E207" s="1"/>
      <c r="F207" s="1"/>
      <c r="G207" s="1">
        <v>90</v>
      </c>
      <c r="H207" s="4" t="s">
        <v>421</v>
      </c>
      <c r="I207" s="73">
        <v>75000</v>
      </c>
      <c r="J207" s="4" t="s">
        <v>2253</v>
      </c>
      <c r="K207" s="4" t="s">
        <v>3600</v>
      </c>
      <c r="L207" s="73"/>
      <c r="M207" s="73"/>
      <c r="N207" s="73"/>
      <c r="O207" s="73"/>
      <c r="P207" s="73">
        <v>75000</v>
      </c>
      <c r="Q207" s="73"/>
      <c r="R207" s="73"/>
      <c r="S207" s="73"/>
      <c r="T207" s="73"/>
      <c r="U207" s="73"/>
      <c r="V207" s="73"/>
      <c r="W207" s="73"/>
      <c r="X207" s="1864">
        <f t="shared" ref="X207:X270" si="6">SUM(L207:W207)</f>
        <v>75000</v>
      </c>
      <c r="Y207" s="23">
        <f t="shared" ref="Y207:Y270" si="7">I207-X207</f>
        <v>0</v>
      </c>
    </row>
    <row r="208" spans="1:25" ht="28.9" customHeight="1" x14ac:dyDescent="0.25">
      <c r="A208" s="1"/>
      <c r="B208" s="1"/>
      <c r="C208" s="1"/>
      <c r="D208" s="1">
        <v>5</v>
      </c>
      <c r="E208" s="1">
        <v>2</v>
      </c>
      <c r="F208" s="1">
        <v>2</v>
      </c>
      <c r="G208" s="1"/>
      <c r="H208" s="4" t="s">
        <v>294</v>
      </c>
      <c r="I208" s="73"/>
      <c r="J208" s="4"/>
      <c r="K208" s="4" t="s">
        <v>3600</v>
      </c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1864">
        <f t="shared" si="6"/>
        <v>0</v>
      </c>
      <c r="Y208" s="23">
        <f t="shared" si="7"/>
        <v>0</v>
      </c>
    </row>
    <row r="209" spans="1:25" ht="30" x14ac:dyDescent="0.25">
      <c r="A209" s="1"/>
      <c r="B209" s="1"/>
      <c r="C209" s="1"/>
      <c r="D209" s="1"/>
      <c r="E209" s="1"/>
      <c r="F209" s="1"/>
      <c r="G209" s="1489" t="s">
        <v>3366</v>
      </c>
      <c r="H209" s="4" t="s">
        <v>484</v>
      </c>
      <c r="I209" s="73">
        <v>750000</v>
      </c>
      <c r="J209" s="4" t="s">
        <v>2253</v>
      </c>
      <c r="K209" s="4" t="s">
        <v>3600</v>
      </c>
      <c r="L209" s="73"/>
      <c r="M209" s="73"/>
      <c r="N209" s="73"/>
      <c r="O209" s="73"/>
      <c r="P209" s="73">
        <v>750000</v>
      </c>
      <c r="Q209" s="73"/>
      <c r="R209" s="73"/>
      <c r="S209" s="73"/>
      <c r="T209" s="73"/>
      <c r="U209" s="73"/>
      <c r="V209" s="73"/>
      <c r="W209" s="73"/>
      <c r="X209" s="1864">
        <f t="shared" si="6"/>
        <v>750000</v>
      </c>
      <c r="Y209" s="23">
        <f t="shared" si="7"/>
        <v>0</v>
      </c>
    </row>
    <row r="210" spans="1:25" ht="45" x14ac:dyDescent="0.25">
      <c r="A210" s="1"/>
      <c r="B210" s="1"/>
      <c r="C210" s="1"/>
      <c r="D210" s="1"/>
      <c r="E210" s="1"/>
      <c r="F210" s="1"/>
      <c r="G210" s="1489" t="s">
        <v>3389</v>
      </c>
      <c r="H210" s="4" t="s">
        <v>842</v>
      </c>
      <c r="I210" s="73">
        <v>3780000</v>
      </c>
      <c r="J210" s="4" t="s">
        <v>2253</v>
      </c>
      <c r="K210" s="4" t="s">
        <v>3600</v>
      </c>
      <c r="L210" s="73"/>
      <c r="M210" s="73"/>
      <c r="N210" s="73"/>
      <c r="O210" s="73"/>
      <c r="P210" s="73">
        <v>3780000</v>
      </c>
      <c r="Q210" s="73"/>
      <c r="R210" s="73"/>
      <c r="S210" s="73"/>
      <c r="T210" s="73"/>
      <c r="U210" s="73"/>
      <c r="V210" s="73"/>
      <c r="W210" s="73"/>
      <c r="X210" s="1864">
        <f t="shared" si="6"/>
        <v>3780000</v>
      </c>
      <c r="Y210" s="23">
        <f t="shared" si="7"/>
        <v>0</v>
      </c>
    </row>
    <row r="211" spans="1:25" ht="45" x14ac:dyDescent="0.25">
      <c r="A211" s="1"/>
      <c r="B211" s="1"/>
      <c r="C211" s="1"/>
      <c r="D211" s="1">
        <v>5</v>
      </c>
      <c r="E211" s="1">
        <v>2</v>
      </c>
      <c r="F211" s="1">
        <v>7</v>
      </c>
      <c r="G211" s="1"/>
      <c r="H211" s="4" t="s">
        <v>971</v>
      </c>
      <c r="I211" s="73"/>
      <c r="J211" s="4"/>
      <c r="K211" s="4" t="s">
        <v>3600</v>
      </c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1864">
        <f t="shared" si="6"/>
        <v>0</v>
      </c>
      <c r="Y211" s="23">
        <f t="shared" si="7"/>
        <v>0</v>
      </c>
    </row>
    <row r="212" spans="1:25" ht="30" x14ac:dyDescent="0.25">
      <c r="A212" s="1"/>
      <c r="B212" s="1"/>
      <c r="C212" s="1"/>
      <c r="D212" s="1"/>
      <c r="E212" s="1"/>
      <c r="F212" s="1"/>
      <c r="G212" s="1">
        <v>90</v>
      </c>
      <c r="H212" s="4" t="s">
        <v>970</v>
      </c>
      <c r="I212" s="73">
        <v>13000000</v>
      </c>
      <c r="J212" s="4" t="s">
        <v>2253</v>
      </c>
      <c r="K212" s="4" t="s">
        <v>3600</v>
      </c>
      <c r="L212" s="73"/>
      <c r="M212" s="73"/>
      <c r="N212" s="73"/>
      <c r="O212" s="73"/>
      <c r="P212" s="73">
        <v>13000000</v>
      </c>
      <c r="Q212" s="73"/>
      <c r="R212" s="73"/>
      <c r="S212" s="73"/>
      <c r="T212" s="73"/>
      <c r="U212" s="73"/>
      <c r="V212" s="73"/>
      <c r="W212" s="73"/>
      <c r="X212" s="1864">
        <f t="shared" si="6"/>
        <v>13000000</v>
      </c>
      <c r="Y212" s="23">
        <f t="shared" si="7"/>
        <v>0</v>
      </c>
    </row>
    <row r="213" spans="1:25" ht="28.9" customHeight="1" x14ac:dyDescent="0.25">
      <c r="A213" s="865">
        <v>2</v>
      </c>
      <c r="B213" s="865">
        <v>2</v>
      </c>
      <c r="C213" s="865">
        <v>91</v>
      </c>
      <c r="D213" s="865"/>
      <c r="E213" s="865"/>
      <c r="F213" s="865"/>
      <c r="G213" s="865"/>
      <c r="H213" s="865" t="s">
        <v>729</v>
      </c>
      <c r="I213" s="1063">
        <v>17529943</v>
      </c>
      <c r="J213" s="1061" t="s">
        <v>1777</v>
      </c>
      <c r="K213" s="1061" t="s">
        <v>3600</v>
      </c>
      <c r="L213" s="1063"/>
      <c r="M213" s="1063"/>
      <c r="N213" s="1063"/>
      <c r="O213" s="1063"/>
      <c r="P213" s="1063"/>
      <c r="Q213" s="1063"/>
      <c r="R213" s="1063"/>
      <c r="S213" s="1063"/>
      <c r="T213" s="1063"/>
      <c r="U213" s="1063"/>
      <c r="V213" s="1063"/>
      <c r="W213" s="1063"/>
      <c r="X213" s="1866">
        <f t="shared" si="6"/>
        <v>0</v>
      </c>
      <c r="Y213" s="23">
        <f t="shared" si="7"/>
        <v>17529943</v>
      </c>
    </row>
    <row r="214" spans="1:25" x14ac:dyDescent="0.25">
      <c r="A214" s="1"/>
      <c r="B214" s="1"/>
      <c r="C214" s="1"/>
      <c r="D214" s="1">
        <v>5</v>
      </c>
      <c r="E214" s="1">
        <v>2</v>
      </c>
      <c r="F214" s="1"/>
      <c r="G214" s="1"/>
      <c r="H214" s="4" t="s">
        <v>683</v>
      </c>
      <c r="I214" s="73"/>
      <c r="J214" s="4"/>
      <c r="K214" s="4" t="s">
        <v>3600</v>
      </c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1864">
        <f t="shared" si="6"/>
        <v>0</v>
      </c>
      <c r="Y214" s="23">
        <f t="shared" si="7"/>
        <v>0</v>
      </c>
    </row>
    <row r="215" spans="1:25" x14ac:dyDescent="0.25">
      <c r="A215" s="1"/>
      <c r="B215" s="1"/>
      <c r="C215" s="1"/>
      <c r="D215" s="1"/>
      <c r="E215" s="1"/>
      <c r="F215" s="1">
        <v>1</v>
      </c>
      <c r="G215" s="1"/>
      <c r="H215" s="4" t="s">
        <v>682</v>
      </c>
      <c r="I215" s="73"/>
      <c r="J215" s="4"/>
      <c r="K215" s="4" t="s">
        <v>3600</v>
      </c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1864">
        <f t="shared" si="6"/>
        <v>0</v>
      </c>
      <c r="Y215" s="23">
        <f t="shared" si="7"/>
        <v>0</v>
      </c>
    </row>
    <row r="216" spans="1:25" ht="28.9" customHeight="1" x14ac:dyDescent="0.25">
      <c r="A216" s="1"/>
      <c r="B216" s="1"/>
      <c r="C216" s="1"/>
      <c r="D216" s="1"/>
      <c r="E216" s="1"/>
      <c r="F216" s="1"/>
      <c r="G216" s="1489" t="s">
        <v>3391</v>
      </c>
      <c r="H216" s="4" t="s">
        <v>725</v>
      </c>
      <c r="I216" s="73">
        <v>2400000</v>
      </c>
      <c r="J216" s="4" t="s">
        <v>1777</v>
      </c>
      <c r="K216" s="4" t="s">
        <v>3600</v>
      </c>
      <c r="L216" s="73"/>
      <c r="M216" s="73"/>
      <c r="N216" s="73"/>
      <c r="O216" s="73"/>
      <c r="P216" s="73"/>
      <c r="Q216" s="73">
        <v>1200000</v>
      </c>
      <c r="R216" s="73"/>
      <c r="S216" s="73"/>
      <c r="T216" s="73">
        <v>1200000</v>
      </c>
      <c r="U216" s="73"/>
      <c r="V216" s="73"/>
      <c r="W216" s="73"/>
      <c r="X216" s="1864">
        <f t="shared" si="6"/>
        <v>2400000</v>
      </c>
      <c r="Y216" s="23">
        <f t="shared" si="7"/>
        <v>0</v>
      </c>
    </row>
    <row r="217" spans="1:25" ht="28.9" customHeight="1" x14ac:dyDescent="0.25">
      <c r="A217" s="1"/>
      <c r="B217" s="1"/>
      <c r="C217" s="1"/>
      <c r="D217" s="1"/>
      <c r="E217" s="1"/>
      <c r="F217" s="1"/>
      <c r="G217" s="1489" t="s">
        <v>3392</v>
      </c>
      <c r="H217" s="4" t="s">
        <v>389</v>
      </c>
      <c r="I217" s="73">
        <v>9514000</v>
      </c>
      <c r="J217" s="4" t="s">
        <v>1777</v>
      </c>
      <c r="K217" s="4" t="s">
        <v>3600</v>
      </c>
      <c r="L217" s="73"/>
      <c r="M217" s="73"/>
      <c r="N217" s="73"/>
      <c r="O217" s="73"/>
      <c r="P217" s="73"/>
      <c r="Q217" s="73">
        <v>9514000</v>
      </c>
      <c r="R217" s="73"/>
      <c r="S217" s="73"/>
      <c r="T217" s="73"/>
      <c r="U217" s="73"/>
      <c r="V217" s="73"/>
      <c r="W217" s="73"/>
      <c r="X217" s="1864">
        <f t="shared" si="6"/>
        <v>9514000</v>
      </c>
      <c r="Y217" s="23">
        <f t="shared" si="7"/>
        <v>0</v>
      </c>
    </row>
    <row r="218" spans="1:25" x14ac:dyDescent="0.25">
      <c r="A218" s="1"/>
      <c r="B218" s="1"/>
      <c r="C218" s="1"/>
      <c r="D218" s="1">
        <v>5</v>
      </c>
      <c r="E218" s="1">
        <v>2</v>
      </c>
      <c r="F218" s="1">
        <v>2</v>
      </c>
      <c r="G218" s="1"/>
      <c r="H218" s="4" t="s">
        <v>294</v>
      </c>
      <c r="I218" s="73"/>
      <c r="J218" s="4"/>
      <c r="K218" s="4" t="s">
        <v>3600</v>
      </c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1864">
        <f t="shared" si="6"/>
        <v>0</v>
      </c>
      <c r="Y218" s="23">
        <f t="shared" si="7"/>
        <v>0</v>
      </c>
    </row>
    <row r="219" spans="1:25" ht="14.45" customHeight="1" x14ac:dyDescent="0.25">
      <c r="A219" s="1"/>
      <c r="B219" s="1"/>
      <c r="C219" s="1"/>
      <c r="D219" s="1"/>
      <c r="E219" s="1"/>
      <c r="F219" s="1"/>
      <c r="G219" s="1489" t="s">
        <v>3366</v>
      </c>
      <c r="H219" s="4" t="s">
        <v>717</v>
      </c>
      <c r="I219" s="73">
        <v>750000</v>
      </c>
      <c r="J219" s="4" t="s">
        <v>1777</v>
      </c>
      <c r="K219" s="4" t="s">
        <v>3600</v>
      </c>
      <c r="L219" s="73"/>
      <c r="M219" s="73"/>
      <c r="N219" s="73"/>
      <c r="O219" s="73"/>
      <c r="P219" s="73"/>
      <c r="Q219" s="73"/>
      <c r="R219" s="73"/>
      <c r="S219" s="73"/>
      <c r="T219" s="73">
        <v>750000</v>
      </c>
      <c r="U219" s="73"/>
      <c r="V219" s="73"/>
      <c r="W219" s="73"/>
      <c r="X219" s="1864">
        <f t="shared" si="6"/>
        <v>750000</v>
      </c>
      <c r="Y219" s="23">
        <f t="shared" si="7"/>
        <v>0</v>
      </c>
    </row>
    <row r="220" spans="1:25" ht="28.9" customHeight="1" x14ac:dyDescent="0.25">
      <c r="A220" s="1"/>
      <c r="B220" s="1"/>
      <c r="C220" s="1"/>
      <c r="D220" s="1"/>
      <c r="E220" s="1"/>
      <c r="F220" s="1"/>
      <c r="G220" s="1489" t="s">
        <v>3390</v>
      </c>
      <c r="H220" s="4" t="s">
        <v>333</v>
      </c>
      <c r="I220" s="73">
        <v>3000000</v>
      </c>
      <c r="J220" s="4" t="s">
        <v>1777</v>
      </c>
      <c r="K220" s="4" t="s">
        <v>3600</v>
      </c>
      <c r="L220" s="73"/>
      <c r="M220" s="73"/>
      <c r="N220" s="73"/>
      <c r="O220" s="73"/>
      <c r="P220" s="73"/>
      <c r="Q220" s="73">
        <v>1500000</v>
      </c>
      <c r="R220" s="73"/>
      <c r="S220" s="73"/>
      <c r="T220" s="73">
        <v>1500000</v>
      </c>
      <c r="U220" s="73"/>
      <c r="V220" s="73"/>
      <c r="W220" s="73"/>
      <c r="X220" s="1864">
        <f t="shared" si="6"/>
        <v>3000000</v>
      </c>
      <c r="Y220" s="23">
        <f t="shared" si="7"/>
        <v>0</v>
      </c>
    </row>
    <row r="221" spans="1:25" x14ac:dyDescent="0.25">
      <c r="A221" s="1"/>
      <c r="B221" s="1"/>
      <c r="C221" s="1"/>
      <c r="D221" s="1">
        <v>5</v>
      </c>
      <c r="E221" s="1">
        <v>2</v>
      </c>
      <c r="F221" s="1">
        <v>6</v>
      </c>
      <c r="G221" s="1"/>
      <c r="H221" s="4" t="s">
        <v>714</v>
      </c>
      <c r="I221" s="73"/>
      <c r="J221" s="4"/>
      <c r="K221" s="4" t="s">
        <v>3600</v>
      </c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1864">
        <f t="shared" si="6"/>
        <v>0</v>
      </c>
      <c r="Y221" s="23">
        <f t="shared" si="7"/>
        <v>0</v>
      </c>
    </row>
    <row r="222" spans="1:25" ht="30" x14ac:dyDescent="0.25">
      <c r="A222" s="1"/>
      <c r="B222" s="1"/>
      <c r="C222" s="1"/>
      <c r="D222" s="1"/>
      <c r="E222" s="1"/>
      <c r="F222" s="1"/>
      <c r="G222" s="1489" t="s">
        <v>3366</v>
      </c>
      <c r="H222" s="4" t="s">
        <v>2193</v>
      </c>
      <c r="I222" s="73">
        <v>1865943</v>
      </c>
      <c r="J222" s="4" t="s">
        <v>1777</v>
      </c>
      <c r="K222" s="4" t="s">
        <v>3600</v>
      </c>
      <c r="L222" s="73"/>
      <c r="M222" s="73"/>
      <c r="N222" s="73"/>
      <c r="O222" s="73"/>
      <c r="P222" s="73"/>
      <c r="Q222" s="73">
        <v>1865943</v>
      </c>
      <c r="R222" s="73"/>
      <c r="S222" s="73"/>
      <c r="T222" s="73"/>
      <c r="U222" s="73"/>
      <c r="V222" s="73"/>
      <c r="W222" s="73"/>
      <c r="X222" s="1864">
        <f t="shared" si="6"/>
        <v>1865943</v>
      </c>
      <c r="Y222" s="23">
        <f t="shared" si="7"/>
        <v>0</v>
      </c>
    </row>
    <row r="223" spans="1:25" ht="28.9" customHeight="1" x14ac:dyDescent="0.25">
      <c r="A223" s="865">
        <v>2</v>
      </c>
      <c r="B223" s="865">
        <v>2</v>
      </c>
      <c r="C223" s="865">
        <v>93</v>
      </c>
      <c r="D223" s="865"/>
      <c r="E223" s="865"/>
      <c r="F223" s="865"/>
      <c r="G223" s="865"/>
      <c r="H223" s="1061" t="s">
        <v>2359</v>
      </c>
      <c r="I223" s="1063">
        <v>5985000</v>
      </c>
      <c r="J223" s="1061" t="s">
        <v>2179</v>
      </c>
      <c r="K223" s="1061" t="s">
        <v>3596</v>
      </c>
      <c r="L223" s="1063"/>
      <c r="M223" s="1063"/>
      <c r="N223" s="1063"/>
      <c r="O223" s="1063"/>
      <c r="P223" s="1063"/>
      <c r="Q223" s="1063"/>
      <c r="R223" s="1063"/>
      <c r="S223" s="1063"/>
      <c r="T223" s="1063"/>
      <c r="U223" s="1063"/>
      <c r="V223" s="1063"/>
      <c r="W223" s="1063"/>
      <c r="X223" s="1866">
        <f t="shared" si="6"/>
        <v>0</v>
      </c>
      <c r="Y223" s="23">
        <f t="shared" si="7"/>
        <v>5985000</v>
      </c>
    </row>
    <row r="224" spans="1:25" ht="43.15" customHeight="1" x14ac:dyDescent="0.25">
      <c r="A224" s="1"/>
      <c r="B224" s="1"/>
      <c r="C224" s="1"/>
      <c r="D224" s="1">
        <v>5</v>
      </c>
      <c r="E224" s="1">
        <v>2</v>
      </c>
      <c r="F224" s="1"/>
      <c r="G224" s="1"/>
      <c r="H224" s="4" t="s">
        <v>82</v>
      </c>
      <c r="I224" s="73"/>
      <c r="J224" s="4"/>
      <c r="K224" s="4" t="s">
        <v>3596</v>
      </c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1864">
        <f t="shared" si="6"/>
        <v>0</v>
      </c>
      <c r="Y224" s="23">
        <f t="shared" si="7"/>
        <v>0</v>
      </c>
    </row>
    <row r="225" spans="1:25" ht="14.45" customHeight="1" x14ac:dyDescent="0.25">
      <c r="A225" s="1"/>
      <c r="B225" s="1"/>
      <c r="C225" s="1"/>
      <c r="D225" s="1"/>
      <c r="E225" s="1"/>
      <c r="F225" s="1">
        <v>1</v>
      </c>
      <c r="G225" s="1"/>
      <c r="H225" s="4" t="s">
        <v>84</v>
      </c>
      <c r="I225" s="73"/>
      <c r="J225" s="4"/>
      <c r="K225" s="4" t="s">
        <v>3596</v>
      </c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1864">
        <f t="shared" si="6"/>
        <v>0</v>
      </c>
      <c r="Y225" s="23">
        <f t="shared" si="7"/>
        <v>0</v>
      </c>
    </row>
    <row r="226" spans="1:25" ht="14.45" customHeight="1" x14ac:dyDescent="0.25">
      <c r="A226" s="1"/>
      <c r="B226" s="1"/>
      <c r="C226" s="1"/>
      <c r="D226" s="1"/>
      <c r="E226" s="1"/>
      <c r="F226" s="1"/>
      <c r="G226" s="1489" t="s">
        <v>3366</v>
      </c>
      <c r="H226" s="4" t="s">
        <v>86</v>
      </c>
      <c r="I226" s="73">
        <v>385000</v>
      </c>
      <c r="J226" s="4" t="s">
        <v>2179</v>
      </c>
      <c r="K226" s="4" t="s">
        <v>3596</v>
      </c>
      <c r="L226" s="73"/>
      <c r="M226" s="73"/>
      <c r="N226" s="73">
        <v>385000</v>
      </c>
      <c r="O226" s="73"/>
      <c r="P226" s="73"/>
      <c r="Q226" s="73"/>
      <c r="R226" s="73"/>
      <c r="S226" s="73"/>
      <c r="T226" s="73"/>
      <c r="U226" s="73"/>
      <c r="V226" s="73"/>
      <c r="W226" s="73"/>
      <c r="X226" s="1864">
        <f t="shared" si="6"/>
        <v>385000</v>
      </c>
      <c r="Y226" s="23">
        <f t="shared" si="7"/>
        <v>0</v>
      </c>
    </row>
    <row r="227" spans="1:25" ht="28.9" customHeight="1" x14ac:dyDescent="0.25">
      <c r="A227" s="1"/>
      <c r="B227" s="1"/>
      <c r="C227" s="1"/>
      <c r="D227" s="1"/>
      <c r="E227" s="1"/>
      <c r="F227" s="1"/>
      <c r="G227" s="1489" t="s">
        <v>3391</v>
      </c>
      <c r="H227" s="4" t="s">
        <v>146</v>
      </c>
      <c r="I227" s="73">
        <v>4000000</v>
      </c>
      <c r="J227" s="4" t="s">
        <v>2179</v>
      </c>
      <c r="K227" s="4" t="s">
        <v>3596</v>
      </c>
      <c r="L227" s="73"/>
      <c r="M227" s="73"/>
      <c r="N227" s="73">
        <v>1000000</v>
      </c>
      <c r="O227" s="73"/>
      <c r="P227" s="73"/>
      <c r="Q227" s="73">
        <v>1000000</v>
      </c>
      <c r="R227" s="73"/>
      <c r="S227" s="73"/>
      <c r="T227" s="73">
        <v>1000000</v>
      </c>
      <c r="U227" s="73"/>
      <c r="V227" s="73"/>
      <c r="W227" s="73">
        <v>1000000</v>
      </c>
      <c r="X227" s="1864">
        <f t="shared" si="6"/>
        <v>4000000</v>
      </c>
      <c r="Y227" s="23">
        <f t="shared" si="7"/>
        <v>0</v>
      </c>
    </row>
    <row r="228" spans="1:25" ht="14.45" customHeight="1" x14ac:dyDescent="0.25">
      <c r="A228" s="1"/>
      <c r="B228" s="1"/>
      <c r="C228" s="1"/>
      <c r="D228" s="1">
        <v>5</v>
      </c>
      <c r="E228" s="1">
        <v>2</v>
      </c>
      <c r="F228" s="1">
        <v>2</v>
      </c>
      <c r="G228" s="1"/>
      <c r="H228" s="4" t="s">
        <v>294</v>
      </c>
      <c r="I228" s="73"/>
      <c r="J228" s="4"/>
      <c r="K228" s="4" t="s">
        <v>3596</v>
      </c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1864">
        <f t="shared" si="6"/>
        <v>0</v>
      </c>
      <c r="Y228" s="23">
        <f t="shared" si="7"/>
        <v>0</v>
      </c>
    </row>
    <row r="229" spans="1:25" x14ac:dyDescent="0.25">
      <c r="A229" s="1"/>
      <c r="B229" s="1"/>
      <c r="C229" s="1"/>
      <c r="D229" s="1"/>
      <c r="E229" s="1"/>
      <c r="F229" s="1"/>
      <c r="G229" s="1489" t="s">
        <v>3390</v>
      </c>
      <c r="H229" s="4" t="s">
        <v>1473</v>
      </c>
      <c r="I229" s="73">
        <v>1600000</v>
      </c>
      <c r="J229" s="4" t="s">
        <v>2179</v>
      </c>
      <c r="K229" s="4" t="s">
        <v>3596</v>
      </c>
      <c r="L229" s="73"/>
      <c r="M229" s="73"/>
      <c r="N229" s="73">
        <v>400000</v>
      </c>
      <c r="O229" s="73"/>
      <c r="P229" s="73"/>
      <c r="Q229" s="73">
        <v>400000</v>
      </c>
      <c r="R229" s="73"/>
      <c r="S229" s="73"/>
      <c r="T229" s="73">
        <v>400000</v>
      </c>
      <c r="U229" s="73"/>
      <c r="V229" s="73"/>
      <c r="W229" s="73">
        <v>400000</v>
      </c>
      <c r="X229" s="1864">
        <f t="shared" si="6"/>
        <v>1600000</v>
      </c>
      <c r="Y229" s="23">
        <f t="shared" si="7"/>
        <v>0</v>
      </c>
    </row>
    <row r="230" spans="1:25" ht="28.9" customHeight="1" x14ac:dyDescent="0.25">
      <c r="A230" s="865">
        <v>2</v>
      </c>
      <c r="B230" s="865">
        <v>2</v>
      </c>
      <c r="C230" s="865">
        <v>93</v>
      </c>
      <c r="D230" s="865"/>
      <c r="E230" s="865"/>
      <c r="F230" s="865"/>
      <c r="G230" s="865"/>
      <c r="H230" s="1061" t="s">
        <v>2360</v>
      </c>
      <c r="I230" s="1063">
        <v>4990000</v>
      </c>
      <c r="J230" s="1061" t="s">
        <v>2179</v>
      </c>
      <c r="K230" s="1061" t="s">
        <v>3596</v>
      </c>
      <c r="L230" s="1063"/>
      <c r="M230" s="1063"/>
      <c r="N230" s="1063"/>
      <c r="O230" s="1063"/>
      <c r="P230" s="1063"/>
      <c r="Q230" s="1063"/>
      <c r="R230" s="1063"/>
      <c r="S230" s="1063"/>
      <c r="T230" s="1063"/>
      <c r="U230" s="1063"/>
      <c r="V230" s="1063"/>
      <c r="W230" s="1063"/>
      <c r="X230" s="1866">
        <f t="shared" si="6"/>
        <v>0</v>
      </c>
      <c r="Y230" s="23">
        <f t="shared" si="7"/>
        <v>4990000</v>
      </c>
    </row>
    <row r="231" spans="1:25" ht="28.9" customHeight="1" x14ac:dyDescent="0.25">
      <c r="A231" s="1"/>
      <c r="B231" s="1"/>
      <c r="C231" s="1"/>
      <c r="D231" s="1">
        <v>5</v>
      </c>
      <c r="E231" s="1">
        <v>2</v>
      </c>
      <c r="F231" s="1"/>
      <c r="G231" s="1"/>
      <c r="H231" s="4" t="s">
        <v>277</v>
      </c>
      <c r="I231" s="73"/>
      <c r="J231" s="4"/>
      <c r="K231" s="4" t="s">
        <v>3596</v>
      </c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1864">
        <f t="shared" si="6"/>
        <v>0</v>
      </c>
      <c r="Y231" s="23">
        <f t="shared" si="7"/>
        <v>0</v>
      </c>
    </row>
    <row r="232" spans="1:25" x14ac:dyDescent="0.25">
      <c r="A232" s="1"/>
      <c r="B232" s="1"/>
      <c r="C232" s="1"/>
      <c r="D232" s="1"/>
      <c r="E232" s="1"/>
      <c r="F232" s="1">
        <v>1</v>
      </c>
      <c r="G232" s="1"/>
      <c r="H232" s="4" t="s">
        <v>84</v>
      </c>
      <c r="I232" s="73"/>
      <c r="J232" s="4"/>
      <c r="K232" s="4" t="s">
        <v>3596</v>
      </c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1864">
        <f t="shared" si="6"/>
        <v>0</v>
      </c>
      <c r="Y232" s="23">
        <f t="shared" si="7"/>
        <v>0</v>
      </c>
    </row>
    <row r="233" spans="1:25" ht="30" x14ac:dyDescent="0.25">
      <c r="A233" s="1"/>
      <c r="B233" s="1"/>
      <c r="C233" s="1"/>
      <c r="D233" s="1"/>
      <c r="E233" s="1"/>
      <c r="F233" s="1"/>
      <c r="G233" s="1489" t="s">
        <v>3366</v>
      </c>
      <c r="H233" s="4" t="s">
        <v>679</v>
      </c>
      <c r="I233" s="73">
        <v>525000</v>
      </c>
      <c r="J233" s="4" t="s">
        <v>2179</v>
      </c>
      <c r="K233" s="4" t="s">
        <v>3596</v>
      </c>
      <c r="L233" s="73"/>
      <c r="M233" s="73"/>
      <c r="N233" s="73">
        <v>525000</v>
      </c>
      <c r="O233" s="73"/>
      <c r="P233" s="73"/>
      <c r="Q233" s="73"/>
      <c r="R233" s="73"/>
      <c r="S233" s="73"/>
      <c r="T233" s="73"/>
      <c r="U233" s="73"/>
      <c r="V233" s="73"/>
      <c r="W233" s="73"/>
      <c r="X233" s="1864">
        <f t="shared" si="6"/>
        <v>525000</v>
      </c>
      <c r="Y233" s="23">
        <f t="shared" si="7"/>
        <v>0</v>
      </c>
    </row>
    <row r="234" spans="1:25" ht="30" x14ac:dyDescent="0.25">
      <c r="A234" s="1"/>
      <c r="B234" s="1"/>
      <c r="C234" s="1"/>
      <c r="D234" s="1"/>
      <c r="E234" s="1"/>
      <c r="F234" s="1"/>
      <c r="G234" s="1489" t="s">
        <v>3391</v>
      </c>
      <c r="H234" s="4" t="s">
        <v>307</v>
      </c>
      <c r="I234" s="73">
        <v>2625000</v>
      </c>
      <c r="J234" s="4" t="s">
        <v>2179</v>
      </c>
      <c r="K234" s="4" t="s">
        <v>3596</v>
      </c>
      <c r="L234" s="73"/>
      <c r="M234" s="73"/>
      <c r="N234" s="73">
        <v>2625000</v>
      </c>
      <c r="O234" s="73"/>
      <c r="P234" s="73"/>
      <c r="Q234" s="73"/>
      <c r="R234" s="73"/>
      <c r="S234" s="73"/>
      <c r="T234" s="73"/>
      <c r="U234" s="73"/>
      <c r="V234" s="73"/>
      <c r="W234" s="73"/>
      <c r="X234" s="1864">
        <f t="shared" si="6"/>
        <v>2625000</v>
      </c>
      <c r="Y234" s="23">
        <f t="shared" si="7"/>
        <v>0</v>
      </c>
    </row>
    <row r="235" spans="1:25" ht="30" x14ac:dyDescent="0.25">
      <c r="A235" s="1"/>
      <c r="B235" s="1"/>
      <c r="C235" s="1"/>
      <c r="D235" s="1"/>
      <c r="E235" s="1"/>
      <c r="F235" s="1"/>
      <c r="G235" s="1489" t="s">
        <v>3393</v>
      </c>
      <c r="H235" s="4" t="s">
        <v>325</v>
      </c>
      <c r="I235" s="73">
        <v>90000</v>
      </c>
      <c r="J235" s="4" t="s">
        <v>2179</v>
      </c>
      <c r="K235" s="4" t="s">
        <v>3596</v>
      </c>
      <c r="L235" s="73"/>
      <c r="M235" s="73"/>
      <c r="N235" s="73">
        <v>90000</v>
      </c>
      <c r="O235" s="73"/>
      <c r="P235" s="73"/>
      <c r="Q235" s="73"/>
      <c r="R235" s="73"/>
      <c r="S235" s="73"/>
      <c r="T235" s="73"/>
      <c r="U235" s="73"/>
      <c r="V235" s="73"/>
      <c r="W235" s="73"/>
      <c r="X235" s="1864">
        <f t="shared" si="6"/>
        <v>90000</v>
      </c>
      <c r="Y235" s="23">
        <f t="shared" si="7"/>
        <v>0</v>
      </c>
    </row>
    <row r="236" spans="1:25" ht="43.15" customHeight="1" x14ac:dyDescent="0.25">
      <c r="A236" s="1"/>
      <c r="B236" s="1"/>
      <c r="C236" s="1"/>
      <c r="D236" s="1">
        <v>5</v>
      </c>
      <c r="E236" s="1">
        <v>2</v>
      </c>
      <c r="F236" s="1">
        <v>7</v>
      </c>
      <c r="G236" s="1"/>
      <c r="H236" s="4" t="s">
        <v>1465</v>
      </c>
      <c r="I236" s="73"/>
      <c r="J236" s="4"/>
      <c r="K236" s="4" t="s">
        <v>3596</v>
      </c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1864">
        <f t="shared" si="6"/>
        <v>0</v>
      </c>
      <c r="Y236" s="23">
        <f t="shared" si="7"/>
        <v>0</v>
      </c>
    </row>
    <row r="237" spans="1:25" x14ac:dyDescent="0.25">
      <c r="A237" s="1"/>
      <c r="B237" s="1"/>
      <c r="C237" s="1"/>
      <c r="D237" s="1"/>
      <c r="E237" s="1"/>
      <c r="F237" s="1"/>
      <c r="G237" s="1">
        <v>91</v>
      </c>
      <c r="H237" s="4" t="s">
        <v>359</v>
      </c>
      <c r="I237" s="73">
        <v>1750000</v>
      </c>
      <c r="J237" s="4" t="s">
        <v>2179</v>
      </c>
      <c r="K237" s="4" t="s">
        <v>3596</v>
      </c>
      <c r="L237" s="73"/>
      <c r="M237" s="73"/>
      <c r="N237" s="73">
        <v>1750000</v>
      </c>
      <c r="O237" s="73"/>
      <c r="P237" s="73"/>
      <c r="Q237" s="73"/>
      <c r="R237" s="73"/>
      <c r="S237" s="73"/>
      <c r="T237" s="73"/>
      <c r="U237" s="73"/>
      <c r="V237" s="73"/>
      <c r="W237" s="73"/>
      <c r="X237" s="1864">
        <f t="shared" si="6"/>
        <v>1750000</v>
      </c>
      <c r="Y237" s="23">
        <f t="shared" si="7"/>
        <v>0</v>
      </c>
    </row>
    <row r="238" spans="1:25" ht="30" x14ac:dyDescent="0.25">
      <c r="A238" s="865">
        <v>2</v>
      </c>
      <c r="B238" s="865">
        <v>3</v>
      </c>
      <c r="C238" s="865"/>
      <c r="D238" s="865"/>
      <c r="E238" s="865"/>
      <c r="F238" s="865"/>
      <c r="G238" s="865"/>
      <c r="H238" s="1061" t="s">
        <v>3418</v>
      </c>
      <c r="I238" s="1063"/>
      <c r="J238" s="1061"/>
      <c r="K238" s="1061" t="s">
        <v>3596</v>
      </c>
      <c r="L238" s="1063"/>
      <c r="M238" s="1063"/>
      <c r="N238" s="1063"/>
      <c r="O238" s="1063"/>
      <c r="P238" s="1063"/>
      <c r="Q238" s="1063"/>
      <c r="R238" s="1063"/>
      <c r="S238" s="1063"/>
      <c r="T238" s="1063"/>
      <c r="U238" s="1063"/>
      <c r="V238" s="1063"/>
      <c r="W238" s="1063"/>
      <c r="X238" s="1866">
        <f t="shared" si="6"/>
        <v>0</v>
      </c>
      <c r="Y238" s="23">
        <f t="shared" si="7"/>
        <v>0</v>
      </c>
    </row>
    <row r="239" spans="1:25" ht="28.9" customHeight="1" x14ac:dyDescent="0.25">
      <c r="A239" s="865">
        <v>2</v>
      </c>
      <c r="B239" s="865">
        <v>3</v>
      </c>
      <c r="C239" s="1490" t="s">
        <v>3386</v>
      </c>
      <c r="D239" s="865"/>
      <c r="E239" s="865"/>
      <c r="F239" s="865"/>
      <c r="G239" s="865"/>
      <c r="H239" s="1061" t="s">
        <v>3327</v>
      </c>
      <c r="I239" s="1063">
        <v>35582000</v>
      </c>
      <c r="J239" s="865" t="s">
        <v>1506</v>
      </c>
      <c r="K239" s="1061" t="s">
        <v>3596</v>
      </c>
      <c r="L239" s="1063"/>
      <c r="M239" s="1063"/>
      <c r="N239" s="1063"/>
      <c r="O239" s="1063"/>
      <c r="P239" s="1063"/>
      <c r="Q239" s="1063"/>
      <c r="R239" s="1063"/>
      <c r="S239" s="1063"/>
      <c r="T239" s="1063"/>
      <c r="U239" s="1063"/>
      <c r="V239" s="1063"/>
      <c r="W239" s="1063"/>
      <c r="X239" s="1866">
        <f t="shared" si="6"/>
        <v>0</v>
      </c>
      <c r="Y239" s="23">
        <f t="shared" si="7"/>
        <v>35582000</v>
      </c>
    </row>
    <row r="240" spans="1:25" x14ac:dyDescent="0.25">
      <c r="A240" s="1"/>
      <c r="B240" s="1"/>
      <c r="C240" s="1"/>
      <c r="D240" s="1">
        <v>5</v>
      </c>
      <c r="E240" s="1">
        <v>3</v>
      </c>
      <c r="F240" s="1"/>
      <c r="G240" s="1"/>
      <c r="H240" s="4" t="s">
        <v>1284</v>
      </c>
      <c r="I240" s="73"/>
      <c r="J240" s="1"/>
      <c r="K240" s="4" t="s">
        <v>3596</v>
      </c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1864">
        <f t="shared" si="6"/>
        <v>0</v>
      </c>
      <c r="Y240" s="23">
        <f t="shared" si="7"/>
        <v>0</v>
      </c>
    </row>
    <row r="241" spans="1:25" x14ac:dyDescent="0.25">
      <c r="A241" s="1"/>
      <c r="B241" s="1"/>
      <c r="C241" s="1"/>
      <c r="D241" s="1"/>
      <c r="E241" s="1"/>
      <c r="F241" s="1">
        <v>5</v>
      </c>
      <c r="G241" s="1"/>
      <c r="H241" s="4" t="s">
        <v>1658</v>
      </c>
      <c r="I241" s="73"/>
      <c r="J241" s="1"/>
      <c r="K241" s="4" t="s">
        <v>3596</v>
      </c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1864">
        <f t="shared" si="6"/>
        <v>0</v>
      </c>
      <c r="Y241" s="23">
        <f t="shared" si="7"/>
        <v>0</v>
      </c>
    </row>
    <row r="242" spans="1:25" ht="43.15" customHeight="1" x14ac:dyDescent="0.25">
      <c r="A242" s="1"/>
      <c r="B242" s="1"/>
      <c r="C242" s="1"/>
      <c r="D242" s="1"/>
      <c r="E242" s="1"/>
      <c r="F242" s="1"/>
      <c r="G242" s="1489" t="s">
        <v>3366</v>
      </c>
      <c r="H242" s="4" t="s">
        <v>1279</v>
      </c>
      <c r="I242" s="73">
        <v>697000</v>
      </c>
      <c r="J242" s="1" t="s">
        <v>1506</v>
      </c>
      <c r="K242" s="4" t="s">
        <v>3596</v>
      </c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>
        <v>697000</v>
      </c>
      <c r="W242" s="73"/>
      <c r="X242" s="1864">
        <f t="shared" si="6"/>
        <v>697000</v>
      </c>
      <c r="Y242" s="23">
        <f t="shared" si="7"/>
        <v>0</v>
      </c>
    </row>
    <row r="243" spans="1:25" x14ac:dyDescent="0.25">
      <c r="A243" s="1"/>
      <c r="B243" s="1"/>
      <c r="C243" s="1"/>
      <c r="D243" s="1"/>
      <c r="E243" s="1"/>
      <c r="F243" s="1"/>
      <c r="G243" s="1489" t="s">
        <v>3386</v>
      </c>
      <c r="H243" s="1" t="s">
        <v>1268</v>
      </c>
      <c r="I243" s="73">
        <v>11400000</v>
      </c>
      <c r="J243" s="1" t="s">
        <v>1506</v>
      </c>
      <c r="K243" s="4" t="s">
        <v>3596</v>
      </c>
      <c r="L243" s="73"/>
      <c r="M243" s="73"/>
      <c r="N243" s="73"/>
      <c r="O243" s="73"/>
      <c r="P243" s="73"/>
      <c r="Q243" s="73"/>
      <c r="R243" s="73"/>
      <c r="S243" s="73"/>
      <c r="T243" s="73"/>
      <c r="U243" s="73">
        <v>11400000</v>
      </c>
      <c r="V243" s="73"/>
      <c r="W243" s="73"/>
      <c r="X243" s="1864">
        <f t="shared" si="6"/>
        <v>11400000</v>
      </c>
      <c r="Y243" s="23">
        <f t="shared" si="7"/>
        <v>0</v>
      </c>
    </row>
    <row r="244" spans="1:25" x14ac:dyDescent="0.25">
      <c r="A244" s="1"/>
      <c r="B244" s="1"/>
      <c r="C244" s="1"/>
      <c r="D244" s="1"/>
      <c r="E244" s="1"/>
      <c r="F244" s="1"/>
      <c r="G244" s="1489" t="s">
        <v>3388</v>
      </c>
      <c r="H244" s="1" t="s">
        <v>1271</v>
      </c>
      <c r="I244" s="73">
        <v>23485000</v>
      </c>
      <c r="J244" s="1" t="s">
        <v>1506</v>
      </c>
      <c r="K244" s="4" t="s">
        <v>3596</v>
      </c>
      <c r="L244" s="73"/>
      <c r="M244" s="73"/>
      <c r="N244" s="73"/>
      <c r="O244" s="73"/>
      <c r="P244" s="73"/>
      <c r="Q244" s="73"/>
      <c r="R244" s="68"/>
      <c r="S244" s="73"/>
      <c r="T244" s="73"/>
      <c r="U244" s="73">
        <v>6391000</v>
      </c>
      <c r="V244" s="68">
        <v>17094000</v>
      </c>
      <c r="W244" s="73"/>
      <c r="X244" s="1864">
        <f t="shared" si="6"/>
        <v>23485000</v>
      </c>
      <c r="Y244" s="23">
        <f t="shared" si="7"/>
        <v>0</v>
      </c>
    </row>
    <row r="245" spans="1:25" ht="28.9" customHeight="1" x14ac:dyDescent="0.25">
      <c r="A245" s="865">
        <v>2</v>
      </c>
      <c r="B245" s="865">
        <v>3</v>
      </c>
      <c r="C245" s="1490" t="s">
        <v>3386</v>
      </c>
      <c r="D245" s="865"/>
      <c r="E245" s="865"/>
      <c r="F245" s="865"/>
      <c r="G245" s="865"/>
      <c r="H245" s="1061" t="s">
        <v>2756</v>
      </c>
      <c r="I245" s="1063">
        <v>152489000</v>
      </c>
      <c r="J245" s="865" t="s">
        <v>1506</v>
      </c>
      <c r="K245" s="1061" t="s">
        <v>3596</v>
      </c>
      <c r="L245" s="1063"/>
      <c r="M245" s="1063"/>
      <c r="N245" s="1063"/>
      <c r="O245" s="1063"/>
      <c r="P245" s="1063"/>
      <c r="Q245" s="1063"/>
      <c r="R245" s="1063"/>
      <c r="S245" s="1063"/>
      <c r="T245" s="1063"/>
      <c r="U245" s="1063"/>
      <c r="V245" s="1063"/>
      <c r="W245" s="1063"/>
      <c r="X245" s="1866">
        <f t="shared" si="6"/>
        <v>0</v>
      </c>
      <c r="Y245" s="23">
        <f t="shared" si="7"/>
        <v>152489000</v>
      </c>
    </row>
    <row r="246" spans="1:25" x14ac:dyDescent="0.25">
      <c r="A246" s="1"/>
      <c r="B246" s="1"/>
      <c r="C246" s="1"/>
      <c r="D246" s="1">
        <v>5</v>
      </c>
      <c r="E246" s="1">
        <v>3</v>
      </c>
      <c r="F246" s="1"/>
      <c r="G246" s="1"/>
      <c r="H246" s="4" t="s">
        <v>1284</v>
      </c>
      <c r="I246" s="73"/>
      <c r="J246" s="1"/>
      <c r="K246" s="4" t="s">
        <v>3596</v>
      </c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1864">
        <f t="shared" si="6"/>
        <v>0</v>
      </c>
      <c r="Y246" s="23">
        <f t="shared" si="7"/>
        <v>0</v>
      </c>
    </row>
    <row r="247" spans="1:25" x14ac:dyDescent="0.25">
      <c r="A247" s="1"/>
      <c r="B247" s="1"/>
      <c r="C247" s="1"/>
      <c r="D247" s="1"/>
      <c r="E247" s="1"/>
      <c r="F247" s="1">
        <v>5</v>
      </c>
      <c r="G247" s="1"/>
      <c r="H247" s="4" t="s">
        <v>1658</v>
      </c>
      <c r="I247" s="73"/>
      <c r="J247" s="1"/>
      <c r="K247" s="4" t="s">
        <v>3596</v>
      </c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1864">
        <f t="shared" si="6"/>
        <v>0</v>
      </c>
      <c r="Y247" s="23">
        <f t="shared" si="7"/>
        <v>0</v>
      </c>
    </row>
    <row r="248" spans="1:25" ht="72" customHeight="1" x14ac:dyDescent="0.25">
      <c r="A248" s="1"/>
      <c r="B248" s="1"/>
      <c r="C248" s="1"/>
      <c r="D248" s="1"/>
      <c r="E248" s="1"/>
      <c r="F248" s="1"/>
      <c r="G248" s="1489" t="s">
        <v>3366</v>
      </c>
      <c r="H248" s="4" t="s">
        <v>1279</v>
      </c>
      <c r="I248" s="73">
        <v>1500000</v>
      </c>
      <c r="J248" s="1" t="s">
        <v>1506</v>
      </c>
      <c r="K248" s="4" t="s">
        <v>3596</v>
      </c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>
        <v>1500000</v>
      </c>
      <c r="X248" s="1864">
        <f t="shared" si="6"/>
        <v>1500000</v>
      </c>
      <c r="Y248" s="23">
        <f t="shared" si="7"/>
        <v>0</v>
      </c>
    </row>
    <row r="249" spans="1:25" x14ac:dyDescent="0.25">
      <c r="A249" s="1"/>
      <c r="B249" s="1"/>
      <c r="C249" s="1"/>
      <c r="D249" s="1"/>
      <c r="E249" s="1"/>
      <c r="F249" s="1"/>
      <c r="G249" s="1489" t="s">
        <v>3386</v>
      </c>
      <c r="H249" s="1" t="s">
        <v>1268</v>
      </c>
      <c r="I249" s="73">
        <v>39450000</v>
      </c>
      <c r="J249" s="1" t="s">
        <v>1506</v>
      </c>
      <c r="K249" s="4" t="s">
        <v>3596</v>
      </c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>
        <v>2318169</v>
      </c>
      <c r="W249" s="73">
        <v>37131831</v>
      </c>
      <c r="X249" s="1864">
        <f t="shared" si="6"/>
        <v>39450000</v>
      </c>
      <c r="Y249" s="23">
        <f t="shared" si="7"/>
        <v>0</v>
      </c>
    </row>
    <row r="250" spans="1:25" x14ac:dyDescent="0.25">
      <c r="A250" s="1"/>
      <c r="B250" s="1"/>
      <c r="C250" s="1"/>
      <c r="D250" s="1"/>
      <c r="E250" s="1"/>
      <c r="F250" s="1"/>
      <c r="G250" s="1489" t="s">
        <v>3388</v>
      </c>
      <c r="H250" s="1" t="s">
        <v>1271</v>
      </c>
      <c r="I250" s="73">
        <v>111539000</v>
      </c>
      <c r="J250" s="1" t="s">
        <v>1506</v>
      </c>
      <c r="K250" s="4" t="s">
        <v>3596</v>
      </c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>
        <v>55679500</v>
      </c>
      <c r="W250" s="73">
        <v>55859500</v>
      </c>
      <c r="X250" s="1864">
        <f t="shared" si="6"/>
        <v>111539000</v>
      </c>
      <c r="Y250" s="23">
        <f t="shared" si="7"/>
        <v>0</v>
      </c>
    </row>
    <row r="251" spans="1:25" ht="90" x14ac:dyDescent="0.25">
      <c r="A251" s="865">
        <v>2</v>
      </c>
      <c r="B251" s="865">
        <v>3</v>
      </c>
      <c r="C251" s="1490" t="s">
        <v>3388</v>
      </c>
      <c r="D251" s="865"/>
      <c r="E251" s="865"/>
      <c r="F251" s="865"/>
      <c r="G251" s="865"/>
      <c r="H251" s="1061" t="s">
        <v>3097</v>
      </c>
      <c r="I251" s="1063">
        <v>11550000</v>
      </c>
      <c r="J251" s="1061" t="s">
        <v>2179</v>
      </c>
      <c r="K251" s="1061" t="s">
        <v>3596</v>
      </c>
      <c r="L251" s="1063"/>
      <c r="M251" s="1063"/>
      <c r="N251" s="1063"/>
      <c r="O251" s="1063"/>
      <c r="P251" s="1063"/>
      <c r="Q251" s="1063"/>
      <c r="R251" s="1063"/>
      <c r="S251" s="1063"/>
      <c r="T251" s="1063"/>
      <c r="U251" s="1063"/>
      <c r="V251" s="1063"/>
      <c r="W251" s="1063"/>
      <c r="X251" s="1866">
        <f t="shared" si="6"/>
        <v>0</v>
      </c>
      <c r="Y251" s="23">
        <f t="shared" si="7"/>
        <v>11550000</v>
      </c>
    </row>
    <row r="252" spans="1:25" x14ac:dyDescent="0.25">
      <c r="A252" s="1"/>
      <c r="B252" s="1"/>
      <c r="C252" s="1"/>
      <c r="D252" s="1">
        <v>5</v>
      </c>
      <c r="E252" s="1">
        <v>3</v>
      </c>
      <c r="F252" s="1"/>
      <c r="G252" s="1"/>
      <c r="H252" s="1" t="s">
        <v>397</v>
      </c>
      <c r="I252" s="73"/>
      <c r="J252" s="4"/>
      <c r="K252" s="4" t="s">
        <v>3596</v>
      </c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1864">
        <f t="shared" si="6"/>
        <v>0</v>
      </c>
      <c r="Y252" s="23">
        <f t="shared" si="7"/>
        <v>0</v>
      </c>
    </row>
    <row r="253" spans="1:25" ht="28.9" customHeight="1" x14ac:dyDescent="0.25">
      <c r="A253" s="1"/>
      <c r="B253" s="1"/>
      <c r="C253" s="1"/>
      <c r="D253" s="1"/>
      <c r="E253" s="1"/>
      <c r="F253" s="1">
        <v>7</v>
      </c>
      <c r="G253" s="1"/>
      <c r="H253" s="1" t="s">
        <v>2978</v>
      </c>
      <c r="I253" s="73"/>
      <c r="J253" s="4"/>
      <c r="K253" s="4" t="s">
        <v>3596</v>
      </c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1864">
        <f t="shared" si="6"/>
        <v>0</v>
      </c>
      <c r="Y253" s="23">
        <f t="shared" si="7"/>
        <v>0</v>
      </c>
    </row>
    <row r="254" spans="1:25" x14ac:dyDescent="0.25">
      <c r="A254" s="1"/>
      <c r="B254" s="1"/>
      <c r="C254" s="1"/>
      <c r="D254" s="1"/>
      <c r="E254" s="1"/>
      <c r="F254" s="1"/>
      <c r="G254" s="1489" t="s">
        <v>3386</v>
      </c>
      <c r="H254" s="1" t="s">
        <v>3102</v>
      </c>
      <c r="I254" s="73">
        <v>11550000</v>
      </c>
      <c r="J254" s="4" t="s">
        <v>2179</v>
      </c>
      <c r="K254" s="4" t="s">
        <v>3596</v>
      </c>
      <c r="L254" s="73"/>
      <c r="M254" s="73"/>
      <c r="N254" s="73"/>
      <c r="O254" s="73">
        <v>3465000</v>
      </c>
      <c r="P254" s="73"/>
      <c r="Q254" s="73"/>
      <c r="R254" s="73">
        <v>3465000</v>
      </c>
      <c r="S254" s="73"/>
      <c r="T254" s="73"/>
      <c r="U254" s="73">
        <v>4620000</v>
      </c>
      <c r="V254" s="73"/>
      <c r="W254" s="73"/>
      <c r="X254" s="1864">
        <f t="shared" si="6"/>
        <v>11550000</v>
      </c>
      <c r="Y254" s="23">
        <f t="shared" si="7"/>
        <v>0</v>
      </c>
    </row>
    <row r="255" spans="1:25" ht="57.6" customHeight="1" x14ac:dyDescent="0.25">
      <c r="A255" s="865">
        <v>2</v>
      </c>
      <c r="B255" s="865">
        <v>4</v>
      </c>
      <c r="C255" s="1490">
        <v>10</v>
      </c>
      <c r="D255" s="865"/>
      <c r="E255" s="865"/>
      <c r="F255" s="865"/>
      <c r="G255" s="865"/>
      <c r="H255" s="1061" t="s">
        <v>3081</v>
      </c>
      <c r="I255" s="1063">
        <f>I258+I259</f>
        <v>379000000</v>
      </c>
      <c r="J255" s="865" t="s">
        <v>1506</v>
      </c>
      <c r="K255" s="1061" t="s">
        <v>3596</v>
      </c>
      <c r="L255" s="1063"/>
      <c r="M255" s="1063"/>
      <c r="N255" s="1063"/>
      <c r="O255" s="1063"/>
      <c r="P255" s="1063"/>
      <c r="Q255" s="1063"/>
      <c r="R255" s="1063"/>
      <c r="S255" s="1063"/>
      <c r="T255" s="1063"/>
      <c r="U255" s="1063"/>
      <c r="V255" s="1063"/>
      <c r="W255" s="1063"/>
      <c r="X255" s="1866">
        <f t="shared" si="6"/>
        <v>0</v>
      </c>
      <c r="Y255" s="23">
        <f t="shared" si="7"/>
        <v>379000000</v>
      </c>
    </row>
    <row r="256" spans="1:25" x14ac:dyDescent="0.25">
      <c r="A256" s="1"/>
      <c r="B256" s="1"/>
      <c r="C256" s="1"/>
      <c r="D256" s="1">
        <v>5</v>
      </c>
      <c r="E256" s="1">
        <v>2</v>
      </c>
      <c r="F256" s="1"/>
      <c r="G256" s="1"/>
      <c r="H256" s="4" t="s">
        <v>277</v>
      </c>
      <c r="I256" s="98"/>
      <c r="J256" s="1"/>
      <c r="K256" s="4" t="s">
        <v>3596</v>
      </c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1864">
        <f t="shared" si="6"/>
        <v>0</v>
      </c>
      <c r="Y256" s="23">
        <f t="shared" si="7"/>
        <v>0</v>
      </c>
    </row>
    <row r="257" spans="1:25" ht="45" x14ac:dyDescent="0.25">
      <c r="A257" s="1"/>
      <c r="B257" s="1"/>
      <c r="C257" s="1"/>
      <c r="D257" s="1"/>
      <c r="E257" s="1"/>
      <c r="F257" s="1">
        <v>7</v>
      </c>
      <c r="G257" s="1"/>
      <c r="H257" s="4" t="s">
        <v>3084</v>
      </c>
      <c r="I257" s="73"/>
      <c r="J257" s="1"/>
      <c r="K257" s="4" t="s">
        <v>3596</v>
      </c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1864">
        <f t="shared" si="6"/>
        <v>0</v>
      </c>
      <c r="Y257" s="23">
        <f t="shared" si="7"/>
        <v>0</v>
      </c>
    </row>
    <row r="258" spans="1:25" ht="57.6" customHeight="1" x14ac:dyDescent="0.25">
      <c r="A258" s="1"/>
      <c r="B258" s="1"/>
      <c r="C258" s="1"/>
      <c r="D258" s="1"/>
      <c r="E258" s="1"/>
      <c r="F258" s="1"/>
      <c r="G258" s="1489" t="s">
        <v>3366</v>
      </c>
      <c r="H258" s="4" t="s">
        <v>3086</v>
      </c>
      <c r="I258" s="73">
        <v>254000000</v>
      </c>
      <c r="J258" s="1" t="s">
        <v>1506</v>
      </c>
      <c r="K258" s="4" t="s">
        <v>3596</v>
      </c>
      <c r="L258" s="73"/>
      <c r="M258" s="73"/>
      <c r="N258" s="73"/>
      <c r="O258" s="73"/>
      <c r="P258" s="73">
        <v>7737148</v>
      </c>
      <c r="Q258" s="73">
        <v>7737148</v>
      </c>
      <c r="R258" s="73">
        <v>7737148</v>
      </c>
      <c r="S258" s="73">
        <v>7737148</v>
      </c>
      <c r="T258" s="73">
        <v>7737148</v>
      </c>
      <c r="U258" s="73">
        <v>137205142.16</v>
      </c>
      <c r="V258" s="73"/>
      <c r="W258" s="73">
        <v>78109117.840000004</v>
      </c>
      <c r="X258" s="1864">
        <f t="shared" si="6"/>
        <v>254000000</v>
      </c>
      <c r="Y258" s="23">
        <f t="shared" si="7"/>
        <v>0</v>
      </c>
    </row>
    <row r="259" spans="1:25" ht="45" x14ac:dyDescent="0.25">
      <c r="A259" s="1"/>
      <c r="B259" s="1"/>
      <c r="C259" s="1"/>
      <c r="D259" s="1"/>
      <c r="E259" s="1"/>
      <c r="F259" s="1"/>
      <c r="G259" s="1489" t="s">
        <v>3388</v>
      </c>
      <c r="H259" s="4" t="s">
        <v>3089</v>
      </c>
      <c r="I259" s="73">
        <v>125000000</v>
      </c>
      <c r="J259" s="1" t="s">
        <v>1506</v>
      </c>
      <c r="K259" s="4" t="s">
        <v>3596</v>
      </c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>
        <v>106437891</v>
      </c>
      <c r="W259" s="73">
        <v>18562109</v>
      </c>
      <c r="X259" s="1864">
        <f t="shared" si="6"/>
        <v>125000000</v>
      </c>
      <c r="Y259" s="23">
        <f t="shared" si="7"/>
        <v>0</v>
      </c>
    </row>
    <row r="260" spans="1:25" ht="30" x14ac:dyDescent="0.25">
      <c r="A260" s="865">
        <v>5</v>
      </c>
      <c r="B260" s="865">
        <v>2</v>
      </c>
      <c r="C260" s="865"/>
      <c r="D260" s="865"/>
      <c r="E260" s="865"/>
      <c r="F260" s="865"/>
      <c r="G260" s="1490"/>
      <c r="H260" s="1061" t="s">
        <v>3421</v>
      </c>
      <c r="I260" s="1063"/>
      <c r="J260" s="865"/>
      <c r="K260" s="1061" t="s">
        <v>3596</v>
      </c>
      <c r="L260" s="1063"/>
      <c r="M260" s="1063"/>
      <c r="N260" s="1063"/>
      <c r="O260" s="1063"/>
      <c r="P260" s="1063"/>
      <c r="Q260" s="1063"/>
      <c r="R260" s="1063"/>
      <c r="S260" s="1063"/>
      <c r="T260" s="1063"/>
      <c r="U260" s="1063"/>
      <c r="V260" s="1063"/>
      <c r="W260" s="1063"/>
      <c r="X260" s="1866">
        <f t="shared" si="6"/>
        <v>0</v>
      </c>
      <c r="Y260" s="23">
        <f t="shared" si="7"/>
        <v>0</v>
      </c>
    </row>
    <row r="261" spans="1:25" ht="28.9" customHeight="1" x14ac:dyDescent="0.25">
      <c r="A261" s="1490" t="s">
        <v>3601</v>
      </c>
      <c r="B261" s="865">
        <v>5</v>
      </c>
      <c r="C261" s="1490" t="s">
        <v>3388</v>
      </c>
      <c r="D261" s="865"/>
      <c r="E261" s="865"/>
      <c r="F261" s="865"/>
      <c r="G261" s="865"/>
      <c r="H261" s="1061" t="s">
        <v>1695</v>
      </c>
      <c r="I261" s="1063">
        <v>50115000</v>
      </c>
      <c r="J261" s="865" t="s">
        <v>1220</v>
      </c>
      <c r="K261" s="1061" t="s">
        <v>3596</v>
      </c>
      <c r="L261" s="1063"/>
      <c r="M261" s="1063"/>
      <c r="N261" s="1063"/>
      <c r="O261" s="1063"/>
      <c r="P261" s="1063"/>
      <c r="Q261" s="1063"/>
      <c r="R261" s="1063"/>
      <c r="S261" s="1063"/>
      <c r="T261" s="1063"/>
      <c r="U261" s="1063"/>
      <c r="V261" s="1063"/>
      <c r="W261" s="1063"/>
      <c r="X261" s="1866">
        <f t="shared" si="6"/>
        <v>0</v>
      </c>
      <c r="Y261" s="23">
        <f t="shared" si="7"/>
        <v>50115000</v>
      </c>
    </row>
    <row r="262" spans="1:25" x14ac:dyDescent="0.25">
      <c r="A262" s="1"/>
      <c r="B262" s="1"/>
      <c r="C262" s="1"/>
      <c r="D262" s="1">
        <v>5</v>
      </c>
      <c r="E262" s="1">
        <v>2</v>
      </c>
      <c r="F262" s="1"/>
      <c r="G262" s="1"/>
      <c r="H262" s="4" t="s">
        <v>462</v>
      </c>
      <c r="I262" s="73"/>
      <c r="J262" s="1"/>
      <c r="K262" s="4" t="s">
        <v>3596</v>
      </c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1864">
        <f t="shared" si="6"/>
        <v>0</v>
      </c>
      <c r="Y262" s="23">
        <f t="shared" si="7"/>
        <v>0</v>
      </c>
    </row>
    <row r="263" spans="1:25" x14ac:dyDescent="0.25">
      <c r="A263" s="1"/>
      <c r="B263" s="1"/>
      <c r="C263" s="1"/>
      <c r="D263" s="1"/>
      <c r="E263" s="1"/>
      <c r="F263" s="1">
        <v>1</v>
      </c>
      <c r="G263" s="1"/>
      <c r="H263" s="4" t="s">
        <v>84</v>
      </c>
      <c r="I263" s="73"/>
      <c r="J263" s="1"/>
      <c r="K263" s="4" t="s">
        <v>3596</v>
      </c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1864">
        <f t="shared" si="6"/>
        <v>0</v>
      </c>
      <c r="Y263" s="23">
        <f t="shared" si="7"/>
        <v>0</v>
      </c>
    </row>
    <row r="264" spans="1:25" ht="30" x14ac:dyDescent="0.25">
      <c r="A264" s="1"/>
      <c r="B264" s="1"/>
      <c r="C264" s="1"/>
      <c r="D264" s="1"/>
      <c r="E264" s="1"/>
      <c r="F264" s="1"/>
      <c r="G264" s="1489" t="s">
        <v>3391</v>
      </c>
      <c r="H264" s="4" t="s">
        <v>307</v>
      </c>
      <c r="I264" s="73">
        <v>26000000</v>
      </c>
      <c r="J264" s="4" t="s">
        <v>1220</v>
      </c>
      <c r="K264" s="4" t="s">
        <v>3596</v>
      </c>
      <c r="L264" s="73"/>
      <c r="M264" s="73"/>
      <c r="N264" s="73"/>
      <c r="O264" s="73">
        <v>26000000</v>
      </c>
      <c r="P264" s="73"/>
      <c r="Q264" s="73"/>
      <c r="R264" s="73"/>
      <c r="S264" s="73"/>
      <c r="T264" s="73"/>
      <c r="U264" s="73"/>
      <c r="V264" s="73"/>
      <c r="W264" s="73"/>
      <c r="X264" s="1864">
        <f t="shared" si="6"/>
        <v>26000000</v>
      </c>
      <c r="Y264" s="23">
        <f t="shared" si="7"/>
        <v>0</v>
      </c>
    </row>
    <row r="265" spans="1:25" ht="28.9" customHeight="1" x14ac:dyDescent="0.25">
      <c r="A265" s="1"/>
      <c r="B265" s="1"/>
      <c r="C265" s="1"/>
      <c r="D265" s="1"/>
      <c r="E265" s="1"/>
      <c r="F265" s="1"/>
      <c r="G265" s="1489" t="s">
        <v>3393</v>
      </c>
      <c r="H265" s="1" t="s">
        <v>325</v>
      </c>
      <c r="I265" s="73">
        <v>90000</v>
      </c>
      <c r="J265" s="4" t="s">
        <v>1220</v>
      </c>
      <c r="K265" s="4" t="s">
        <v>3596</v>
      </c>
      <c r="L265" s="73"/>
      <c r="M265" s="73"/>
      <c r="N265" s="73"/>
      <c r="O265" s="73">
        <v>90000</v>
      </c>
      <c r="P265" s="73"/>
      <c r="Q265" s="73"/>
      <c r="R265" s="73"/>
      <c r="S265" s="73"/>
      <c r="T265" s="73"/>
      <c r="U265" s="73"/>
      <c r="V265" s="73"/>
      <c r="W265" s="73"/>
      <c r="X265" s="1864">
        <f t="shared" si="6"/>
        <v>90000</v>
      </c>
      <c r="Y265" s="23">
        <f t="shared" si="7"/>
        <v>0</v>
      </c>
    </row>
    <row r="266" spans="1:25" ht="43.15" customHeight="1" x14ac:dyDescent="0.25">
      <c r="A266" s="1"/>
      <c r="B266" s="1"/>
      <c r="C266" s="1"/>
      <c r="D266" s="1"/>
      <c r="E266" s="1"/>
      <c r="F266" s="1"/>
      <c r="G266" s="1489" t="s">
        <v>3394</v>
      </c>
      <c r="H266" s="1" t="s">
        <v>421</v>
      </c>
      <c r="I266" s="73">
        <v>75000</v>
      </c>
      <c r="J266" s="4" t="s">
        <v>1220</v>
      </c>
      <c r="K266" s="4" t="s">
        <v>3596</v>
      </c>
      <c r="L266" s="73"/>
      <c r="M266" s="73"/>
      <c r="N266" s="73"/>
      <c r="O266" s="73">
        <v>75000</v>
      </c>
      <c r="P266" s="73"/>
      <c r="Q266" s="73"/>
      <c r="R266" s="73"/>
      <c r="S266" s="73"/>
      <c r="T266" s="73"/>
      <c r="U266" s="73"/>
      <c r="V266" s="73"/>
      <c r="W266" s="73"/>
      <c r="X266" s="1864">
        <f t="shared" si="6"/>
        <v>75000</v>
      </c>
      <c r="Y266" s="23">
        <f t="shared" si="7"/>
        <v>0</v>
      </c>
    </row>
    <row r="267" spans="1:25" ht="28.9" customHeight="1" x14ac:dyDescent="0.25">
      <c r="A267" s="1"/>
      <c r="B267" s="1"/>
      <c r="C267" s="1"/>
      <c r="D267" s="1">
        <v>5</v>
      </c>
      <c r="E267" s="1">
        <v>2</v>
      </c>
      <c r="F267" s="1">
        <v>2</v>
      </c>
      <c r="G267" s="1"/>
      <c r="H267" s="4" t="s">
        <v>294</v>
      </c>
      <c r="I267" s="73"/>
      <c r="J267" s="4"/>
      <c r="K267" s="4" t="s">
        <v>3596</v>
      </c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1864">
        <f t="shared" si="6"/>
        <v>0</v>
      </c>
      <c r="Y267" s="23">
        <f t="shared" si="7"/>
        <v>0</v>
      </c>
    </row>
    <row r="268" spans="1:25" ht="30" x14ac:dyDescent="0.25">
      <c r="A268" s="1"/>
      <c r="B268" s="1"/>
      <c r="C268" s="1"/>
      <c r="D268" s="1"/>
      <c r="E268" s="1"/>
      <c r="F268" s="1"/>
      <c r="G268" s="1489" t="s">
        <v>3366</v>
      </c>
      <c r="H268" s="4" t="s">
        <v>484</v>
      </c>
      <c r="I268" s="73">
        <v>1150000</v>
      </c>
      <c r="J268" s="4" t="s">
        <v>1220</v>
      </c>
      <c r="K268" s="4" t="s">
        <v>3596</v>
      </c>
      <c r="L268" s="73"/>
      <c r="M268" s="73"/>
      <c r="N268" s="73"/>
      <c r="O268" s="73">
        <v>1150000</v>
      </c>
      <c r="P268" s="73"/>
      <c r="Q268" s="73"/>
      <c r="R268" s="73"/>
      <c r="S268" s="73"/>
      <c r="T268" s="73"/>
      <c r="U268" s="73"/>
      <c r="V268" s="73"/>
      <c r="W268" s="73"/>
      <c r="X268" s="1864">
        <f t="shared" si="6"/>
        <v>1150000</v>
      </c>
      <c r="Y268" s="23">
        <f t="shared" si="7"/>
        <v>0</v>
      </c>
    </row>
    <row r="269" spans="1:25" ht="45" x14ac:dyDescent="0.25">
      <c r="A269" s="1"/>
      <c r="B269" s="1"/>
      <c r="C269" s="1"/>
      <c r="D269" s="1"/>
      <c r="E269" s="1"/>
      <c r="F269" s="1"/>
      <c r="G269" s="1489" t="s">
        <v>3389</v>
      </c>
      <c r="H269" s="4" t="s">
        <v>411</v>
      </c>
      <c r="I269" s="73">
        <v>1800000</v>
      </c>
      <c r="J269" s="4" t="s">
        <v>1220</v>
      </c>
      <c r="K269" s="4" t="s">
        <v>3596</v>
      </c>
      <c r="L269" s="73"/>
      <c r="M269" s="73"/>
      <c r="N269" s="73"/>
      <c r="O269" s="73">
        <v>1800000</v>
      </c>
      <c r="P269" s="73"/>
      <c r="Q269" s="73"/>
      <c r="R269" s="73"/>
      <c r="S269" s="73"/>
      <c r="T269" s="73"/>
      <c r="U269" s="73"/>
      <c r="V269" s="73"/>
      <c r="W269" s="73"/>
      <c r="X269" s="1864">
        <f t="shared" si="6"/>
        <v>1800000</v>
      </c>
      <c r="Y269" s="23">
        <f t="shared" si="7"/>
        <v>0</v>
      </c>
    </row>
    <row r="270" spans="1:25" ht="30" x14ac:dyDescent="0.25">
      <c r="A270" s="1"/>
      <c r="B270" s="1"/>
      <c r="C270" s="1"/>
      <c r="D270" s="1"/>
      <c r="E270" s="1"/>
      <c r="F270" s="1"/>
      <c r="G270" s="1489" t="s">
        <v>3390</v>
      </c>
      <c r="H270" s="4" t="s">
        <v>333</v>
      </c>
      <c r="I270" s="73">
        <v>300000</v>
      </c>
      <c r="J270" s="4" t="s">
        <v>1220</v>
      </c>
      <c r="K270" s="4" t="s">
        <v>3596</v>
      </c>
      <c r="L270" s="73"/>
      <c r="M270" s="73"/>
      <c r="N270" s="73"/>
      <c r="O270" s="73">
        <v>300000</v>
      </c>
      <c r="P270" s="73"/>
      <c r="Q270" s="73"/>
      <c r="R270" s="73"/>
      <c r="S270" s="73"/>
      <c r="T270" s="73"/>
      <c r="U270" s="73"/>
      <c r="V270" s="73"/>
      <c r="W270" s="73"/>
      <c r="X270" s="1864">
        <f t="shared" si="6"/>
        <v>300000</v>
      </c>
      <c r="Y270" s="23">
        <f t="shared" si="7"/>
        <v>0</v>
      </c>
    </row>
    <row r="271" spans="1:25" x14ac:dyDescent="0.25">
      <c r="A271" s="1"/>
      <c r="B271" s="1"/>
      <c r="C271" s="1"/>
      <c r="D271" s="1">
        <v>5</v>
      </c>
      <c r="E271" s="1">
        <v>2</v>
      </c>
      <c r="F271" s="1">
        <v>4</v>
      </c>
      <c r="G271" s="1"/>
      <c r="H271" s="1" t="s">
        <v>442</v>
      </c>
      <c r="I271" s="73"/>
      <c r="J271" s="4"/>
      <c r="K271" s="4" t="s">
        <v>3596</v>
      </c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1864">
        <f t="shared" ref="X271:X314" si="8">SUM(L271:W271)</f>
        <v>0</v>
      </c>
      <c r="Y271" s="23">
        <f t="shared" ref="Y271:Y314" si="9">I271-X271</f>
        <v>0</v>
      </c>
    </row>
    <row r="272" spans="1:25" ht="43.15" customHeight="1" x14ac:dyDescent="0.25">
      <c r="A272" s="1"/>
      <c r="B272" s="1"/>
      <c r="C272" s="1"/>
      <c r="D272" s="1"/>
      <c r="E272" s="1"/>
      <c r="F272" s="1"/>
      <c r="G272" s="1489" t="s">
        <v>3366</v>
      </c>
      <c r="H272" s="1" t="s">
        <v>2448</v>
      </c>
      <c r="I272" s="73">
        <v>1000000</v>
      </c>
      <c r="J272" s="4" t="s">
        <v>1220</v>
      </c>
      <c r="K272" s="4" t="s">
        <v>3596</v>
      </c>
      <c r="L272" s="73"/>
      <c r="M272" s="73"/>
      <c r="N272" s="73"/>
      <c r="O272" s="73">
        <v>1000000</v>
      </c>
      <c r="P272" s="73"/>
      <c r="Q272" s="73"/>
      <c r="R272" s="73"/>
      <c r="S272" s="73"/>
      <c r="T272" s="73"/>
      <c r="U272" s="73"/>
      <c r="V272" s="73"/>
      <c r="W272" s="73"/>
      <c r="X272" s="1864">
        <f t="shared" si="8"/>
        <v>1000000</v>
      </c>
      <c r="Y272" s="23">
        <f t="shared" si="9"/>
        <v>0</v>
      </c>
    </row>
    <row r="273" spans="1:25" x14ac:dyDescent="0.25">
      <c r="A273" s="1"/>
      <c r="B273" s="1"/>
      <c r="C273" s="1"/>
      <c r="D273" s="1"/>
      <c r="E273" s="1"/>
      <c r="F273" s="1"/>
      <c r="G273" s="1489" t="s">
        <v>3386</v>
      </c>
      <c r="H273" s="4" t="s">
        <v>2450</v>
      </c>
      <c r="I273" s="73">
        <v>19700000</v>
      </c>
      <c r="J273" s="4" t="s">
        <v>1220</v>
      </c>
      <c r="K273" s="4" t="s">
        <v>3596</v>
      </c>
      <c r="L273" s="73"/>
      <c r="M273" s="73"/>
      <c r="N273" s="73"/>
      <c r="O273" s="73">
        <v>19700000</v>
      </c>
      <c r="P273" s="73"/>
      <c r="Q273" s="73"/>
      <c r="R273" s="73"/>
      <c r="S273" s="73"/>
      <c r="T273" s="73"/>
      <c r="U273" s="73"/>
      <c r="V273" s="73"/>
      <c r="W273" s="73"/>
      <c r="X273" s="1864">
        <f t="shared" si="8"/>
        <v>19700000</v>
      </c>
      <c r="Y273" s="23">
        <f t="shared" si="9"/>
        <v>0</v>
      </c>
    </row>
    <row r="274" spans="1:25" ht="30" x14ac:dyDescent="0.25">
      <c r="A274" s="1868">
        <v>4</v>
      </c>
      <c r="B274" s="1869"/>
      <c r="C274" s="1869"/>
      <c r="D274" s="1869"/>
      <c r="E274" s="1869"/>
      <c r="F274" s="1869"/>
      <c r="G274" s="1869"/>
      <c r="H274" s="1870" t="s">
        <v>3604</v>
      </c>
      <c r="I274" s="1871">
        <f>I275+I287+I298+I309</f>
        <v>411250495</v>
      </c>
      <c r="J274" s="1869"/>
      <c r="K274" s="1870"/>
      <c r="L274" s="1871"/>
      <c r="M274" s="1871"/>
      <c r="N274" s="1871"/>
      <c r="O274" s="1871"/>
      <c r="P274" s="1871"/>
      <c r="Q274" s="1871"/>
      <c r="R274" s="1871"/>
      <c r="S274" s="1871"/>
      <c r="T274" s="1871"/>
      <c r="U274" s="1871"/>
      <c r="V274" s="1871"/>
      <c r="W274" s="1871"/>
      <c r="X274" s="1872">
        <f t="shared" si="8"/>
        <v>0</v>
      </c>
      <c r="Y274" s="23">
        <f t="shared" si="9"/>
        <v>411250495</v>
      </c>
    </row>
    <row r="275" spans="1:25" ht="28.9" customHeight="1" x14ac:dyDescent="0.25">
      <c r="A275" s="865">
        <v>4</v>
      </c>
      <c r="B275" s="865">
        <v>1</v>
      </c>
      <c r="C275" s="1490" t="s">
        <v>3366</v>
      </c>
      <c r="D275" s="865"/>
      <c r="E275" s="865"/>
      <c r="F275" s="865"/>
      <c r="G275" s="865"/>
      <c r="H275" s="1061" t="s">
        <v>2777</v>
      </c>
      <c r="I275" s="1063">
        <v>175300000</v>
      </c>
      <c r="J275" s="1061" t="s">
        <v>2179</v>
      </c>
      <c r="K275" s="1061" t="s">
        <v>3596</v>
      </c>
      <c r="L275" s="1063"/>
      <c r="M275" s="1063"/>
      <c r="N275" s="1063"/>
      <c r="O275" s="1063"/>
      <c r="P275" s="1063"/>
      <c r="Q275" s="1063"/>
      <c r="R275" s="1063"/>
      <c r="S275" s="1063"/>
      <c r="T275" s="1063"/>
      <c r="U275" s="1063"/>
      <c r="V275" s="1063"/>
      <c r="W275" s="1063"/>
      <c r="X275" s="1866">
        <f t="shared" si="8"/>
        <v>0</v>
      </c>
      <c r="Y275" s="23">
        <f t="shared" si="9"/>
        <v>175300000</v>
      </c>
    </row>
    <row r="276" spans="1:25" x14ac:dyDescent="0.25">
      <c r="A276" s="1"/>
      <c r="B276" s="1"/>
      <c r="C276" s="1"/>
      <c r="D276" s="1">
        <v>5</v>
      </c>
      <c r="E276" s="1">
        <v>2</v>
      </c>
      <c r="F276" s="1"/>
      <c r="G276" s="1"/>
      <c r="H276" s="4" t="s">
        <v>462</v>
      </c>
      <c r="I276" s="73"/>
      <c r="J276" s="4"/>
      <c r="K276" s="4" t="s">
        <v>3596</v>
      </c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1864">
        <f t="shared" si="8"/>
        <v>0</v>
      </c>
      <c r="Y276" s="23">
        <f t="shared" si="9"/>
        <v>0</v>
      </c>
    </row>
    <row r="277" spans="1:25" x14ac:dyDescent="0.25">
      <c r="A277" s="1"/>
      <c r="B277" s="1"/>
      <c r="C277" s="1"/>
      <c r="D277" s="1"/>
      <c r="E277" s="1"/>
      <c r="F277" s="1">
        <v>1</v>
      </c>
      <c r="G277" s="1"/>
      <c r="H277" s="4" t="s">
        <v>84</v>
      </c>
      <c r="I277" s="73"/>
      <c r="J277" s="4"/>
      <c r="K277" s="4" t="s">
        <v>3596</v>
      </c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1864">
        <f t="shared" si="8"/>
        <v>0</v>
      </c>
      <c r="Y277" s="23">
        <f t="shared" si="9"/>
        <v>0</v>
      </c>
    </row>
    <row r="278" spans="1:25" ht="30" x14ac:dyDescent="0.25">
      <c r="A278" s="1"/>
      <c r="B278" s="1"/>
      <c r="C278" s="1"/>
      <c r="D278" s="1"/>
      <c r="E278" s="1"/>
      <c r="F278" s="1"/>
      <c r="G278" s="1489" t="s">
        <v>3391</v>
      </c>
      <c r="H278" s="4" t="s">
        <v>307</v>
      </c>
      <c r="I278" s="73">
        <v>400000</v>
      </c>
      <c r="J278" s="4" t="s">
        <v>2179</v>
      </c>
      <c r="K278" s="4" t="s">
        <v>3596</v>
      </c>
      <c r="L278" s="73"/>
      <c r="M278" s="73"/>
      <c r="N278" s="73"/>
      <c r="O278" s="73">
        <v>400000</v>
      </c>
      <c r="P278" s="73"/>
      <c r="Q278" s="73"/>
      <c r="R278" s="73"/>
      <c r="S278" s="73"/>
      <c r="T278" s="73"/>
      <c r="U278" s="73"/>
      <c r="V278" s="73"/>
      <c r="W278" s="73"/>
      <c r="X278" s="1864">
        <f t="shared" si="8"/>
        <v>400000</v>
      </c>
      <c r="Y278" s="23">
        <f t="shared" si="9"/>
        <v>0</v>
      </c>
    </row>
    <row r="279" spans="1:25" ht="28.9" customHeight="1" x14ac:dyDescent="0.25">
      <c r="A279" s="1"/>
      <c r="B279" s="1"/>
      <c r="C279" s="1"/>
      <c r="D279" s="1"/>
      <c r="E279" s="1"/>
      <c r="F279" s="1"/>
      <c r="G279" s="1489" t="s">
        <v>3393</v>
      </c>
      <c r="H279" s="4" t="s">
        <v>325</v>
      </c>
      <c r="I279" s="73">
        <v>90000</v>
      </c>
      <c r="J279" s="4" t="s">
        <v>2179</v>
      </c>
      <c r="K279" s="4" t="s">
        <v>3596</v>
      </c>
      <c r="L279" s="73"/>
      <c r="M279" s="73"/>
      <c r="N279" s="73"/>
      <c r="O279" s="73">
        <v>90000</v>
      </c>
      <c r="P279" s="73"/>
      <c r="Q279" s="73"/>
      <c r="R279" s="73"/>
      <c r="S279" s="73"/>
      <c r="T279" s="73"/>
      <c r="U279" s="73"/>
      <c r="V279" s="73"/>
      <c r="W279" s="73"/>
      <c r="X279" s="1864">
        <f t="shared" si="8"/>
        <v>90000</v>
      </c>
      <c r="Y279" s="23">
        <f t="shared" si="9"/>
        <v>0</v>
      </c>
    </row>
    <row r="280" spans="1:25" ht="43.15" customHeight="1" x14ac:dyDescent="0.25">
      <c r="A280" s="1"/>
      <c r="B280" s="1"/>
      <c r="C280" s="1"/>
      <c r="D280" s="1"/>
      <c r="E280" s="1"/>
      <c r="F280" s="1"/>
      <c r="G280" s="1">
        <v>90</v>
      </c>
      <c r="H280" s="4" t="s">
        <v>421</v>
      </c>
      <c r="I280" s="73">
        <v>75000</v>
      </c>
      <c r="J280" s="4" t="s">
        <v>2179</v>
      </c>
      <c r="K280" s="4" t="s">
        <v>3596</v>
      </c>
      <c r="L280" s="73"/>
      <c r="M280" s="73"/>
      <c r="N280" s="73"/>
      <c r="O280" s="73">
        <v>75000</v>
      </c>
      <c r="P280" s="73"/>
      <c r="Q280" s="73"/>
      <c r="R280" s="73"/>
      <c r="S280" s="73"/>
      <c r="T280" s="73"/>
      <c r="U280" s="73"/>
      <c r="V280" s="73"/>
      <c r="W280" s="73"/>
      <c r="X280" s="1864">
        <f t="shared" si="8"/>
        <v>75000</v>
      </c>
      <c r="Y280" s="23">
        <f t="shared" si="9"/>
        <v>0</v>
      </c>
    </row>
    <row r="281" spans="1:25" ht="28.9" customHeight="1" x14ac:dyDescent="0.25">
      <c r="A281" s="1"/>
      <c r="B281" s="1"/>
      <c r="C281" s="1"/>
      <c r="D281" s="1">
        <v>5</v>
      </c>
      <c r="E281" s="1">
        <v>2</v>
      </c>
      <c r="F281" s="1">
        <v>2</v>
      </c>
      <c r="G281" s="1"/>
      <c r="H281" s="4" t="s">
        <v>294</v>
      </c>
      <c r="I281" s="73"/>
      <c r="J281" s="4"/>
      <c r="K281" s="4" t="s">
        <v>3596</v>
      </c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1864">
        <f t="shared" si="8"/>
        <v>0</v>
      </c>
      <c r="Y281" s="23">
        <f t="shared" si="9"/>
        <v>0</v>
      </c>
    </row>
    <row r="282" spans="1:25" ht="30" x14ac:dyDescent="0.25">
      <c r="A282" s="1"/>
      <c r="B282" s="1"/>
      <c r="C282" s="1"/>
      <c r="D282" s="1"/>
      <c r="E282" s="1"/>
      <c r="F282" s="1"/>
      <c r="G282" s="1489" t="s">
        <v>3366</v>
      </c>
      <c r="H282" s="4" t="s">
        <v>484</v>
      </c>
      <c r="I282" s="73">
        <v>1150000</v>
      </c>
      <c r="J282" s="4" t="s">
        <v>2179</v>
      </c>
      <c r="K282" s="4" t="s">
        <v>3596</v>
      </c>
      <c r="L282" s="73"/>
      <c r="M282" s="73"/>
      <c r="N282" s="73"/>
      <c r="O282" s="73">
        <v>1150000</v>
      </c>
      <c r="P282" s="73"/>
      <c r="Q282" s="73"/>
      <c r="R282" s="73"/>
      <c r="S282" s="73"/>
      <c r="T282" s="73"/>
      <c r="U282" s="73"/>
      <c r="V282" s="73"/>
      <c r="W282" s="73"/>
      <c r="X282" s="1864">
        <f t="shared" si="8"/>
        <v>1150000</v>
      </c>
      <c r="Y282" s="23">
        <f t="shared" si="9"/>
        <v>0</v>
      </c>
    </row>
    <row r="283" spans="1:25" ht="45" x14ac:dyDescent="0.25">
      <c r="A283" s="1"/>
      <c r="B283" s="1"/>
      <c r="C283" s="1"/>
      <c r="D283" s="1"/>
      <c r="E283" s="1"/>
      <c r="F283" s="1"/>
      <c r="G283" s="1489" t="s">
        <v>3389</v>
      </c>
      <c r="H283" s="4" t="s">
        <v>411</v>
      </c>
      <c r="I283" s="73">
        <v>600000</v>
      </c>
      <c r="J283" s="4" t="s">
        <v>2179</v>
      </c>
      <c r="K283" s="4" t="s">
        <v>3596</v>
      </c>
      <c r="L283" s="73"/>
      <c r="M283" s="73"/>
      <c r="N283" s="73"/>
      <c r="O283" s="73">
        <v>600000</v>
      </c>
      <c r="P283" s="73"/>
      <c r="Q283" s="73"/>
      <c r="R283" s="73"/>
      <c r="S283" s="73"/>
      <c r="T283" s="73"/>
      <c r="U283" s="73"/>
      <c r="V283" s="73"/>
      <c r="W283" s="73"/>
      <c r="X283" s="1864">
        <f t="shared" si="8"/>
        <v>600000</v>
      </c>
      <c r="Y283" s="23">
        <f t="shared" si="9"/>
        <v>0</v>
      </c>
    </row>
    <row r="284" spans="1:25" ht="43.15" customHeight="1" x14ac:dyDescent="0.25">
      <c r="A284" s="1"/>
      <c r="B284" s="1"/>
      <c r="C284" s="1"/>
      <c r="D284" s="1">
        <v>5</v>
      </c>
      <c r="E284" s="1">
        <v>2</v>
      </c>
      <c r="F284" s="1">
        <v>7</v>
      </c>
      <c r="G284" s="1"/>
      <c r="H284" s="4" t="s">
        <v>486</v>
      </c>
      <c r="I284" s="73"/>
      <c r="J284" s="4"/>
      <c r="K284" s="4" t="s">
        <v>3596</v>
      </c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1864">
        <f t="shared" si="8"/>
        <v>0</v>
      </c>
      <c r="Y284" s="23">
        <f t="shared" si="9"/>
        <v>0</v>
      </c>
    </row>
    <row r="285" spans="1:25" ht="30" x14ac:dyDescent="0.25">
      <c r="A285" s="1"/>
      <c r="B285" s="1"/>
      <c r="C285" s="1"/>
      <c r="D285" s="1"/>
      <c r="E285" s="1"/>
      <c r="F285" s="1"/>
      <c r="G285" s="1489" t="s">
        <v>3366</v>
      </c>
      <c r="H285" s="4" t="s">
        <v>2789</v>
      </c>
      <c r="I285" s="73">
        <v>172985000</v>
      </c>
      <c r="J285" s="4" t="s">
        <v>2179</v>
      </c>
      <c r="K285" s="4" t="s">
        <v>3596</v>
      </c>
      <c r="L285" s="73"/>
      <c r="M285" s="73"/>
      <c r="N285" s="73"/>
      <c r="O285" s="73">
        <v>172985000</v>
      </c>
      <c r="P285" s="73"/>
      <c r="Q285" s="73"/>
      <c r="R285" s="73"/>
      <c r="S285" s="73"/>
      <c r="T285" s="73"/>
      <c r="U285" s="73"/>
      <c r="V285" s="73"/>
      <c r="W285" s="73"/>
      <c r="X285" s="1864">
        <f t="shared" si="8"/>
        <v>172985000</v>
      </c>
      <c r="Y285" s="23">
        <f t="shared" si="9"/>
        <v>0</v>
      </c>
    </row>
    <row r="286" spans="1:25" x14ac:dyDescent="0.25">
      <c r="A286" s="865">
        <v>4</v>
      </c>
      <c r="B286" s="865">
        <v>2</v>
      </c>
      <c r="C286" s="865"/>
      <c r="D286" s="865"/>
      <c r="E286" s="865"/>
      <c r="F286" s="865"/>
      <c r="G286" s="1490"/>
      <c r="H286" s="1061" t="s">
        <v>3426</v>
      </c>
      <c r="I286" s="1063"/>
      <c r="J286" s="1061"/>
      <c r="K286" s="1061" t="s">
        <v>3596</v>
      </c>
      <c r="L286" s="1063"/>
      <c r="M286" s="1063"/>
      <c r="N286" s="1063"/>
      <c r="O286" s="1063"/>
      <c r="P286" s="1063"/>
      <c r="Q286" s="1063"/>
      <c r="R286" s="1063"/>
      <c r="S286" s="1063"/>
      <c r="T286" s="1063"/>
      <c r="U286" s="1063"/>
      <c r="V286" s="1063"/>
      <c r="W286" s="1063"/>
      <c r="X286" s="1866">
        <f t="shared" si="8"/>
        <v>0</v>
      </c>
      <c r="Y286" s="23">
        <f t="shared" si="9"/>
        <v>0</v>
      </c>
    </row>
    <row r="287" spans="1:25" ht="28.9" customHeight="1" x14ac:dyDescent="0.25">
      <c r="A287" s="865">
        <v>4</v>
      </c>
      <c r="B287" s="865">
        <v>2</v>
      </c>
      <c r="C287" s="1490" t="s">
        <v>3366</v>
      </c>
      <c r="D287" s="865"/>
      <c r="E287" s="865"/>
      <c r="F287" s="865"/>
      <c r="G287" s="865"/>
      <c r="H287" s="1061" t="s">
        <v>2764</v>
      </c>
      <c r="I287" s="1063">
        <v>32421000</v>
      </c>
      <c r="J287" s="1061" t="s">
        <v>1410</v>
      </c>
      <c r="K287" s="1061" t="s">
        <v>3596</v>
      </c>
      <c r="L287" s="1063"/>
      <c r="M287" s="1063"/>
      <c r="N287" s="1063"/>
      <c r="O287" s="1063"/>
      <c r="P287" s="1063"/>
      <c r="Q287" s="1063"/>
      <c r="R287" s="1063"/>
      <c r="S287" s="1063"/>
      <c r="T287" s="1063"/>
      <c r="U287" s="1063"/>
      <c r="V287" s="1063"/>
      <c r="W287" s="1063"/>
      <c r="X287" s="1866">
        <f t="shared" si="8"/>
        <v>0</v>
      </c>
      <c r="Y287" s="23">
        <f t="shared" si="9"/>
        <v>32421000</v>
      </c>
    </row>
    <row r="288" spans="1:25" x14ac:dyDescent="0.25">
      <c r="A288" s="1"/>
      <c r="B288" s="1"/>
      <c r="C288" s="1"/>
      <c r="D288" s="1">
        <v>5</v>
      </c>
      <c r="E288" s="1">
        <v>2</v>
      </c>
      <c r="F288" s="1"/>
      <c r="G288" s="1"/>
      <c r="H288" s="4" t="s">
        <v>462</v>
      </c>
      <c r="I288" s="73"/>
      <c r="J288" s="4"/>
      <c r="K288" s="4" t="s">
        <v>3596</v>
      </c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1864">
        <f t="shared" si="8"/>
        <v>0</v>
      </c>
      <c r="Y288" s="23">
        <f t="shared" si="9"/>
        <v>0</v>
      </c>
    </row>
    <row r="289" spans="1:25" x14ac:dyDescent="0.25">
      <c r="A289" s="1"/>
      <c r="B289" s="1"/>
      <c r="C289" s="1"/>
      <c r="D289" s="1"/>
      <c r="E289" s="1"/>
      <c r="F289" s="1">
        <v>1</v>
      </c>
      <c r="G289" s="1"/>
      <c r="H289" s="4" t="s">
        <v>84</v>
      </c>
      <c r="I289" s="73"/>
      <c r="J289" s="4"/>
      <c r="K289" s="4" t="s">
        <v>3596</v>
      </c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1864">
        <f t="shared" si="8"/>
        <v>0</v>
      </c>
      <c r="Y289" s="23">
        <f t="shared" si="9"/>
        <v>0</v>
      </c>
    </row>
    <row r="290" spans="1:25" ht="30" x14ac:dyDescent="0.25">
      <c r="A290" s="1"/>
      <c r="B290" s="1"/>
      <c r="C290" s="1"/>
      <c r="D290" s="1"/>
      <c r="E290" s="1"/>
      <c r="F290" s="1"/>
      <c r="G290" s="1489" t="s">
        <v>3391</v>
      </c>
      <c r="H290" s="4" t="s">
        <v>307</v>
      </c>
      <c r="I290" s="73">
        <v>200000</v>
      </c>
      <c r="J290" s="4" t="s">
        <v>1410</v>
      </c>
      <c r="K290" s="4" t="s">
        <v>3596</v>
      </c>
      <c r="L290" s="73"/>
      <c r="M290" s="73"/>
      <c r="N290" s="73"/>
      <c r="O290" s="73"/>
      <c r="P290" s="73"/>
      <c r="Q290" s="73"/>
      <c r="R290" s="73">
        <v>200000</v>
      </c>
      <c r="S290" s="73"/>
      <c r="T290" s="73"/>
      <c r="U290" s="73"/>
      <c r="V290" s="73"/>
      <c r="W290" s="73"/>
      <c r="X290" s="1864">
        <f t="shared" si="8"/>
        <v>200000</v>
      </c>
      <c r="Y290" s="23">
        <f t="shared" si="9"/>
        <v>0</v>
      </c>
    </row>
    <row r="291" spans="1:25" ht="28.9" customHeight="1" x14ac:dyDescent="0.25">
      <c r="A291" s="1"/>
      <c r="B291" s="1"/>
      <c r="C291" s="1"/>
      <c r="D291" s="1"/>
      <c r="E291" s="1"/>
      <c r="F291" s="1"/>
      <c r="G291" s="1489" t="s">
        <v>3393</v>
      </c>
      <c r="H291" s="1536" t="s">
        <v>325</v>
      </c>
      <c r="I291" s="73">
        <v>90000</v>
      </c>
      <c r="J291" s="4" t="s">
        <v>1410</v>
      </c>
      <c r="K291" s="4" t="s">
        <v>3596</v>
      </c>
      <c r="L291" s="73"/>
      <c r="M291" s="73"/>
      <c r="N291" s="73"/>
      <c r="O291" s="73"/>
      <c r="P291" s="73"/>
      <c r="Q291" s="73"/>
      <c r="R291" s="73">
        <v>90000</v>
      </c>
      <c r="S291" s="73"/>
      <c r="T291" s="73"/>
      <c r="U291" s="73"/>
      <c r="V291" s="73"/>
      <c r="W291" s="73"/>
      <c r="X291" s="1864">
        <f t="shared" si="8"/>
        <v>90000</v>
      </c>
      <c r="Y291" s="23">
        <f t="shared" si="9"/>
        <v>0</v>
      </c>
    </row>
    <row r="292" spans="1:25" ht="43.15" customHeight="1" x14ac:dyDescent="0.25">
      <c r="A292" s="1"/>
      <c r="B292" s="1"/>
      <c r="C292" s="1"/>
      <c r="D292" s="1"/>
      <c r="E292" s="1"/>
      <c r="F292" s="1"/>
      <c r="G292" s="1">
        <v>90</v>
      </c>
      <c r="H292" s="4" t="s">
        <v>421</v>
      </c>
      <c r="I292" s="73">
        <v>75000</v>
      </c>
      <c r="J292" s="4" t="s">
        <v>1410</v>
      </c>
      <c r="K292" s="4" t="s">
        <v>3596</v>
      </c>
      <c r="L292" s="73"/>
      <c r="M292" s="73"/>
      <c r="N292" s="73"/>
      <c r="O292" s="73"/>
      <c r="P292" s="73"/>
      <c r="Q292" s="73"/>
      <c r="R292" s="73">
        <v>75000</v>
      </c>
      <c r="S292" s="73"/>
      <c r="T292" s="73"/>
      <c r="U292" s="73"/>
      <c r="V292" s="73"/>
      <c r="W292" s="73"/>
      <c r="X292" s="1864">
        <f t="shared" si="8"/>
        <v>75000</v>
      </c>
      <c r="Y292" s="23">
        <f t="shared" si="9"/>
        <v>0</v>
      </c>
    </row>
    <row r="293" spans="1:25" ht="28.9" customHeight="1" x14ac:dyDescent="0.25">
      <c r="A293" s="1"/>
      <c r="B293" s="1"/>
      <c r="C293" s="1"/>
      <c r="D293" s="1">
        <v>5</v>
      </c>
      <c r="E293" s="1">
        <v>2</v>
      </c>
      <c r="F293" s="1">
        <v>2</v>
      </c>
      <c r="G293" s="1"/>
      <c r="H293" s="1" t="s">
        <v>294</v>
      </c>
      <c r="I293" s="73"/>
      <c r="J293" s="4"/>
      <c r="K293" s="4" t="s">
        <v>3596</v>
      </c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1864">
        <f t="shared" si="8"/>
        <v>0</v>
      </c>
      <c r="Y293" s="23">
        <f t="shared" si="9"/>
        <v>0</v>
      </c>
    </row>
    <row r="294" spans="1:25" ht="30" x14ac:dyDescent="0.25">
      <c r="A294" s="1"/>
      <c r="B294" s="1"/>
      <c r="C294" s="1"/>
      <c r="D294" s="1"/>
      <c r="E294" s="1"/>
      <c r="F294" s="1"/>
      <c r="G294" s="1489" t="s">
        <v>3366</v>
      </c>
      <c r="H294" s="4" t="s">
        <v>484</v>
      </c>
      <c r="I294" s="73">
        <v>1150000</v>
      </c>
      <c r="J294" s="4" t="s">
        <v>1410</v>
      </c>
      <c r="K294" s="4" t="s">
        <v>3596</v>
      </c>
      <c r="L294" s="73"/>
      <c r="M294" s="73"/>
      <c r="N294" s="73"/>
      <c r="O294" s="73"/>
      <c r="P294" s="73"/>
      <c r="Q294" s="73"/>
      <c r="R294" s="73">
        <v>1150000</v>
      </c>
      <c r="S294" s="73"/>
      <c r="T294" s="73"/>
      <c r="U294" s="73"/>
      <c r="V294" s="73"/>
      <c r="W294" s="73"/>
      <c r="X294" s="1864">
        <f t="shared" si="8"/>
        <v>1150000</v>
      </c>
      <c r="Y294" s="23">
        <f t="shared" si="9"/>
        <v>0</v>
      </c>
    </row>
    <row r="295" spans="1:25" ht="43.15" customHeight="1" x14ac:dyDescent="0.25">
      <c r="A295" s="1"/>
      <c r="B295" s="1"/>
      <c r="C295" s="1"/>
      <c r="D295" s="1"/>
      <c r="E295" s="1"/>
      <c r="F295" s="1"/>
      <c r="G295" s="1489" t="s">
        <v>3389</v>
      </c>
      <c r="H295" s="4" t="s">
        <v>411</v>
      </c>
      <c r="I295" s="73">
        <v>600000</v>
      </c>
      <c r="J295" s="4" t="s">
        <v>1410</v>
      </c>
      <c r="K295" s="4" t="s">
        <v>3596</v>
      </c>
      <c r="L295" s="73"/>
      <c r="M295" s="73"/>
      <c r="N295" s="73"/>
      <c r="O295" s="73"/>
      <c r="P295" s="73"/>
      <c r="Q295" s="73"/>
      <c r="R295" s="73">
        <v>600000</v>
      </c>
      <c r="S295" s="73"/>
      <c r="T295" s="73"/>
      <c r="U295" s="73"/>
      <c r="V295" s="73"/>
      <c r="W295" s="73"/>
      <c r="X295" s="1864">
        <f t="shared" si="8"/>
        <v>600000</v>
      </c>
      <c r="Y295" s="23">
        <f t="shared" si="9"/>
        <v>0</v>
      </c>
    </row>
    <row r="296" spans="1:25" ht="45" x14ac:dyDescent="0.25">
      <c r="A296" s="1"/>
      <c r="B296" s="1"/>
      <c r="C296" s="1"/>
      <c r="D296" s="1">
        <v>5</v>
      </c>
      <c r="E296" s="1">
        <v>2</v>
      </c>
      <c r="F296" s="1">
        <v>7</v>
      </c>
      <c r="G296" s="1"/>
      <c r="H296" s="4" t="s">
        <v>486</v>
      </c>
      <c r="I296" s="73"/>
      <c r="J296" s="4"/>
      <c r="K296" s="4" t="s">
        <v>3596</v>
      </c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1864">
        <f t="shared" si="8"/>
        <v>0</v>
      </c>
      <c r="Y296" s="23">
        <f t="shared" si="9"/>
        <v>0</v>
      </c>
    </row>
    <row r="297" spans="1:25" ht="45" x14ac:dyDescent="0.25">
      <c r="A297" s="1"/>
      <c r="B297" s="1"/>
      <c r="C297" s="1"/>
      <c r="D297" s="1"/>
      <c r="E297" s="1"/>
      <c r="F297" s="1"/>
      <c r="G297" s="1489" t="s">
        <v>3366</v>
      </c>
      <c r="H297" s="4" t="s">
        <v>487</v>
      </c>
      <c r="I297" s="73">
        <v>30306000</v>
      </c>
      <c r="J297" s="4" t="s">
        <v>1410</v>
      </c>
      <c r="K297" s="4" t="s">
        <v>3596</v>
      </c>
      <c r="L297" s="73"/>
      <c r="M297" s="73"/>
      <c r="N297" s="73"/>
      <c r="O297" s="73"/>
      <c r="P297" s="73"/>
      <c r="Q297" s="73"/>
      <c r="R297" s="73">
        <v>30306000</v>
      </c>
      <c r="S297" s="73"/>
      <c r="T297" s="73"/>
      <c r="U297" s="73"/>
      <c r="V297" s="73"/>
      <c r="W297" s="73"/>
      <c r="X297" s="1864">
        <f t="shared" si="8"/>
        <v>30306000</v>
      </c>
      <c r="Y297" s="23">
        <f t="shared" si="9"/>
        <v>0</v>
      </c>
    </row>
    <row r="298" spans="1:25" ht="60" x14ac:dyDescent="0.25">
      <c r="A298" s="865">
        <v>4</v>
      </c>
      <c r="B298" s="865">
        <v>2</v>
      </c>
      <c r="C298" s="1490" t="s">
        <v>3388</v>
      </c>
      <c r="D298" s="865"/>
      <c r="E298" s="865"/>
      <c r="F298" s="865"/>
      <c r="G298" s="865"/>
      <c r="H298" s="1061" t="s">
        <v>2801</v>
      </c>
      <c r="I298" s="1063">
        <v>28606000</v>
      </c>
      <c r="J298" s="1414" t="s">
        <v>1410</v>
      </c>
      <c r="K298" s="1061" t="s">
        <v>3596</v>
      </c>
      <c r="L298" s="1063"/>
      <c r="M298" s="1063"/>
      <c r="N298" s="1063"/>
      <c r="O298" s="1063"/>
      <c r="P298" s="1063"/>
      <c r="Q298" s="1063"/>
      <c r="R298" s="1063"/>
      <c r="S298" s="1063"/>
      <c r="T298" s="1063"/>
      <c r="U298" s="1063"/>
      <c r="V298" s="1063"/>
      <c r="W298" s="1063"/>
      <c r="X298" s="1866">
        <f t="shared" si="8"/>
        <v>0</v>
      </c>
      <c r="Y298" s="23">
        <f t="shared" si="9"/>
        <v>28606000</v>
      </c>
    </row>
    <row r="299" spans="1:25" x14ac:dyDescent="0.25">
      <c r="A299" s="1"/>
      <c r="B299" s="1"/>
      <c r="C299" s="1"/>
      <c r="D299" s="1">
        <v>5</v>
      </c>
      <c r="E299" s="1">
        <v>2</v>
      </c>
      <c r="F299" s="1"/>
      <c r="G299" s="1"/>
      <c r="H299" s="4" t="s">
        <v>462</v>
      </c>
      <c r="I299" s="73"/>
      <c r="J299" s="1"/>
      <c r="K299" s="4" t="s">
        <v>3596</v>
      </c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1864">
        <f t="shared" si="8"/>
        <v>0</v>
      </c>
      <c r="Y299" s="23">
        <f t="shared" si="9"/>
        <v>0</v>
      </c>
    </row>
    <row r="300" spans="1:25" x14ac:dyDescent="0.25">
      <c r="A300" s="1"/>
      <c r="B300" s="1"/>
      <c r="C300" s="1"/>
      <c r="D300" s="1"/>
      <c r="E300" s="1"/>
      <c r="F300" s="1">
        <v>1</v>
      </c>
      <c r="G300" s="1"/>
      <c r="H300" s="4" t="s">
        <v>84</v>
      </c>
      <c r="I300" s="73"/>
      <c r="J300" s="1"/>
      <c r="K300" s="4" t="s">
        <v>3596</v>
      </c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1864">
        <f t="shared" si="8"/>
        <v>0</v>
      </c>
      <c r="Y300" s="23">
        <f t="shared" si="9"/>
        <v>0</v>
      </c>
    </row>
    <row r="301" spans="1:25" ht="30" x14ac:dyDescent="0.25">
      <c r="A301" s="1"/>
      <c r="B301" s="1"/>
      <c r="C301" s="1"/>
      <c r="D301" s="1"/>
      <c r="E301" s="1"/>
      <c r="F301" s="1"/>
      <c r="G301" s="1489" t="s">
        <v>3391</v>
      </c>
      <c r="H301" s="4" t="s">
        <v>307</v>
      </c>
      <c r="I301" s="73">
        <v>700000</v>
      </c>
      <c r="J301" s="1" t="s">
        <v>1410</v>
      </c>
      <c r="K301" s="4" t="s">
        <v>3596</v>
      </c>
      <c r="L301" s="73"/>
      <c r="M301" s="73"/>
      <c r="N301" s="73"/>
      <c r="O301" s="73"/>
      <c r="P301" s="73"/>
      <c r="Q301" s="73"/>
      <c r="R301" s="73"/>
      <c r="S301" s="73">
        <v>700000</v>
      </c>
      <c r="T301" s="73"/>
      <c r="U301" s="73"/>
      <c r="V301" s="73"/>
      <c r="W301" s="73"/>
      <c r="X301" s="1864">
        <f t="shared" si="8"/>
        <v>700000</v>
      </c>
      <c r="Y301" s="23">
        <f t="shared" si="9"/>
        <v>0</v>
      </c>
    </row>
    <row r="302" spans="1:25" ht="28.9" customHeight="1" x14ac:dyDescent="0.25">
      <c r="A302" s="1"/>
      <c r="B302" s="1"/>
      <c r="C302" s="1"/>
      <c r="D302" s="1"/>
      <c r="E302" s="1"/>
      <c r="F302" s="1"/>
      <c r="G302" s="1489" t="s">
        <v>3393</v>
      </c>
      <c r="H302" s="4" t="s">
        <v>325</v>
      </c>
      <c r="I302" s="73">
        <v>90000</v>
      </c>
      <c r="J302" s="1" t="s">
        <v>1410</v>
      </c>
      <c r="K302" s="4" t="s">
        <v>3596</v>
      </c>
      <c r="L302" s="73"/>
      <c r="M302" s="73"/>
      <c r="N302" s="73"/>
      <c r="O302" s="73"/>
      <c r="P302" s="73"/>
      <c r="Q302" s="73"/>
      <c r="R302" s="73"/>
      <c r="S302" s="73">
        <v>90000</v>
      </c>
      <c r="T302" s="73"/>
      <c r="U302" s="73"/>
      <c r="V302" s="73"/>
      <c r="W302" s="73"/>
      <c r="X302" s="1864">
        <f t="shared" si="8"/>
        <v>90000</v>
      </c>
      <c r="Y302" s="23">
        <f t="shared" si="9"/>
        <v>0</v>
      </c>
    </row>
    <row r="303" spans="1:25" ht="28.9" customHeight="1" x14ac:dyDescent="0.25">
      <c r="A303" s="1"/>
      <c r="B303" s="1"/>
      <c r="C303" s="1"/>
      <c r="D303" s="1"/>
      <c r="E303" s="1"/>
      <c r="F303" s="1"/>
      <c r="G303" s="1">
        <v>90</v>
      </c>
      <c r="H303" s="1" t="s">
        <v>483</v>
      </c>
      <c r="I303" s="73">
        <v>65000</v>
      </c>
      <c r="J303" s="1" t="s">
        <v>1410</v>
      </c>
      <c r="K303" s="4" t="s">
        <v>3596</v>
      </c>
      <c r="L303" s="73"/>
      <c r="M303" s="73"/>
      <c r="N303" s="73"/>
      <c r="O303" s="73"/>
      <c r="P303" s="73"/>
      <c r="Q303" s="73"/>
      <c r="R303" s="73"/>
      <c r="S303" s="73">
        <v>65000</v>
      </c>
      <c r="T303" s="73"/>
      <c r="U303" s="73"/>
      <c r="V303" s="73"/>
      <c r="W303" s="73"/>
      <c r="X303" s="1864">
        <f t="shared" si="8"/>
        <v>65000</v>
      </c>
      <c r="Y303" s="23">
        <f t="shared" si="9"/>
        <v>0</v>
      </c>
    </row>
    <row r="304" spans="1:25" ht="28.9" customHeight="1" x14ac:dyDescent="0.25">
      <c r="A304" s="1"/>
      <c r="B304" s="1"/>
      <c r="C304" s="1"/>
      <c r="D304" s="1">
        <v>5</v>
      </c>
      <c r="E304" s="1">
        <v>2</v>
      </c>
      <c r="F304" s="1">
        <v>2</v>
      </c>
      <c r="G304" s="1"/>
      <c r="H304" s="4" t="s">
        <v>294</v>
      </c>
      <c r="I304" s="73"/>
      <c r="J304" s="1"/>
      <c r="K304" s="4" t="s">
        <v>3596</v>
      </c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1864">
        <f t="shared" si="8"/>
        <v>0</v>
      </c>
      <c r="Y304" s="23">
        <f t="shared" si="9"/>
        <v>0</v>
      </c>
    </row>
    <row r="305" spans="1:25" ht="28.9" customHeight="1" x14ac:dyDescent="0.25">
      <c r="A305" s="1"/>
      <c r="B305" s="1"/>
      <c r="C305" s="1"/>
      <c r="D305" s="1"/>
      <c r="E305" s="1"/>
      <c r="F305" s="1"/>
      <c r="G305" s="1489" t="s">
        <v>3366</v>
      </c>
      <c r="H305" s="4" t="s">
        <v>484</v>
      </c>
      <c r="I305" s="98">
        <v>1150000</v>
      </c>
      <c r="J305" s="1" t="s">
        <v>1410</v>
      </c>
      <c r="K305" s="4" t="s">
        <v>3596</v>
      </c>
      <c r="L305" s="73"/>
      <c r="M305" s="73"/>
      <c r="N305" s="73"/>
      <c r="O305" s="73"/>
      <c r="P305" s="73"/>
      <c r="Q305" s="73"/>
      <c r="R305" s="73"/>
      <c r="S305" s="73">
        <v>1150000</v>
      </c>
      <c r="T305" s="73"/>
      <c r="U305" s="73"/>
      <c r="V305" s="73"/>
      <c r="W305" s="73"/>
      <c r="X305" s="1864">
        <f t="shared" si="8"/>
        <v>1150000</v>
      </c>
      <c r="Y305" s="23">
        <f t="shared" si="9"/>
        <v>0</v>
      </c>
    </row>
    <row r="306" spans="1:25" ht="28.9" customHeight="1" x14ac:dyDescent="0.25">
      <c r="A306" s="1"/>
      <c r="B306" s="1"/>
      <c r="C306" s="1"/>
      <c r="D306" s="1"/>
      <c r="E306" s="1"/>
      <c r="F306" s="1"/>
      <c r="G306" s="1489" t="s">
        <v>3389</v>
      </c>
      <c r="H306" s="4" t="s">
        <v>1649</v>
      </c>
      <c r="I306" s="73">
        <v>600000</v>
      </c>
      <c r="J306" s="1" t="s">
        <v>1410</v>
      </c>
      <c r="K306" s="4" t="s">
        <v>3596</v>
      </c>
      <c r="L306" s="73"/>
      <c r="M306" s="73"/>
      <c r="N306" s="73"/>
      <c r="O306" s="73"/>
      <c r="P306" s="73"/>
      <c r="Q306" s="73"/>
      <c r="R306" s="73"/>
      <c r="S306" s="73">
        <v>600000</v>
      </c>
      <c r="T306" s="73"/>
      <c r="U306" s="73"/>
      <c r="V306" s="73"/>
      <c r="W306" s="73"/>
      <c r="X306" s="1864">
        <f t="shared" si="8"/>
        <v>600000</v>
      </c>
      <c r="Y306" s="23">
        <f t="shared" si="9"/>
        <v>0</v>
      </c>
    </row>
    <row r="307" spans="1:25" ht="45" x14ac:dyDescent="0.25">
      <c r="A307" s="1"/>
      <c r="B307" s="1"/>
      <c r="C307" s="1"/>
      <c r="D307" s="1">
        <v>5</v>
      </c>
      <c r="E307" s="1">
        <v>2</v>
      </c>
      <c r="F307" s="1">
        <v>7</v>
      </c>
      <c r="G307" s="1"/>
      <c r="H307" s="4" t="s">
        <v>1420</v>
      </c>
      <c r="I307" s="73"/>
      <c r="J307" s="1"/>
      <c r="K307" s="4" t="s">
        <v>3596</v>
      </c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1864">
        <f t="shared" si="8"/>
        <v>0</v>
      </c>
      <c r="Y307" s="23">
        <f t="shared" si="9"/>
        <v>0</v>
      </c>
    </row>
    <row r="308" spans="1:25" ht="45" x14ac:dyDescent="0.25">
      <c r="A308" s="1"/>
      <c r="B308" s="1"/>
      <c r="C308" s="1"/>
      <c r="D308" s="1"/>
      <c r="E308" s="1"/>
      <c r="F308" s="1"/>
      <c r="G308" s="1489" t="s">
        <v>3366</v>
      </c>
      <c r="H308" s="4" t="s">
        <v>487</v>
      </c>
      <c r="I308" s="73">
        <v>26001000</v>
      </c>
      <c r="J308" s="1" t="s">
        <v>1410</v>
      </c>
      <c r="K308" s="4" t="s">
        <v>3596</v>
      </c>
      <c r="L308" s="73"/>
      <c r="M308" s="73"/>
      <c r="N308" s="73"/>
      <c r="O308" s="73"/>
      <c r="P308" s="73"/>
      <c r="Q308" s="73"/>
      <c r="R308" s="73"/>
      <c r="S308" s="73">
        <v>26001000</v>
      </c>
      <c r="T308" s="73"/>
      <c r="U308" s="73"/>
      <c r="V308" s="73"/>
      <c r="W308" s="73"/>
      <c r="X308" s="1864">
        <f t="shared" si="8"/>
        <v>26001000</v>
      </c>
      <c r="Y308" s="23">
        <f t="shared" si="9"/>
        <v>0</v>
      </c>
    </row>
    <row r="309" spans="1:25" ht="28.9" customHeight="1" x14ac:dyDescent="0.25">
      <c r="A309" s="865">
        <v>4</v>
      </c>
      <c r="B309" s="865">
        <v>2</v>
      </c>
      <c r="C309" s="1490" t="s">
        <v>3389</v>
      </c>
      <c r="D309" s="865"/>
      <c r="E309" s="865"/>
      <c r="F309" s="865"/>
      <c r="G309" s="1490"/>
      <c r="H309" s="1061" t="s">
        <v>2990</v>
      </c>
      <c r="I309" s="1063">
        <v>174923495</v>
      </c>
      <c r="J309" s="865" t="s">
        <v>1220</v>
      </c>
      <c r="K309" s="1061" t="s">
        <v>3596</v>
      </c>
      <c r="L309" s="1063"/>
      <c r="M309" s="1063"/>
      <c r="N309" s="1063"/>
      <c r="O309" s="1063"/>
      <c r="P309" s="1063"/>
      <c r="Q309" s="1063"/>
      <c r="R309" s="1063"/>
      <c r="S309" s="1063"/>
      <c r="T309" s="1063"/>
      <c r="U309" s="1063"/>
      <c r="V309" s="1063"/>
      <c r="W309" s="1063"/>
      <c r="X309" s="1866">
        <f t="shared" si="8"/>
        <v>0</v>
      </c>
      <c r="Y309" s="23">
        <f t="shared" si="9"/>
        <v>174923495</v>
      </c>
    </row>
    <row r="310" spans="1:25" ht="14.45" customHeight="1" x14ac:dyDescent="0.25">
      <c r="A310" s="1"/>
      <c r="B310" s="1"/>
      <c r="C310" s="1"/>
      <c r="D310" s="1">
        <v>5</v>
      </c>
      <c r="E310" s="1">
        <v>3</v>
      </c>
      <c r="F310" s="1"/>
      <c r="G310" s="1489"/>
      <c r="H310" s="4" t="s">
        <v>1284</v>
      </c>
      <c r="I310" s="73"/>
      <c r="J310" s="1"/>
      <c r="K310" s="4" t="s">
        <v>3596</v>
      </c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1864">
        <f t="shared" si="8"/>
        <v>0</v>
      </c>
      <c r="Y310" s="23">
        <f t="shared" si="9"/>
        <v>0</v>
      </c>
    </row>
    <row r="311" spans="1:25" x14ac:dyDescent="0.25">
      <c r="A311" s="1"/>
      <c r="B311" s="1"/>
      <c r="C311" s="1"/>
      <c r="D311" s="1"/>
      <c r="E311" s="1"/>
      <c r="F311" s="1">
        <v>7</v>
      </c>
      <c r="G311" s="1489"/>
      <c r="H311" s="4" t="s">
        <v>1658</v>
      </c>
      <c r="I311" s="73"/>
      <c r="J311" s="1"/>
      <c r="K311" s="4" t="s">
        <v>3596</v>
      </c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1864">
        <f t="shared" si="8"/>
        <v>0</v>
      </c>
      <c r="Y311" s="23">
        <f t="shared" si="9"/>
        <v>0</v>
      </c>
    </row>
    <row r="312" spans="1:25" ht="43.15" customHeight="1" x14ac:dyDescent="0.25">
      <c r="A312" s="1"/>
      <c r="B312" s="1"/>
      <c r="C312" s="1"/>
      <c r="D312" s="1"/>
      <c r="E312" s="1"/>
      <c r="F312" s="1"/>
      <c r="G312" s="1489" t="s">
        <v>3366</v>
      </c>
      <c r="H312" s="4" t="s">
        <v>1279</v>
      </c>
      <c r="I312" s="73">
        <v>3400000</v>
      </c>
      <c r="J312" s="1" t="s">
        <v>1220</v>
      </c>
      <c r="K312" s="4" t="s">
        <v>3596</v>
      </c>
      <c r="L312" s="73"/>
      <c r="M312" s="73"/>
      <c r="N312" s="73"/>
      <c r="O312" s="73"/>
      <c r="P312" s="73"/>
      <c r="Q312" s="73"/>
      <c r="R312" s="73"/>
      <c r="S312" s="73"/>
      <c r="T312" s="73"/>
      <c r="U312" s="73">
        <v>3400000</v>
      </c>
      <c r="V312" s="73"/>
      <c r="W312" s="73"/>
      <c r="X312" s="1864">
        <f t="shared" si="8"/>
        <v>3400000</v>
      </c>
      <c r="Y312" s="23">
        <f t="shared" si="9"/>
        <v>0</v>
      </c>
    </row>
    <row r="313" spans="1:25" x14ac:dyDescent="0.25">
      <c r="A313" s="1"/>
      <c r="B313" s="1"/>
      <c r="C313" s="1"/>
      <c r="D313" s="1"/>
      <c r="E313" s="1"/>
      <c r="F313" s="1"/>
      <c r="G313" s="1489" t="s">
        <v>3386</v>
      </c>
      <c r="H313" s="4" t="s">
        <v>1268</v>
      </c>
      <c r="I313" s="73">
        <v>56100000</v>
      </c>
      <c r="J313" s="1" t="s">
        <v>1220</v>
      </c>
      <c r="K313" s="4" t="s">
        <v>3596</v>
      </c>
      <c r="L313" s="73"/>
      <c r="M313" s="73"/>
      <c r="N313" s="73"/>
      <c r="O313" s="73"/>
      <c r="P313" s="73"/>
      <c r="Q313" s="73"/>
      <c r="R313" s="73"/>
      <c r="S313" s="73"/>
      <c r="T313" s="73">
        <v>42596624</v>
      </c>
      <c r="U313" s="73">
        <v>13503376</v>
      </c>
      <c r="V313" s="73"/>
      <c r="W313" s="73"/>
      <c r="X313" s="1864">
        <f t="shared" si="8"/>
        <v>56100000</v>
      </c>
      <c r="Y313" s="23">
        <f t="shared" si="9"/>
        <v>0</v>
      </c>
    </row>
    <row r="314" spans="1:25" x14ac:dyDescent="0.25">
      <c r="A314" s="1"/>
      <c r="B314" s="1"/>
      <c r="C314" s="1"/>
      <c r="D314" s="1"/>
      <c r="E314" s="1"/>
      <c r="F314" s="1"/>
      <c r="G314" s="1489" t="s">
        <v>3388</v>
      </c>
      <c r="H314" s="4" t="s">
        <v>1271</v>
      </c>
      <c r="I314" s="73">
        <v>115423495.00000001</v>
      </c>
      <c r="J314" s="1" t="s">
        <v>1220</v>
      </c>
      <c r="K314" s="4" t="s">
        <v>3596</v>
      </c>
      <c r="L314" s="73"/>
      <c r="M314" s="73"/>
      <c r="N314" s="73"/>
      <c r="O314" s="73"/>
      <c r="P314" s="73"/>
      <c r="Q314" s="73"/>
      <c r="R314" s="73"/>
      <c r="S314" s="73">
        <v>59730247</v>
      </c>
      <c r="T314" s="73">
        <v>20000000</v>
      </c>
      <c r="U314" s="73">
        <v>35693248</v>
      </c>
      <c r="V314" s="73"/>
      <c r="W314" s="73"/>
      <c r="X314" s="1864">
        <f t="shared" si="8"/>
        <v>115423495</v>
      </c>
      <c r="Y314" s="23">
        <f t="shared" si="9"/>
        <v>0</v>
      </c>
    </row>
    <row r="315" spans="1:25" x14ac:dyDescent="0.25">
      <c r="V315" s="2243" t="s">
        <v>3607</v>
      </c>
      <c r="W315" s="2243"/>
    </row>
    <row r="319" spans="1:25" x14ac:dyDescent="0.25">
      <c r="V319" s="2213" t="s">
        <v>3608</v>
      </c>
      <c r="W319" s="2213"/>
    </row>
  </sheetData>
  <autoFilter ref="A12:Y314" xr:uid="{EEE66B35-1E4A-4E87-865B-C8A5DD118E46}"/>
  <mergeCells count="17">
    <mergeCell ref="D7:I7"/>
    <mergeCell ref="A1:X1"/>
    <mergeCell ref="A2:X2"/>
    <mergeCell ref="A9:G10"/>
    <mergeCell ref="H9:H10"/>
    <mergeCell ref="I9:I10"/>
    <mergeCell ref="J9:J10"/>
    <mergeCell ref="L9:W9"/>
    <mergeCell ref="X9:X10"/>
    <mergeCell ref="D4:I4"/>
    <mergeCell ref="D5:I5"/>
    <mergeCell ref="D6:I6"/>
    <mergeCell ref="V319:W319"/>
    <mergeCell ref="V315:W315"/>
    <mergeCell ref="A11:C11"/>
    <mergeCell ref="D11:G11"/>
    <mergeCell ref="J11:W11"/>
  </mergeCells>
  <pageMargins left="0.5" right="0.5" top="1" bottom="1" header="0.3" footer="0.3"/>
  <pageSetup paperSize="5" scale="55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20AFC-2A39-408E-A340-E54152C4C2F9}">
  <dimension ref="A1:Y372"/>
  <sheetViews>
    <sheetView topLeftCell="I360" zoomScale="80" zoomScaleNormal="80" workbookViewId="0">
      <selection activeCell="X127" sqref="X127"/>
    </sheetView>
  </sheetViews>
  <sheetFormatPr defaultRowHeight="15" x14ac:dyDescent="0.25"/>
  <cols>
    <col min="1" max="3" width="3.28515625" customWidth="1"/>
    <col min="4" max="4" width="2.5703125" customWidth="1"/>
    <col min="5" max="7" width="3.28515625" customWidth="1"/>
    <col min="8" max="8" width="28" customWidth="1"/>
    <col min="9" max="9" width="18.5703125" customWidth="1"/>
    <col min="10" max="10" width="9" customWidth="1"/>
    <col min="11" max="11" width="13" customWidth="1"/>
    <col min="12" max="12" width="13.85546875" bestFit="1" customWidth="1"/>
    <col min="13" max="13" width="16.28515625" bestFit="1" customWidth="1"/>
    <col min="14" max="23" width="13.85546875" bestFit="1" customWidth="1"/>
    <col min="24" max="24" width="16.28515625" bestFit="1" customWidth="1"/>
    <col min="25" max="25" width="19.7109375" customWidth="1"/>
    <col min="26" max="26" width="24.42578125" customWidth="1"/>
    <col min="27" max="27" width="15.5703125" customWidth="1"/>
  </cols>
  <sheetData>
    <row r="1" spans="1:25" ht="28.5" x14ac:dyDescent="0.25">
      <c r="A1" s="2222" t="s">
        <v>3653</v>
      </c>
      <c r="B1" s="2222"/>
      <c r="C1" s="2222"/>
      <c r="D1" s="2222"/>
      <c r="E1" s="2222"/>
      <c r="F1" s="2222"/>
      <c r="G1" s="2222"/>
      <c r="H1" s="2222"/>
      <c r="I1" s="2222"/>
      <c r="J1" s="2222"/>
      <c r="K1" s="2222"/>
      <c r="L1" s="2222"/>
      <c r="M1" s="2222"/>
      <c r="N1" s="2222"/>
      <c r="O1" s="2222"/>
      <c r="P1" s="2222"/>
      <c r="Q1" s="2222"/>
      <c r="R1" s="2222"/>
      <c r="S1" s="2222"/>
      <c r="T1" s="2222"/>
      <c r="U1" s="2222"/>
      <c r="V1" s="2222"/>
      <c r="W1" s="2222"/>
      <c r="X1" s="2222"/>
    </row>
    <row r="2" spans="1:25" ht="28.5" x14ac:dyDescent="0.25">
      <c r="A2" s="2222" t="s">
        <v>1737</v>
      </c>
      <c r="B2" s="2222"/>
      <c r="C2" s="2222"/>
      <c r="D2" s="2222"/>
      <c r="E2" s="2222"/>
      <c r="F2" s="2222"/>
      <c r="G2" s="2222"/>
      <c r="H2" s="2222"/>
      <c r="I2" s="2222"/>
      <c r="J2" s="2222"/>
      <c r="K2" s="2222"/>
      <c r="L2" s="2222"/>
      <c r="M2" s="2222"/>
      <c r="N2" s="2222"/>
      <c r="O2" s="2222"/>
      <c r="P2" s="2222"/>
      <c r="Q2" s="2222"/>
      <c r="R2" s="2222"/>
      <c r="S2" s="2222"/>
      <c r="T2" s="2222"/>
      <c r="U2" s="2222"/>
      <c r="V2" s="2222"/>
      <c r="W2" s="2222"/>
      <c r="X2" s="2222"/>
    </row>
    <row r="3" spans="1:25" x14ac:dyDescent="0.25">
      <c r="F3" s="5"/>
    </row>
    <row r="4" spans="1:25" x14ac:dyDescent="0.25">
      <c r="A4" t="s">
        <v>977</v>
      </c>
      <c r="C4" t="s">
        <v>62</v>
      </c>
      <c r="D4" s="2221" t="s">
        <v>1</v>
      </c>
      <c r="E4" s="2221"/>
      <c r="F4" s="2221"/>
      <c r="G4" s="2221"/>
      <c r="H4" s="2221"/>
      <c r="I4" s="2221"/>
    </row>
    <row r="5" spans="1:25" x14ac:dyDescent="0.25">
      <c r="A5" t="s">
        <v>979</v>
      </c>
      <c r="C5" t="s">
        <v>62</v>
      </c>
      <c r="D5" s="2221" t="s">
        <v>3613</v>
      </c>
      <c r="E5" s="2221"/>
      <c r="F5" s="2221"/>
      <c r="G5" s="2221"/>
      <c r="H5" s="2221"/>
      <c r="I5" s="2221"/>
    </row>
    <row r="6" spans="1:25" x14ac:dyDescent="0.25">
      <c r="A6" t="s">
        <v>1189</v>
      </c>
      <c r="C6" t="s">
        <v>62</v>
      </c>
      <c r="D6" s="2221" t="s">
        <v>3614</v>
      </c>
      <c r="E6" s="2221"/>
      <c r="F6" s="2221"/>
      <c r="G6" s="2221"/>
      <c r="H6" s="2221"/>
      <c r="I6" s="2221"/>
    </row>
    <row r="7" spans="1:25" x14ac:dyDescent="0.25">
      <c r="A7" t="s">
        <v>983</v>
      </c>
      <c r="C7" t="s">
        <v>62</v>
      </c>
      <c r="D7" s="2221" t="s">
        <v>3615</v>
      </c>
      <c r="E7" s="2221"/>
      <c r="F7" s="2221"/>
      <c r="G7" s="2221"/>
      <c r="H7" s="2221"/>
      <c r="I7" s="2221"/>
    </row>
    <row r="8" spans="1:25" x14ac:dyDescent="0.25">
      <c r="F8" s="5"/>
    </row>
    <row r="9" spans="1:25" ht="14.45" customHeight="1" x14ac:dyDescent="0.25">
      <c r="A9" s="2231" t="s">
        <v>3359</v>
      </c>
      <c r="B9" s="2231"/>
      <c r="C9" s="2231"/>
      <c r="D9" s="2231"/>
      <c r="E9" s="2231"/>
      <c r="F9" s="2231"/>
      <c r="G9" s="2231"/>
      <c r="H9" s="2216" t="s">
        <v>3579</v>
      </c>
      <c r="I9" s="2232" t="s">
        <v>3361</v>
      </c>
      <c r="J9" s="2234" t="s">
        <v>3362</v>
      </c>
      <c r="K9" s="1863" t="s">
        <v>3580</v>
      </c>
      <c r="L9" s="2236" t="s">
        <v>3581</v>
      </c>
      <c r="M9" s="2237"/>
      <c r="N9" s="2237"/>
      <c r="O9" s="2237"/>
      <c r="P9" s="2237"/>
      <c r="Q9" s="2237"/>
      <c r="R9" s="2237"/>
      <c r="S9" s="2237"/>
      <c r="T9" s="2237"/>
      <c r="U9" s="2237"/>
      <c r="V9" s="2237"/>
      <c r="W9" s="2238"/>
      <c r="X9" s="2239" t="s">
        <v>26</v>
      </c>
    </row>
    <row r="10" spans="1:25" ht="28.9" customHeight="1" x14ac:dyDescent="0.25">
      <c r="A10" s="2231"/>
      <c r="B10" s="2231"/>
      <c r="C10" s="2231"/>
      <c r="D10" s="2231"/>
      <c r="E10" s="2231"/>
      <c r="F10" s="2231"/>
      <c r="G10" s="2231"/>
      <c r="H10" s="2216"/>
      <c r="I10" s="2233"/>
      <c r="J10" s="2235"/>
      <c r="K10" s="1863" t="s">
        <v>3582</v>
      </c>
      <c r="L10" s="1861" t="s">
        <v>3583</v>
      </c>
      <c r="M10" s="1861" t="s">
        <v>3584</v>
      </c>
      <c r="N10" s="1861" t="s">
        <v>3585</v>
      </c>
      <c r="O10" s="1861" t="s">
        <v>3586</v>
      </c>
      <c r="P10" s="1861" t="s">
        <v>3587</v>
      </c>
      <c r="Q10" s="1861" t="s">
        <v>3588</v>
      </c>
      <c r="R10" s="1861" t="s">
        <v>3589</v>
      </c>
      <c r="S10" s="1861" t="s">
        <v>3590</v>
      </c>
      <c r="T10" s="1861" t="s">
        <v>3591</v>
      </c>
      <c r="U10" s="1861" t="s">
        <v>3592</v>
      </c>
      <c r="V10" s="1861" t="s">
        <v>3593</v>
      </c>
      <c r="W10" s="1861" t="s">
        <v>3594</v>
      </c>
      <c r="X10" s="2240"/>
    </row>
    <row r="11" spans="1:25" x14ac:dyDescent="0.25">
      <c r="A11" s="2225">
        <v>1</v>
      </c>
      <c r="B11" s="2225"/>
      <c r="C11" s="2225"/>
      <c r="D11" s="2225">
        <v>2</v>
      </c>
      <c r="E11" s="2225"/>
      <c r="F11" s="2225"/>
      <c r="G11" s="2225"/>
      <c r="H11" s="1548">
        <v>3</v>
      </c>
      <c r="I11" s="890">
        <v>4</v>
      </c>
      <c r="J11" s="2226">
        <v>5</v>
      </c>
      <c r="K11" s="2227"/>
      <c r="L11" s="2227"/>
      <c r="M11" s="2227"/>
      <c r="N11" s="2227"/>
      <c r="O11" s="2227"/>
      <c r="P11" s="2227"/>
      <c r="Q11" s="2227"/>
      <c r="R11" s="2227"/>
      <c r="S11" s="2227"/>
      <c r="T11" s="2227"/>
      <c r="U11" s="2227"/>
      <c r="V11" s="2227"/>
      <c r="W11" s="2228"/>
      <c r="X11" s="1862">
        <v>6</v>
      </c>
    </row>
    <row r="12" spans="1:25" x14ac:dyDescent="0.25">
      <c r="A12" s="25" t="s">
        <v>998</v>
      </c>
      <c r="B12" s="25" t="s">
        <v>999</v>
      </c>
      <c r="C12" s="25" t="s">
        <v>1000</v>
      </c>
      <c r="D12" s="25" t="s">
        <v>998</v>
      </c>
      <c r="E12" s="25" t="s">
        <v>999</v>
      </c>
      <c r="F12" s="25" t="s">
        <v>1000</v>
      </c>
      <c r="G12" s="25" t="s">
        <v>1001</v>
      </c>
      <c r="H12" s="1"/>
      <c r="I12" s="73"/>
      <c r="J12" s="4"/>
      <c r="K12" s="4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1"/>
    </row>
    <row r="13" spans="1:25" ht="30" x14ac:dyDescent="0.25">
      <c r="A13" s="1868">
        <v>2</v>
      </c>
      <c r="B13" s="1869"/>
      <c r="C13" s="1869"/>
      <c r="D13" s="1869"/>
      <c r="E13" s="1869"/>
      <c r="F13" s="1869"/>
      <c r="G13" s="1869"/>
      <c r="H13" s="1870" t="s">
        <v>537</v>
      </c>
      <c r="I13" s="1871">
        <f>I14+I39+I49+I65+I82+I102+I111+I122</f>
        <v>1649561835.2</v>
      </c>
      <c r="J13" s="1869"/>
      <c r="K13" s="1870"/>
      <c r="L13" s="1871"/>
      <c r="M13" s="1871"/>
      <c r="N13" s="1871"/>
      <c r="O13" s="1871"/>
      <c r="P13" s="1871"/>
      <c r="Q13" s="1871"/>
      <c r="R13" s="1871"/>
      <c r="S13" s="1871"/>
      <c r="T13" s="1871"/>
      <c r="U13" s="1871"/>
      <c r="V13" s="1871"/>
      <c r="W13" s="1871"/>
      <c r="X13" s="1869"/>
    </row>
    <row r="14" spans="1:25" ht="75" x14ac:dyDescent="0.25">
      <c r="A14" s="865">
        <v>2</v>
      </c>
      <c r="B14" s="865">
        <v>1</v>
      </c>
      <c r="C14" s="1490" t="s">
        <v>3366</v>
      </c>
      <c r="D14" s="865"/>
      <c r="E14" s="865"/>
      <c r="F14" s="865"/>
      <c r="G14" s="865"/>
      <c r="H14" s="1061" t="s">
        <v>540</v>
      </c>
      <c r="I14" s="1063">
        <v>276660000</v>
      </c>
      <c r="J14" s="865"/>
      <c r="K14" s="1061" t="s">
        <v>3599</v>
      </c>
      <c r="L14" s="1063"/>
      <c r="M14" s="1063"/>
      <c r="N14" s="1063"/>
      <c r="O14" s="1063"/>
      <c r="P14" s="1063"/>
      <c r="Q14" s="1063"/>
      <c r="R14" s="1063"/>
      <c r="S14" s="1063"/>
      <c r="T14" s="1063"/>
      <c r="U14" s="1063"/>
      <c r="V14" s="1063"/>
      <c r="W14" s="1063"/>
      <c r="X14" s="1866">
        <f>SUM(L14:W14)</f>
        <v>0</v>
      </c>
      <c r="Y14" s="23">
        <f>I14-X14</f>
        <v>276660000</v>
      </c>
    </row>
    <row r="15" spans="1:25" ht="28.9" customHeight="1" x14ac:dyDescent="0.25">
      <c r="A15" s="1"/>
      <c r="B15" s="1"/>
      <c r="C15" s="1"/>
      <c r="D15" s="1">
        <v>5</v>
      </c>
      <c r="E15" s="1">
        <v>2</v>
      </c>
      <c r="F15" s="1"/>
      <c r="G15" s="1"/>
      <c r="H15" s="4" t="s">
        <v>82</v>
      </c>
      <c r="I15" s="73"/>
      <c r="J15" s="1"/>
      <c r="K15" s="4" t="s">
        <v>3599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1864">
        <f t="shared" ref="X15:X78" si="0">SUM(L15:W15)</f>
        <v>0</v>
      </c>
      <c r="Y15" s="23">
        <f t="shared" ref="Y15:Y78" si="1">I15-X15</f>
        <v>0</v>
      </c>
    </row>
    <row r="16" spans="1:25" ht="57.6" customHeight="1" x14ac:dyDescent="0.25">
      <c r="A16" s="1"/>
      <c r="B16" s="1"/>
      <c r="C16" s="1"/>
      <c r="D16" s="1"/>
      <c r="E16" s="1"/>
      <c r="F16" s="1">
        <v>1</v>
      </c>
      <c r="G16" s="1"/>
      <c r="H16" s="4" t="s">
        <v>84</v>
      </c>
      <c r="I16" s="73"/>
      <c r="J16" s="1"/>
      <c r="K16" s="4" t="s">
        <v>3599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1864">
        <f t="shared" si="0"/>
        <v>0</v>
      </c>
      <c r="Y16" s="23">
        <f t="shared" si="1"/>
        <v>0</v>
      </c>
    </row>
    <row r="17" spans="1:25" ht="30" x14ac:dyDescent="0.25">
      <c r="A17" s="1"/>
      <c r="B17" s="1"/>
      <c r="C17" s="1"/>
      <c r="D17" s="1"/>
      <c r="E17" s="1"/>
      <c r="F17" s="1"/>
      <c r="G17" s="1489" t="s">
        <v>3366</v>
      </c>
      <c r="H17" s="4" t="s">
        <v>86</v>
      </c>
      <c r="I17" s="73">
        <v>47515000</v>
      </c>
      <c r="J17" s="4" t="s">
        <v>2178</v>
      </c>
      <c r="K17" s="4" t="s">
        <v>3599</v>
      </c>
      <c r="L17" s="73"/>
      <c r="M17" s="73">
        <v>9503000</v>
      </c>
      <c r="N17" s="73"/>
      <c r="O17" s="73">
        <v>9503000</v>
      </c>
      <c r="P17" s="73"/>
      <c r="Q17" s="73">
        <v>9503000</v>
      </c>
      <c r="R17" s="73"/>
      <c r="S17" s="73"/>
      <c r="T17" s="73">
        <v>9503000</v>
      </c>
      <c r="U17" s="73"/>
      <c r="V17" s="73">
        <v>9503000</v>
      </c>
      <c r="W17" s="73"/>
      <c r="X17" s="1864">
        <f t="shared" si="0"/>
        <v>47515000</v>
      </c>
      <c r="Y17" s="23">
        <f t="shared" si="1"/>
        <v>0</v>
      </c>
    </row>
    <row r="18" spans="1:25" ht="30" x14ac:dyDescent="0.25">
      <c r="A18" s="1"/>
      <c r="B18" s="1"/>
      <c r="C18" s="1"/>
      <c r="D18" s="1"/>
      <c r="E18" s="1"/>
      <c r="F18" s="1"/>
      <c r="G18" s="1489" t="s">
        <v>3390</v>
      </c>
      <c r="H18" s="1" t="s">
        <v>2337</v>
      </c>
      <c r="I18" s="73">
        <v>8319000</v>
      </c>
      <c r="J18" s="4" t="s">
        <v>2178</v>
      </c>
      <c r="K18" s="4" t="s">
        <v>3599</v>
      </c>
      <c r="L18" s="73"/>
      <c r="M18" s="73"/>
      <c r="N18" s="73"/>
      <c r="O18" s="73"/>
      <c r="P18" s="73"/>
      <c r="Q18" s="73">
        <v>8319000</v>
      </c>
      <c r="R18" s="73"/>
      <c r="S18" s="73"/>
      <c r="T18" s="73"/>
      <c r="U18" s="73"/>
      <c r="V18" s="73"/>
      <c r="W18" s="73"/>
      <c r="X18" s="1864">
        <f t="shared" si="0"/>
        <v>8319000</v>
      </c>
      <c r="Y18" s="23">
        <f t="shared" si="1"/>
        <v>0</v>
      </c>
    </row>
    <row r="19" spans="1:25" ht="28.9" customHeight="1" x14ac:dyDescent="0.25">
      <c r="A19" s="1"/>
      <c r="B19" s="1"/>
      <c r="C19" s="1"/>
      <c r="D19" s="1"/>
      <c r="E19" s="1"/>
      <c r="F19" s="1"/>
      <c r="G19" s="1489" t="s">
        <v>3386</v>
      </c>
      <c r="H19" s="4" t="s">
        <v>573</v>
      </c>
      <c r="I19" s="73">
        <v>1630000</v>
      </c>
      <c r="J19" s="4" t="s">
        <v>2178</v>
      </c>
      <c r="K19" s="4" t="s">
        <v>3599</v>
      </c>
      <c r="L19" s="73"/>
      <c r="M19" s="73"/>
      <c r="N19" s="73">
        <v>1630000</v>
      </c>
      <c r="O19" s="73"/>
      <c r="P19" s="73"/>
      <c r="Q19" s="73"/>
      <c r="R19" s="73"/>
      <c r="S19" s="73"/>
      <c r="T19" s="73"/>
      <c r="U19" s="73"/>
      <c r="V19" s="73"/>
      <c r="W19" s="73"/>
      <c r="X19" s="1864">
        <f t="shared" si="0"/>
        <v>1630000</v>
      </c>
      <c r="Y19" s="23">
        <f t="shared" si="1"/>
        <v>0</v>
      </c>
    </row>
    <row r="20" spans="1:25" ht="28.9" customHeight="1" x14ac:dyDescent="0.25">
      <c r="A20" s="1"/>
      <c r="B20" s="1"/>
      <c r="C20" s="1"/>
      <c r="D20" s="1"/>
      <c r="E20" s="1"/>
      <c r="F20" s="1"/>
      <c r="G20" s="1489" t="s">
        <v>3388</v>
      </c>
      <c r="H20" s="4" t="s">
        <v>112</v>
      </c>
      <c r="I20" s="73">
        <v>4326000</v>
      </c>
      <c r="J20" s="4" t="s">
        <v>2178</v>
      </c>
      <c r="K20" s="4" t="s">
        <v>3599</v>
      </c>
      <c r="L20" s="73"/>
      <c r="M20" s="73"/>
      <c r="N20" s="73">
        <v>4326000</v>
      </c>
      <c r="O20" s="73"/>
      <c r="P20" s="73"/>
      <c r="Q20" s="73"/>
      <c r="R20" s="73"/>
      <c r="S20" s="73"/>
      <c r="T20" s="73"/>
      <c r="U20" s="73"/>
      <c r="V20" s="73"/>
      <c r="W20" s="73"/>
      <c r="X20" s="1864">
        <f t="shared" si="0"/>
        <v>4326000</v>
      </c>
      <c r="Y20" s="23">
        <f t="shared" si="1"/>
        <v>0</v>
      </c>
    </row>
    <row r="21" spans="1:25" ht="28.9" customHeight="1" x14ac:dyDescent="0.25">
      <c r="A21" s="1"/>
      <c r="B21" s="1"/>
      <c r="C21" s="1"/>
      <c r="D21" s="1"/>
      <c r="E21" s="1"/>
      <c r="F21" s="1"/>
      <c r="G21" s="1489" t="s">
        <v>3391</v>
      </c>
      <c r="H21" s="4" t="s">
        <v>146</v>
      </c>
      <c r="I21" s="73">
        <v>180000</v>
      </c>
      <c r="J21" s="4" t="s">
        <v>2178</v>
      </c>
      <c r="K21" s="4" t="s">
        <v>3599</v>
      </c>
      <c r="L21" s="73">
        <v>15000</v>
      </c>
      <c r="M21" s="73">
        <v>15000</v>
      </c>
      <c r="N21" s="73">
        <v>15000</v>
      </c>
      <c r="O21" s="73">
        <v>15000</v>
      </c>
      <c r="P21" s="73">
        <v>15000</v>
      </c>
      <c r="Q21" s="73">
        <v>15000</v>
      </c>
      <c r="R21" s="73">
        <v>15000</v>
      </c>
      <c r="S21" s="73">
        <v>15000</v>
      </c>
      <c r="T21" s="73">
        <v>15000</v>
      </c>
      <c r="U21" s="73">
        <v>15000</v>
      </c>
      <c r="V21" s="73">
        <v>15000</v>
      </c>
      <c r="W21" s="73">
        <v>15000</v>
      </c>
      <c r="X21" s="1864">
        <f t="shared" si="0"/>
        <v>180000</v>
      </c>
      <c r="Y21" s="23">
        <f t="shared" si="1"/>
        <v>0</v>
      </c>
    </row>
    <row r="22" spans="1:25" ht="30" x14ac:dyDescent="0.25">
      <c r="A22" s="1"/>
      <c r="B22" s="1"/>
      <c r="C22" s="1"/>
      <c r="D22" s="1"/>
      <c r="E22" s="1"/>
      <c r="F22" s="1"/>
      <c r="G22" s="1489" t="s">
        <v>3392</v>
      </c>
      <c r="H22" s="1" t="s">
        <v>597</v>
      </c>
      <c r="I22" s="73">
        <v>4250000</v>
      </c>
      <c r="J22" s="4" t="s">
        <v>2178</v>
      </c>
      <c r="K22" s="4" t="s">
        <v>3599</v>
      </c>
      <c r="L22" s="73"/>
      <c r="M22" s="73"/>
      <c r="N22" s="73">
        <v>3500000</v>
      </c>
      <c r="O22" s="73"/>
      <c r="P22" s="73"/>
      <c r="Q22" s="73"/>
      <c r="R22" s="73"/>
      <c r="S22" s="73">
        <v>750000</v>
      </c>
      <c r="T22" s="73"/>
      <c r="U22" s="73"/>
      <c r="V22" s="73"/>
      <c r="W22" s="73"/>
      <c r="X22" s="1864">
        <f t="shared" si="0"/>
        <v>4250000</v>
      </c>
      <c r="Y22" s="23">
        <f t="shared" si="1"/>
        <v>0</v>
      </c>
    </row>
    <row r="23" spans="1:25" ht="30" x14ac:dyDescent="0.25">
      <c r="A23" s="1"/>
      <c r="B23" s="1"/>
      <c r="C23" s="1"/>
      <c r="D23" s="1"/>
      <c r="E23" s="1"/>
      <c r="F23" s="1"/>
      <c r="G23" s="1489" t="s">
        <v>3393</v>
      </c>
      <c r="H23" s="4" t="s">
        <v>160</v>
      </c>
      <c r="I23" s="73">
        <v>300000</v>
      </c>
      <c r="J23" s="4" t="s">
        <v>2178</v>
      </c>
      <c r="K23" s="4" t="s">
        <v>3599</v>
      </c>
      <c r="L23" s="73"/>
      <c r="M23" s="73"/>
      <c r="N23" s="73"/>
      <c r="O23" s="73"/>
      <c r="P23" s="73"/>
      <c r="Q23" s="73"/>
      <c r="R23" s="73">
        <v>300000</v>
      </c>
      <c r="S23" s="73"/>
      <c r="T23" s="73"/>
      <c r="U23" s="73"/>
      <c r="V23" s="73"/>
      <c r="W23" s="73"/>
      <c r="X23" s="1864">
        <f t="shared" si="0"/>
        <v>300000</v>
      </c>
      <c r="Y23" s="23">
        <f t="shared" si="1"/>
        <v>0</v>
      </c>
    </row>
    <row r="24" spans="1:25" ht="30" x14ac:dyDescent="0.25">
      <c r="A24" s="1"/>
      <c r="B24" s="1"/>
      <c r="C24" s="1"/>
      <c r="D24" s="1"/>
      <c r="E24" s="1"/>
      <c r="F24" s="1"/>
      <c r="G24" s="1">
        <v>10</v>
      </c>
      <c r="H24" s="1" t="s">
        <v>2339</v>
      </c>
      <c r="I24" s="73">
        <v>309000</v>
      </c>
      <c r="J24" s="4" t="s">
        <v>2178</v>
      </c>
      <c r="K24" s="4" t="s">
        <v>3599</v>
      </c>
      <c r="L24" s="73"/>
      <c r="M24" s="73"/>
      <c r="N24" s="73"/>
      <c r="O24" s="73"/>
      <c r="P24" s="73"/>
      <c r="Q24" s="73"/>
      <c r="R24" s="73">
        <v>309000</v>
      </c>
      <c r="S24" s="73"/>
      <c r="T24" s="73"/>
      <c r="U24" s="73"/>
      <c r="V24" s="73"/>
      <c r="W24" s="73"/>
      <c r="X24" s="1864">
        <f t="shared" si="0"/>
        <v>309000</v>
      </c>
      <c r="Y24" s="23">
        <f t="shared" si="1"/>
        <v>0</v>
      </c>
    </row>
    <row r="25" spans="1:25" ht="28.9" customHeight="1" x14ac:dyDescent="0.25">
      <c r="A25" s="1"/>
      <c r="B25" s="1"/>
      <c r="C25" s="1"/>
      <c r="D25" s="1"/>
      <c r="E25" s="1"/>
      <c r="F25" s="1"/>
      <c r="G25" s="1489" t="s">
        <v>3394</v>
      </c>
      <c r="H25" s="4" t="s">
        <v>603</v>
      </c>
      <c r="I25" s="73">
        <v>4500000</v>
      </c>
      <c r="J25" s="1" t="s">
        <v>1223</v>
      </c>
      <c r="K25" s="4" t="s">
        <v>3599</v>
      </c>
      <c r="L25" s="73"/>
      <c r="M25" s="73"/>
      <c r="N25" s="73"/>
      <c r="O25" s="73"/>
      <c r="P25" s="73"/>
      <c r="Q25" s="73"/>
      <c r="R25" s="73">
        <v>4500000</v>
      </c>
      <c r="S25" s="73"/>
      <c r="T25" s="73"/>
      <c r="U25" s="73"/>
      <c r="V25" s="73"/>
      <c r="W25" s="73"/>
      <c r="X25" s="1864">
        <f t="shared" si="0"/>
        <v>4500000</v>
      </c>
      <c r="Y25" s="23">
        <f t="shared" si="1"/>
        <v>0</v>
      </c>
    </row>
    <row r="26" spans="1:25" ht="72" customHeight="1" x14ac:dyDescent="0.25">
      <c r="A26" s="1"/>
      <c r="B26" s="1"/>
      <c r="C26" s="1"/>
      <c r="D26" s="1"/>
      <c r="E26" s="1"/>
      <c r="F26" s="1"/>
      <c r="G26" s="1">
        <v>90</v>
      </c>
      <c r="H26" s="4" t="s">
        <v>273</v>
      </c>
      <c r="I26" s="73">
        <v>14972000</v>
      </c>
      <c r="J26" s="4" t="s">
        <v>2178</v>
      </c>
      <c r="K26" s="4" t="s">
        <v>3599</v>
      </c>
      <c r="L26" s="73">
        <v>781000</v>
      </c>
      <c r="M26" s="73">
        <v>781000</v>
      </c>
      <c r="N26" s="73">
        <v>931000</v>
      </c>
      <c r="O26" s="73">
        <v>3431000</v>
      </c>
      <c r="P26" s="73">
        <v>781000</v>
      </c>
      <c r="Q26" s="73">
        <v>931000</v>
      </c>
      <c r="R26" s="73">
        <v>781000</v>
      </c>
      <c r="S26" s="73">
        <v>781000</v>
      </c>
      <c r="T26" s="73">
        <v>781000</v>
      </c>
      <c r="U26" s="73">
        <v>3281000</v>
      </c>
      <c r="V26" s="73">
        <v>931000</v>
      </c>
      <c r="W26" s="73">
        <v>781000</v>
      </c>
      <c r="X26" s="1864">
        <f t="shared" si="0"/>
        <v>14972000</v>
      </c>
      <c r="Y26" s="23">
        <f t="shared" si="1"/>
        <v>0</v>
      </c>
    </row>
    <row r="27" spans="1:25" x14ac:dyDescent="0.25">
      <c r="A27" s="1"/>
      <c r="B27" s="1"/>
      <c r="C27" s="1"/>
      <c r="D27" s="1">
        <v>5</v>
      </c>
      <c r="E27" s="1">
        <v>2</v>
      </c>
      <c r="F27" s="1">
        <v>2</v>
      </c>
      <c r="G27" s="1"/>
      <c r="H27" s="4" t="s">
        <v>173</v>
      </c>
      <c r="I27" s="73"/>
      <c r="J27" s="1"/>
      <c r="K27" s="4" t="s">
        <v>3599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1864">
        <f t="shared" si="0"/>
        <v>0</v>
      </c>
      <c r="Y27" s="23">
        <f t="shared" si="1"/>
        <v>0</v>
      </c>
    </row>
    <row r="28" spans="1:25" ht="45" x14ac:dyDescent="0.25">
      <c r="A28" s="1"/>
      <c r="B28" s="1"/>
      <c r="C28" s="1"/>
      <c r="D28" s="1"/>
      <c r="E28" s="1"/>
      <c r="F28" s="1"/>
      <c r="G28" s="1489" t="s">
        <v>3389</v>
      </c>
      <c r="H28" s="4" t="s">
        <v>616</v>
      </c>
      <c r="I28" s="73">
        <v>142800000</v>
      </c>
      <c r="J28" s="4" t="s">
        <v>1777</v>
      </c>
      <c r="K28" s="4" t="s">
        <v>3599</v>
      </c>
      <c r="L28" s="73">
        <v>11900000</v>
      </c>
      <c r="M28" s="73">
        <v>11900000</v>
      </c>
      <c r="N28" s="73">
        <v>11900000</v>
      </c>
      <c r="O28" s="73">
        <v>11900000</v>
      </c>
      <c r="P28" s="73">
        <v>11900000</v>
      </c>
      <c r="Q28" s="73">
        <v>11900000</v>
      </c>
      <c r="R28" s="73">
        <v>11900000</v>
      </c>
      <c r="S28" s="73">
        <v>11900000</v>
      </c>
      <c r="T28" s="73">
        <v>11900000</v>
      </c>
      <c r="U28" s="73">
        <v>11900000</v>
      </c>
      <c r="V28" s="73">
        <v>11900000</v>
      </c>
      <c r="W28" s="73">
        <v>11900000</v>
      </c>
      <c r="X28" s="1864">
        <f t="shared" si="0"/>
        <v>142800000</v>
      </c>
      <c r="Y28" s="23">
        <f t="shared" si="1"/>
        <v>0</v>
      </c>
    </row>
    <row r="29" spans="1:25" ht="30" x14ac:dyDescent="0.25">
      <c r="A29" s="1"/>
      <c r="B29" s="1"/>
      <c r="C29" s="1"/>
      <c r="D29" s="1">
        <v>5</v>
      </c>
      <c r="E29" s="1">
        <v>2</v>
      </c>
      <c r="F29" s="1">
        <v>5</v>
      </c>
      <c r="G29" s="1"/>
      <c r="H29" s="4" t="s">
        <v>628</v>
      </c>
      <c r="I29" s="73"/>
      <c r="J29" s="1"/>
      <c r="K29" s="4" t="s">
        <v>3599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1864">
        <f t="shared" si="0"/>
        <v>0</v>
      </c>
      <c r="Y29" s="23">
        <f t="shared" si="1"/>
        <v>0</v>
      </c>
    </row>
    <row r="30" spans="1:25" ht="28.9" customHeight="1" x14ac:dyDescent="0.25">
      <c r="A30" s="1"/>
      <c r="B30" s="1"/>
      <c r="C30" s="1"/>
      <c r="D30" s="1"/>
      <c r="E30" s="1"/>
      <c r="F30" s="1"/>
      <c r="G30" s="1489" t="s">
        <v>3366</v>
      </c>
      <c r="H30" s="4" t="s">
        <v>630</v>
      </c>
      <c r="I30" s="73">
        <v>24000000</v>
      </c>
      <c r="J30" s="1" t="s">
        <v>1506</v>
      </c>
      <c r="K30" s="4" t="s">
        <v>3599</v>
      </c>
      <c r="L30" s="73">
        <v>2000000</v>
      </c>
      <c r="M30" s="73">
        <v>2000000</v>
      </c>
      <c r="N30" s="73">
        <v>2000000</v>
      </c>
      <c r="O30" s="73">
        <v>2000000</v>
      </c>
      <c r="P30" s="73">
        <v>2000000</v>
      </c>
      <c r="Q30" s="73">
        <v>2000000</v>
      </c>
      <c r="R30" s="73">
        <v>2000000</v>
      </c>
      <c r="S30" s="73">
        <v>2000000</v>
      </c>
      <c r="T30" s="73">
        <v>2000000</v>
      </c>
      <c r="U30" s="73">
        <v>2000000</v>
      </c>
      <c r="V30" s="73">
        <v>2000000</v>
      </c>
      <c r="W30" s="73">
        <v>2000000</v>
      </c>
      <c r="X30" s="1864">
        <f t="shared" si="0"/>
        <v>24000000</v>
      </c>
      <c r="Y30" s="23">
        <f t="shared" si="1"/>
        <v>0</v>
      </c>
    </row>
    <row r="31" spans="1:25" x14ac:dyDescent="0.25">
      <c r="A31" s="1"/>
      <c r="B31" s="1"/>
      <c r="C31" s="1"/>
      <c r="D31" s="1"/>
      <c r="E31" s="1"/>
      <c r="F31" s="1"/>
      <c r="G31" s="1489" t="s">
        <v>3386</v>
      </c>
      <c r="H31" s="4" t="s">
        <v>632</v>
      </c>
      <c r="I31" s="73">
        <v>3000000</v>
      </c>
      <c r="J31" s="1" t="s">
        <v>1506</v>
      </c>
      <c r="K31" s="4" t="s">
        <v>3599</v>
      </c>
      <c r="L31" s="73">
        <v>250000</v>
      </c>
      <c r="M31" s="73">
        <v>250000</v>
      </c>
      <c r="N31" s="73">
        <v>250000</v>
      </c>
      <c r="O31" s="73">
        <v>250000</v>
      </c>
      <c r="P31" s="73">
        <v>250000</v>
      </c>
      <c r="Q31" s="73">
        <v>250000</v>
      </c>
      <c r="R31" s="73">
        <v>250000</v>
      </c>
      <c r="S31" s="73">
        <v>250000</v>
      </c>
      <c r="T31" s="73">
        <v>250000</v>
      </c>
      <c r="U31" s="73">
        <v>250000</v>
      </c>
      <c r="V31" s="73">
        <v>250000</v>
      </c>
      <c r="W31" s="73">
        <v>250000</v>
      </c>
      <c r="X31" s="1864">
        <f t="shared" si="0"/>
        <v>3000000</v>
      </c>
      <c r="Y31" s="23">
        <f t="shared" si="1"/>
        <v>0</v>
      </c>
    </row>
    <row r="32" spans="1:25" ht="14.45" customHeight="1" x14ac:dyDescent="0.25">
      <c r="A32" s="1"/>
      <c r="B32" s="1"/>
      <c r="C32" s="1"/>
      <c r="D32" s="1"/>
      <c r="E32" s="1"/>
      <c r="F32" s="1"/>
      <c r="G32" s="1489" t="s">
        <v>3390</v>
      </c>
      <c r="H32" s="4" t="s">
        <v>196</v>
      </c>
      <c r="I32" s="73">
        <v>3600000</v>
      </c>
      <c r="J32" s="1" t="s">
        <v>1506</v>
      </c>
      <c r="K32" s="4" t="s">
        <v>3599</v>
      </c>
      <c r="L32" s="73">
        <v>300000</v>
      </c>
      <c r="M32" s="73">
        <v>300000</v>
      </c>
      <c r="N32" s="73">
        <v>300000</v>
      </c>
      <c r="O32" s="73">
        <v>300000</v>
      </c>
      <c r="P32" s="73">
        <v>300000</v>
      </c>
      <c r="Q32" s="73">
        <v>300000</v>
      </c>
      <c r="R32" s="73">
        <v>300000</v>
      </c>
      <c r="S32" s="73">
        <v>300000</v>
      </c>
      <c r="T32" s="73">
        <v>300000</v>
      </c>
      <c r="U32" s="73">
        <v>300000</v>
      </c>
      <c r="V32" s="73">
        <v>300000</v>
      </c>
      <c r="W32" s="73">
        <v>300000</v>
      </c>
      <c r="X32" s="1864">
        <f t="shared" si="0"/>
        <v>3600000</v>
      </c>
      <c r="Y32" s="23">
        <f t="shared" si="1"/>
        <v>0</v>
      </c>
    </row>
    <row r="33" spans="1:25" x14ac:dyDescent="0.25">
      <c r="A33" s="1"/>
      <c r="B33" s="1"/>
      <c r="C33" s="1"/>
      <c r="D33" s="1">
        <v>5</v>
      </c>
      <c r="E33" s="1">
        <v>2</v>
      </c>
      <c r="F33" s="1">
        <v>6</v>
      </c>
      <c r="G33" s="1"/>
      <c r="H33" s="4" t="s">
        <v>206</v>
      </c>
      <c r="I33" s="73"/>
      <c r="J33" s="1"/>
      <c r="K33" s="4" t="s">
        <v>3599</v>
      </c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1864">
        <f t="shared" si="0"/>
        <v>0</v>
      </c>
      <c r="Y33" s="23">
        <f t="shared" si="1"/>
        <v>0</v>
      </c>
    </row>
    <row r="34" spans="1:25" x14ac:dyDescent="0.25">
      <c r="A34" s="1"/>
      <c r="B34" s="1"/>
      <c r="C34" s="1"/>
      <c r="D34" s="1"/>
      <c r="E34" s="1"/>
      <c r="F34" s="1"/>
      <c r="G34" s="1489" t="s">
        <v>3388</v>
      </c>
      <c r="H34" s="4" t="s">
        <v>1627</v>
      </c>
      <c r="I34" s="73">
        <v>10000000</v>
      </c>
      <c r="J34" s="1" t="s">
        <v>1223</v>
      </c>
      <c r="K34" s="4" t="s">
        <v>3599</v>
      </c>
      <c r="L34" s="73"/>
      <c r="M34" s="73"/>
      <c r="N34" s="73"/>
      <c r="O34" s="73"/>
      <c r="P34" s="73"/>
      <c r="Q34" s="73">
        <v>10000000</v>
      </c>
      <c r="R34" s="73"/>
      <c r="S34" s="73"/>
      <c r="T34" s="73"/>
      <c r="U34" s="73"/>
      <c r="V34" s="73"/>
      <c r="W34" s="73"/>
      <c r="X34" s="1864">
        <f t="shared" si="0"/>
        <v>10000000</v>
      </c>
      <c r="Y34" s="23">
        <f t="shared" si="1"/>
        <v>0</v>
      </c>
    </row>
    <row r="35" spans="1:25" ht="28.9" customHeight="1" x14ac:dyDescent="0.25">
      <c r="A35" s="1"/>
      <c r="B35" s="1"/>
      <c r="C35" s="1"/>
      <c r="D35" s="1"/>
      <c r="E35" s="1"/>
      <c r="F35" s="1"/>
      <c r="G35" s="1489" t="s">
        <v>3389</v>
      </c>
      <c r="H35" s="1" t="s">
        <v>1629</v>
      </c>
      <c r="I35" s="73">
        <v>1959000</v>
      </c>
      <c r="J35" s="4" t="s">
        <v>2178</v>
      </c>
      <c r="K35" s="4" t="s">
        <v>3599</v>
      </c>
      <c r="L35" s="73"/>
      <c r="M35" s="73"/>
      <c r="N35" s="73"/>
      <c r="O35" s="73"/>
      <c r="P35" s="73"/>
      <c r="Q35" s="73">
        <v>1959000</v>
      </c>
      <c r="R35" s="73"/>
      <c r="S35" s="73"/>
      <c r="T35" s="73"/>
      <c r="U35" s="73"/>
      <c r="V35" s="73"/>
      <c r="W35" s="73"/>
      <c r="X35" s="1864">
        <f t="shared" si="0"/>
        <v>1959000</v>
      </c>
      <c r="Y35" s="23">
        <f t="shared" si="1"/>
        <v>0</v>
      </c>
    </row>
    <row r="36" spans="1:25" ht="28.9" customHeight="1" x14ac:dyDescent="0.25">
      <c r="A36" s="1"/>
      <c r="B36" s="1"/>
      <c r="C36" s="1"/>
      <c r="D36" s="1">
        <v>5</v>
      </c>
      <c r="E36" s="1">
        <v>3</v>
      </c>
      <c r="F36" s="1"/>
      <c r="G36" s="1"/>
      <c r="H36" s="4" t="s">
        <v>397</v>
      </c>
      <c r="I36" s="73"/>
      <c r="J36" s="1"/>
      <c r="K36" s="4" t="s">
        <v>3599</v>
      </c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1864">
        <f t="shared" si="0"/>
        <v>0</v>
      </c>
      <c r="Y36" s="23">
        <f t="shared" si="1"/>
        <v>0</v>
      </c>
    </row>
    <row r="37" spans="1:25" x14ac:dyDescent="0.25">
      <c r="A37" s="1"/>
      <c r="B37" s="1"/>
      <c r="C37" s="1"/>
      <c r="D37" s="1"/>
      <c r="E37" s="1"/>
      <c r="F37" s="1">
        <v>2</v>
      </c>
      <c r="G37" s="1"/>
      <c r="H37" s="4" t="s">
        <v>1633</v>
      </c>
      <c r="I37" s="73"/>
      <c r="J37" s="1"/>
      <c r="K37" s="4" t="s">
        <v>3599</v>
      </c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1864">
        <f t="shared" si="0"/>
        <v>0</v>
      </c>
      <c r="Y37" s="23">
        <f t="shared" si="1"/>
        <v>0</v>
      </c>
    </row>
    <row r="38" spans="1:25" ht="28.9" customHeight="1" x14ac:dyDescent="0.25">
      <c r="A38" s="1"/>
      <c r="B38" s="1"/>
      <c r="C38" s="1"/>
      <c r="D38" s="1"/>
      <c r="E38" s="1"/>
      <c r="F38" s="1"/>
      <c r="G38" s="1489" t="s">
        <v>3389</v>
      </c>
      <c r="H38" s="4" t="s">
        <v>1635</v>
      </c>
      <c r="I38" s="73">
        <v>5000000</v>
      </c>
      <c r="J38" s="4" t="s">
        <v>1223</v>
      </c>
      <c r="K38" s="4" t="s">
        <v>3599</v>
      </c>
      <c r="L38" s="73"/>
      <c r="M38" s="73"/>
      <c r="N38" s="73"/>
      <c r="O38" s="73"/>
      <c r="P38" s="73"/>
      <c r="Q38" s="73"/>
      <c r="R38" s="73">
        <v>5000000</v>
      </c>
      <c r="S38" s="73"/>
      <c r="T38" s="73"/>
      <c r="U38" s="73"/>
      <c r="V38" s="73"/>
      <c r="W38" s="73"/>
      <c r="X38" s="1864">
        <f t="shared" si="0"/>
        <v>5000000</v>
      </c>
      <c r="Y38" s="23">
        <f t="shared" si="1"/>
        <v>0</v>
      </c>
    </row>
    <row r="39" spans="1:25" ht="28.9" customHeight="1" x14ac:dyDescent="0.25">
      <c r="A39" s="865">
        <v>2</v>
      </c>
      <c r="B39" s="865">
        <v>1</v>
      </c>
      <c r="C39" s="1490" t="s">
        <v>3388</v>
      </c>
      <c r="D39" s="865"/>
      <c r="E39" s="865"/>
      <c r="F39" s="865"/>
      <c r="G39" s="865"/>
      <c r="H39" s="1061" t="s">
        <v>3116</v>
      </c>
      <c r="I39" s="1063">
        <v>18008000</v>
      </c>
      <c r="J39" s="865" t="s">
        <v>1506</v>
      </c>
      <c r="K39" s="1061" t="s">
        <v>3599</v>
      </c>
      <c r="L39" s="1063"/>
      <c r="M39" s="1063"/>
      <c r="N39" s="1063"/>
      <c r="O39" s="1063"/>
      <c r="P39" s="1063"/>
      <c r="Q39" s="1063"/>
      <c r="R39" s="1063"/>
      <c r="S39" s="1063"/>
      <c r="T39" s="1063"/>
      <c r="U39" s="1063"/>
      <c r="V39" s="1063"/>
      <c r="W39" s="1063"/>
      <c r="X39" s="1866">
        <f t="shared" si="0"/>
        <v>0</v>
      </c>
      <c r="Y39" s="23">
        <f t="shared" si="1"/>
        <v>18008000</v>
      </c>
    </row>
    <row r="40" spans="1:25" ht="28.9" customHeight="1" x14ac:dyDescent="0.25">
      <c r="A40" s="1"/>
      <c r="B40" s="1"/>
      <c r="C40" s="1"/>
      <c r="D40" s="1">
        <v>5</v>
      </c>
      <c r="E40" s="1">
        <v>2</v>
      </c>
      <c r="F40" s="1"/>
      <c r="G40" s="1"/>
      <c r="H40" s="4" t="s">
        <v>277</v>
      </c>
      <c r="I40" s="73"/>
      <c r="J40" s="1"/>
      <c r="K40" s="4" t="s">
        <v>3599</v>
      </c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1864">
        <f t="shared" si="0"/>
        <v>0</v>
      </c>
      <c r="Y40" s="23">
        <f t="shared" si="1"/>
        <v>0</v>
      </c>
    </row>
    <row r="41" spans="1:25" x14ac:dyDescent="0.25">
      <c r="A41" s="1"/>
      <c r="B41" s="1"/>
      <c r="C41" s="1"/>
      <c r="D41" s="1"/>
      <c r="E41" s="1"/>
      <c r="F41" s="1">
        <v>1</v>
      </c>
      <c r="G41" s="1"/>
      <c r="H41" s="4" t="s">
        <v>84</v>
      </c>
      <c r="I41" s="73"/>
      <c r="J41" s="1"/>
      <c r="K41" s="4" t="s">
        <v>3599</v>
      </c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1864">
        <f t="shared" si="0"/>
        <v>0</v>
      </c>
      <c r="Y41" s="23">
        <f t="shared" si="1"/>
        <v>0</v>
      </c>
    </row>
    <row r="42" spans="1:25" ht="28.9" customHeight="1" x14ac:dyDescent="0.25">
      <c r="A42" s="1"/>
      <c r="B42" s="1"/>
      <c r="C42" s="1"/>
      <c r="D42" s="1"/>
      <c r="E42" s="1"/>
      <c r="F42" s="1"/>
      <c r="G42" s="1489" t="s">
        <v>3366</v>
      </c>
      <c r="H42" s="4" t="s">
        <v>679</v>
      </c>
      <c r="I42" s="73">
        <v>2390000</v>
      </c>
      <c r="J42" s="1" t="s">
        <v>1506</v>
      </c>
      <c r="K42" s="4" t="s">
        <v>3599</v>
      </c>
      <c r="L42" s="73">
        <v>2390000</v>
      </c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1864">
        <f t="shared" si="0"/>
        <v>2390000</v>
      </c>
      <c r="Y42" s="23">
        <f t="shared" si="1"/>
        <v>0</v>
      </c>
    </row>
    <row r="43" spans="1:25" ht="30" x14ac:dyDescent="0.25">
      <c r="A43" s="1"/>
      <c r="B43" s="1"/>
      <c r="C43" s="1"/>
      <c r="D43" s="1"/>
      <c r="E43" s="1"/>
      <c r="F43" s="1"/>
      <c r="G43" s="1489" t="s">
        <v>3391</v>
      </c>
      <c r="H43" s="4" t="s">
        <v>1395</v>
      </c>
      <c r="I43" s="73">
        <v>9240000</v>
      </c>
      <c r="J43" s="1" t="s">
        <v>1506</v>
      </c>
      <c r="K43" s="4" t="s">
        <v>3599</v>
      </c>
      <c r="L43" s="73">
        <v>9240000</v>
      </c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1864">
        <f t="shared" si="0"/>
        <v>9240000</v>
      </c>
      <c r="Y43" s="23">
        <f t="shared" si="1"/>
        <v>0</v>
      </c>
    </row>
    <row r="44" spans="1:25" ht="30" x14ac:dyDescent="0.25">
      <c r="A44" s="1"/>
      <c r="B44" s="1"/>
      <c r="C44" s="1"/>
      <c r="D44" s="1"/>
      <c r="E44" s="1"/>
      <c r="F44" s="1"/>
      <c r="G44" s="1489" t="s">
        <v>3393</v>
      </c>
      <c r="H44" s="4" t="s">
        <v>325</v>
      </c>
      <c r="I44" s="73">
        <v>90000</v>
      </c>
      <c r="J44" s="1" t="s">
        <v>1506</v>
      </c>
      <c r="K44" s="4" t="s">
        <v>3599</v>
      </c>
      <c r="L44" s="73">
        <v>90000</v>
      </c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1864">
        <f t="shared" si="0"/>
        <v>90000</v>
      </c>
      <c r="Y44" s="23">
        <f t="shared" si="1"/>
        <v>0</v>
      </c>
    </row>
    <row r="45" spans="1:25" ht="43.15" customHeight="1" x14ac:dyDescent="0.25">
      <c r="A45" s="1"/>
      <c r="B45" s="1"/>
      <c r="C45" s="1"/>
      <c r="D45" s="1">
        <v>5</v>
      </c>
      <c r="E45" s="1">
        <v>2</v>
      </c>
      <c r="F45" s="1">
        <v>2</v>
      </c>
      <c r="G45" s="1"/>
      <c r="H45" s="4" t="s">
        <v>478</v>
      </c>
      <c r="I45" s="73"/>
      <c r="J45" s="1"/>
      <c r="K45" s="4" t="s">
        <v>3599</v>
      </c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1864">
        <f t="shared" si="0"/>
        <v>0</v>
      </c>
      <c r="Y45" s="23">
        <f t="shared" si="1"/>
        <v>0</v>
      </c>
    </row>
    <row r="46" spans="1:25" ht="30" x14ac:dyDescent="0.25">
      <c r="A46" s="1"/>
      <c r="B46" s="1"/>
      <c r="C46" s="1"/>
      <c r="D46" s="1"/>
      <c r="E46" s="1"/>
      <c r="F46" s="1"/>
      <c r="G46" s="1489" t="s">
        <v>3366</v>
      </c>
      <c r="H46" s="4" t="s">
        <v>484</v>
      </c>
      <c r="I46" s="73">
        <v>4200000</v>
      </c>
      <c r="J46" s="1" t="s">
        <v>1506</v>
      </c>
      <c r="K46" s="4" t="s">
        <v>3599</v>
      </c>
      <c r="L46" s="73">
        <v>4200000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1864">
        <f t="shared" si="0"/>
        <v>4200000</v>
      </c>
      <c r="Y46" s="23">
        <f t="shared" si="1"/>
        <v>0</v>
      </c>
    </row>
    <row r="47" spans="1:25" ht="45" x14ac:dyDescent="0.25">
      <c r="A47" s="1"/>
      <c r="B47" s="1"/>
      <c r="C47" s="1"/>
      <c r="D47" s="1">
        <v>5</v>
      </c>
      <c r="E47" s="1">
        <v>2</v>
      </c>
      <c r="F47" s="1">
        <v>7</v>
      </c>
      <c r="G47" s="1"/>
      <c r="H47" s="4" t="s">
        <v>2230</v>
      </c>
      <c r="I47" s="73"/>
      <c r="J47" s="1"/>
      <c r="K47" s="4" t="s">
        <v>3599</v>
      </c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1864">
        <f t="shared" si="0"/>
        <v>0</v>
      </c>
      <c r="Y47" s="23">
        <f t="shared" si="1"/>
        <v>0</v>
      </c>
    </row>
    <row r="48" spans="1:25" ht="45" x14ac:dyDescent="0.25">
      <c r="A48" s="1"/>
      <c r="B48" s="1"/>
      <c r="C48" s="1"/>
      <c r="D48" s="1"/>
      <c r="E48" s="1"/>
      <c r="F48" s="1"/>
      <c r="G48" s="1489" t="s">
        <v>3366</v>
      </c>
      <c r="H48" s="4" t="s">
        <v>2231</v>
      </c>
      <c r="I48" s="73">
        <v>2088000</v>
      </c>
      <c r="J48" s="1" t="s">
        <v>1506</v>
      </c>
      <c r="K48" s="4" t="s">
        <v>3599</v>
      </c>
      <c r="L48" s="73">
        <v>2088000</v>
      </c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1864">
        <f t="shared" si="0"/>
        <v>2088000</v>
      </c>
      <c r="Y48" s="23">
        <f t="shared" si="1"/>
        <v>0</v>
      </c>
    </row>
    <row r="49" spans="1:25" ht="30" x14ac:dyDescent="0.25">
      <c r="A49" s="865">
        <v>2</v>
      </c>
      <c r="B49" s="865">
        <v>2</v>
      </c>
      <c r="C49" s="865">
        <v>92</v>
      </c>
      <c r="D49" s="865"/>
      <c r="E49" s="865"/>
      <c r="F49" s="865"/>
      <c r="G49" s="865"/>
      <c r="H49" s="1061" t="s">
        <v>754</v>
      </c>
      <c r="I49" s="1063">
        <v>51996000</v>
      </c>
      <c r="J49" s="865"/>
      <c r="K49" s="1061" t="s">
        <v>3599</v>
      </c>
      <c r="L49" s="1063"/>
      <c r="M49" s="1063"/>
      <c r="N49" s="1063"/>
      <c r="O49" s="1063"/>
      <c r="P49" s="1063"/>
      <c r="Q49" s="1063"/>
      <c r="R49" s="1063"/>
      <c r="S49" s="1063"/>
      <c r="T49" s="1063"/>
      <c r="U49" s="1063"/>
      <c r="V49" s="1063"/>
      <c r="W49" s="1063"/>
      <c r="X49" s="1866">
        <f t="shared" si="0"/>
        <v>0</v>
      </c>
      <c r="Y49" s="23">
        <f t="shared" si="1"/>
        <v>51996000</v>
      </c>
    </row>
    <row r="50" spans="1:25" x14ac:dyDescent="0.25">
      <c r="A50" s="1"/>
      <c r="B50" s="1"/>
      <c r="C50" s="1"/>
      <c r="D50" s="1"/>
      <c r="E50" s="1"/>
      <c r="F50" s="1"/>
      <c r="G50" s="1"/>
      <c r="H50" s="4" t="s">
        <v>753</v>
      </c>
      <c r="I50" s="73"/>
      <c r="J50" s="1"/>
      <c r="K50" s="4" t="s">
        <v>3599</v>
      </c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1864">
        <f t="shared" si="0"/>
        <v>0</v>
      </c>
      <c r="Y50" s="23">
        <f t="shared" si="1"/>
        <v>0</v>
      </c>
    </row>
    <row r="51" spans="1:25" x14ac:dyDescent="0.25">
      <c r="A51" s="1"/>
      <c r="B51" s="1"/>
      <c r="C51" s="1"/>
      <c r="D51" s="1">
        <v>5</v>
      </c>
      <c r="E51" s="1">
        <v>2</v>
      </c>
      <c r="F51" s="1"/>
      <c r="G51" s="1"/>
      <c r="H51" s="4" t="s">
        <v>683</v>
      </c>
      <c r="I51" s="73"/>
      <c r="J51" s="1"/>
      <c r="K51" s="4" t="s">
        <v>3599</v>
      </c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1864">
        <f t="shared" si="0"/>
        <v>0</v>
      </c>
      <c r="Y51" s="23">
        <f t="shared" si="1"/>
        <v>0</v>
      </c>
    </row>
    <row r="52" spans="1:25" x14ac:dyDescent="0.25">
      <c r="A52" s="1"/>
      <c r="B52" s="1"/>
      <c r="C52" s="1"/>
      <c r="D52" s="1"/>
      <c r="E52" s="1"/>
      <c r="F52" s="1">
        <v>1</v>
      </c>
      <c r="G52" s="1"/>
      <c r="H52" s="4" t="s">
        <v>682</v>
      </c>
      <c r="I52" s="73"/>
      <c r="J52" s="1"/>
      <c r="K52" s="4" t="s">
        <v>3599</v>
      </c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1864">
        <f t="shared" si="0"/>
        <v>0</v>
      </c>
      <c r="Y52" s="23">
        <f t="shared" si="1"/>
        <v>0</v>
      </c>
    </row>
    <row r="53" spans="1:25" ht="14.45" customHeight="1" x14ac:dyDescent="0.25">
      <c r="A53" s="1"/>
      <c r="B53" s="1"/>
      <c r="C53" s="1"/>
      <c r="D53" s="1"/>
      <c r="E53" s="1"/>
      <c r="F53" s="1"/>
      <c r="G53" s="1489" t="s">
        <v>3391</v>
      </c>
      <c r="H53" s="4" t="s">
        <v>307</v>
      </c>
      <c r="I53" s="73">
        <v>26600000</v>
      </c>
      <c r="J53" s="1" t="s">
        <v>1506</v>
      </c>
      <c r="K53" s="4" t="s">
        <v>3599</v>
      </c>
      <c r="L53" s="73"/>
      <c r="M53" s="73"/>
      <c r="N53" s="73"/>
      <c r="O53" s="73"/>
      <c r="P53" s="73"/>
      <c r="Q53" s="73"/>
      <c r="R53" s="73"/>
      <c r="S53" s="73"/>
      <c r="T53" s="73"/>
      <c r="U53" s="73">
        <v>26600000</v>
      </c>
      <c r="V53" s="73"/>
      <c r="W53" s="73"/>
      <c r="X53" s="1864">
        <f t="shared" si="0"/>
        <v>26600000</v>
      </c>
      <c r="Y53" s="23">
        <f t="shared" si="1"/>
        <v>0</v>
      </c>
    </row>
    <row r="54" spans="1:25" ht="14.45" customHeight="1" x14ac:dyDescent="0.25">
      <c r="A54" s="1"/>
      <c r="B54" s="1"/>
      <c r="C54" s="1"/>
      <c r="D54" s="1"/>
      <c r="E54" s="1"/>
      <c r="F54" s="1"/>
      <c r="G54" s="1489" t="s">
        <v>3393</v>
      </c>
      <c r="H54" s="4" t="s">
        <v>325</v>
      </c>
      <c r="I54" s="73">
        <v>2670000</v>
      </c>
      <c r="J54" s="1" t="s">
        <v>1506</v>
      </c>
      <c r="K54" s="4" t="s">
        <v>3599</v>
      </c>
      <c r="L54" s="73"/>
      <c r="M54" s="73"/>
      <c r="N54" s="73"/>
      <c r="O54" s="73"/>
      <c r="P54" s="73"/>
      <c r="Q54" s="73"/>
      <c r="R54" s="73"/>
      <c r="S54" s="73"/>
      <c r="T54" s="73"/>
      <c r="U54" s="73">
        <v>2670000</v>
      </c>
      <c r="V54" s="73"/>
      <c r="W54" s="73"/>
      <c r="X54" s="1864">
        <f t="shared" si="0"/>
        <v>2670000</v>
      </c>
      <c r="Y54" s="23">
        <f t="shared" si="1"/>
        <v>0</v>
      </c>
    </row>
    <row r="55" spans="1:25" x14ac:dyDescent="0.25">
      <c r="A55" s="1"/>
      <c r="B55" s="1"/>
      <c r="C55" s="1"/>
      <c r="D55" s="1"/>
      <c r="E55" s="1"/>
      <c r="F55" s="1"/>
      <c r="G55" s="1"/>
      <c r="H55" s="4" t="s">
        <v>752</v>
      </c>
      <c r="I55" s="73"/>
      <c r="J55" s="1"/>
      <c r="K55" s="4" t="s">
        <v>3599</v>
      </c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1864">
        <f t="shared" si="0"/>
        <v>0</v>
      </c>
      <c r="Y55" s="23">
        <f t="shared" si="1"/>
        <v>0</v>
      </c>
    </row>
    <row r="56" spans="1:25" x14ac:dyDescent="0.25">
      <c r="A56" s="1"/>
      <c r="B56" s="1"/>
      <c r="C56" s="1"/>
      <c r="D56" s="1">
        <v>5</v>
      </c>
      <c r="E56" s="1">
        <v>2</v>
      </c>
      <c r="F56" s="1"/>
      <c r="G56" s="1"/>
      <c r="H56" s="4" t="s">
        <v>683</v>
      </c>
      <c r="I56" s="73"/>
      <c r="J56" s="1"/>
      <c r="K56" s="4" t="s">
        <v>3599</v>
      </c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1864">
        <f t="shared" si="0"/>
        <v>0</v>
      </c>
      <c r="Y56" s="23">
        <f t="shared" si="1"/>
        <v>0</v>
      </c>
    </row>
    <row r="57" spans="1:25" ht="28.9" customHeight="1" x14ac:dyDescent="0.25">
      <c r="A57" s="1"/>
      <c r="B57" s="1"/>
      <c r="C57" s="1"/>
      <c r="D57" s="1"/>
      <c r="E57" s="1"/>
      <c r="F57" s="1">
        <v>1</v>
      </c>
      <c r="G57" s="1"/>
      <c r="H57" s="4" t="s">
        <v>682</v>
      </c>
      <c r="I57" s="73"/>
      <c r="J57" s="1"/>
      <c r="K57" s="4" t="s">
        <v>3599</v>
      </c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1864">
        <f t="shared" si="0"/>
        <v>0</v>
      </c>
      <c r="Y57" s="23">
        <f t="shared" si="1"/>
        <v>0</v>
      </c>
    </row>
    <row r="58" spans="1:25" ht="28.9" customHeight="1" x14ac:dyDescent="0.25">
      <c r="A58" s="1"/>
      <c r="B58" s="1"/>
      <c r="C58" s="1"/>
      <c r="D58" s="1"/>
      <c r="E58" s="1"/>
      <c r="F58" s="1"/>
      <c r="G58" s="1489" t="s">
        <v>3391</v>
      </c>
      <c r="H58" s="4" t="s">
        <v>307</v>
      </c>
      <c r="I58" s="73">
        <v>1260000</v>
      </c>
      <c r="J58" s="1" t="s">
        <v>1506</v>
      </c>
      <c r="K58" s="4" t="s">
        <v>3599</v>
      </c>
      <c r="L58" s="73"/>
      <c r="M58" s="73"/>
      <c r="N58" s="73"/>
      <c r="O58" s="73"/>
      <c r="P58" s="73"/>
      <c r="Q58" s="73"/>
      <c r="R58" s="73"/>
      <c r="S58" s="73"/>
      <c r="T58" s="73"/>
      <c r="U58" s="73">
        <v>1260000</v>
      </c>
      <c r="V58" s="73"/>
      <c r="W58" s="73"/>
      <c r="X58" s="1864">
        <f t="shared" si="0"/>
        <v>1260000</v>
      </c>
      <c r="Y58" s="23">
        <f t="shared" si="1"/>
        <v>0</v>
      </c>
    </row>
    <row r="59" spans="1:25" ht="28.9" customHeight="1" x14ac:dyDescent="0.25">
      <c r="A59" s="1"/>
      <c r="B59" s="1"/>
      <c r="C59" s="1"/>
      <c r="D59" s="1"/>
      <c r="E59" s="1"/>
      <c r="F59" s="1"/>
      <c r="G59" s="1489" t="s">
        <v>3394</v>
      </c>
      <c r="H59" s="4" t="s">
        <v>746</v>
      </c>
      <c r="I59" s="73">
        <v>3780000</v>
      </c>
      <c r="J59" s="1" t="s">
        <v>1506</v>
      </c>
      <c r="K59" s="4" t="s">
        <v>3599</v>
      </c>
      <c r="L59" s="73"/>
      <c r="M59" s="73"/>
      <c r="N59" s="73"/>
      <c r="O59" s="73"/>
      <c r="P59" s="73"/>
      <c r="Q59" s="73"/>
      <c r="R59" s="73"/>
      <c r="S59" s="73"/>
      <c r="T59" s="73"/>
      <c r="U59" s="73">
        <v>3780000</v>
      </c>
      <c r="V59" s="73"/>
      <c r="W59" s="73"/>
      <c r="X59" s="1864">
        <f t="shared" si="0"/>
        <v>3780000</v>
      </c>
      <c r="Y59" s="23">
        <f t="shared" si="1"/>
        <v>0</v>
      </c>
    </row>
    <row r="60" spans="1:25" x14ac:dyDescent="0.25">
      <c r="A60" s="1"/>
      <c r="B60" s="1"/>
      <c r="C60" s="1"/>
      <c r="D60" s="1">
        <v>5</v>
      </c>
      <c r="E60" s="1">
        <v>2</v>
      </c>
      <c r="F60" s="1">
        <v>2</v>
      </c>
      <c r="G60" s="1"/>
      <c r="H60" s="4" t="s">
        <v>741</v>
      </c>
      <c r="I60" s="73"/>
      <c r="J60" s="1"/>
      <c r="K60" s="4" t="s">
        <v>3599</v>
      </c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1864">
        <f t="shared" si="0"/>
        <v>0</v>
      </c>
      <c r="Y60" s="23">
        <f t="shared" si="1"/>
        <v>0</v>
      </c>
    </row>
    <row r="61" spans="1:25" ht="30" x14ac:dyDescent="0.25">
      <c r="A61" s="1"/>
      <c r="B61" s="1"/>
      <c r="C61" s="1"/>
      <c r="D61" s="1"/>
      <c r="E61" s="1"/>
      <c r="F61" s="1"/>
      <c r="G61" s="1489" t="s">
        <v>3366</v>
      </c>
      <c r="H61" s="4" t="s">
        <v>707</v>
      </c>
      <c r="I61" s="73">
        <v>1150000</v>
      </c>
      <c r="J61" s="1" t="s">
        <v>1506</v>
      </c>
      <c r="K61" s="4" t="s">
        <v>3599</v>
      </c>
      <c r="L61" s="73"/>
      <c r="M61" s="73"/>
      <c r="N61" s="73"/>
      <c r="O61" s="73"/>
      <c r="P61" s="73"/>
      <c r="Q61" s="73"/>
      <c r="R61" s="73"/>
      <c r="S61" s="73"/>
      <c r="T61" s="73"/>
      <c r="U61" s="73">
        <v>1150000</v>
      </c>
      <c r="V61" s="73"/>
      <c r="W61" s="73"/>
      <c r="X61" s="1864">
        <f t="shared" si="0"/>
        <v>1150000</v>
      </c>
      <c r="Y61" s="23">
        <f t="shared" si="1"/>
        <v>0</v>
      </c>
    </row>
    <row r="62" spans="1:25" ht="45" x14ac:dyDescent="0.25">
      <c r="A62" s="1"/>
      <c r="B62" s="1"/>
      <c r="C62" s="1"/>
      <c r="D62" s="1"/>
      <c r="E62" s="1"/>
      <c r="F62" s="1"/>
      <c r="G62" s="1489" t="s">
        <v>3389</v>
      </c>
      <c r="H62" s="4" t="s">
        <v>656</v>
      </c>
      <c r="I62" s="73">
        <v>4536000</v>
      </c>
      <c r="J62" s="1" t="s">
        <v>1506</v>
      </c>
      <c r="K62" s="4" t="s">
        <v>3599</v>
      </c>
      <c r="L62" s="73"/>
      <c r="M62" s="73"/>
      <c r="N62" s="73"/>
      <c r="O62" s="73"/>
      <c r="P62" s="73"/>
      <c r="Q62" s="73"/>
      <c r="R62" s="73"/>
      <c r="S62" s="73"/>
      <c r="T62" s="73"/>
      <c r="U62" s="73">
        <v>4536000</v>
      </c>
      <c r="V62" s="73"/>
      <c r="W62" s="73"/>
      <c r="X62" s="1864">
        <f t="shared" si="0"/>
        <v>4536000</v>
      </c>
      <c r="Y62" s="23">
        <f t="shared" si="1"/>
        <v>0</v>
      </c>
    </row>
    <row r="63" spans="1:25" ht="28.9" customHeight="1" x14ac:dyDescent="0.25">
      <c r="A63" s="1"/>
      <c r="B63" s="1"/>
      <c r="C63" s="1"/>
      <c r="D63" s="1">
        <v>5</v>
      </c>
      <c r="E63" s="1">
        <v>2</v>
      </c>
      <c r="F63" s="1">
        <v>7</v>
      </c>
      <c r="G63" s="1"/>
      <c r="H63" s="4" t="s">
        <v>737</v>
      </c>
      <c r="I63" s="73"/>
      <c r="J63" s="1"/>
      <c r="K63" s="4" t="s">
        <v>3599</v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1864">
        <f t="shared" si="0"/>
        <v>0</v>
      </c>
      <c r="Y63" s="23">
        <f t="shared" si="1"/>
        <v>0</v>
      </c>
    </row>
    <row r="64" spans="1:25" ht="43.15" customHeight="1" x14ac:dyDescent="0.25">
      <c r="A64" s="1"/>
      <c r="B64" s="1"/>
      <c r="C64" s="1"/>
      <c r="D64" s="1"/>
      <c r="E64" s="1"/>
      <c r="F64" s="1"/>
      <c r="G64" s="1">
        <v>90</v>
      </c>
      <c r="H64" s="4" t="s">
        <v>735</v>
      </c>
      <c r="I64" s="73">
        <v>12000000</v>
      </c>
      <c r="J64" s="4" t="s">
        <v>1775</v>
      </c>
      <c r="K64" s="4" t="s">
        <v>3599</v>
      </c>
      <c r="L64" s="73"/>
      <c r="M64" s="73"/>
      <c r="N64" s="73"/>
      <c r="O64" s="73"/>
      <c r="P64" s="73"/>
      <c r="Q64" s="73"/>
      <c r="R64" s="73"/>
      <c r="S64" s="73"/>
      <c r="T64" s="73"/>
      <c r="U64" s="73">
        <v>12000000</v>
      </c>
      <c r="V64" s="73"/>
      <c r="W64" s="73"/>
      <c r="X64" s="1864">
        <f t="shared" si="0"/>
        <v>12000000</v>
      </c>
      <c r="Y64" s="23">
        <f t="shared" si="1"/>
        <v>0</v>
      </c>
    </row>
    <row r="65" spans="1:25" ht="43.15" customHeight="1" x14ac:dyDescent="0.25">
      <c r="A65" s="865">
        <v>2</v>
      </c>
      <c r="B65" s="865">
        <v>4</v>
      </c>
      <c r="C65" s="1490" t="s">
        <v>3392</v>
      </c>
      <c r="D65" s="865"/>
      <c r="E65" s="865"/>
      <c r="F65" s="865"/>
      <c r="G65" s="865"/>
      <c r="H65" s="1061" t="s">
        <v>800</v>
      </c>
      <c r="I65" s="1063">
        <v>650876535.20000005</v>
      </c>
      <c r="J65" s="865"/>
      <c r="K65" s="1061" t="s">
        <v>3599</v>
      </c>
      <c r="L65" s="1063"/>
      <c r="M65" s="1063"/>
      <c r="N65" s="1063"/>
      <c r="O65" s="1063"/>
      <c r="P65" s="1063"/>
      <c r="Q65" s="1063"/>
      <c r="R65" s="1063"/>
      <c r="S65" s="1063"/>
      <c r="T65" s="1063"/>
      <c r="U65" s="1063"/>
      <c r="V65" s="1063"/>
      <c r="W65" s="1063"/>
      <c r="X65" s="1866">
        <f t="shared" si="0"/>
        <v>0</v>
      </c>
      <c r="Y65" s="23">
        <f t="shared" si="1"/>
        <v>650876535.20000005</v>
      </c>
    </row>
    <row r="66" spans="1:25" x14ac:dyDescent="0.25">
      <c r="A66" s="1"/>
      <c r="B66" s="1"/>
      <c r="C66" s="1489"/>
      <c r="D66" s="1">
        <v>5</v>
      </c>
      <c r="E66" s="1">
        <v>2</v>
      </c>
      <c r="F66" s="1"/>
      <c r="G66" s="1"/>
      <c r="H66" s="4"/>
      <c r="I66" s="98"/>
      <c r="J66" s="1"/>
      <c r="K66" s="4" t="s">
        <v>3599</v>
      </c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1864">
        <f t="shared" si="0"/>
        <v>0</v>
      </c>
      <c r="Y66" s="23">
        <f t="shared" si="1"/>
        <v>0</v>
      </c>
    </row>
    <row r="67" spans="1:25" x14ac:dyDescent="0.25">
      <c r="A67" s="1"/>
      <c r="B67" s="1"/>
      <c r="C67" s="1"/>
      <c r="D67" s="1"/>
      <c r="E67" s="1"/>
      <c r="F67" s="1">
        <v>1</v>
      </c>
      <c r="G67" s="1"/>
      <c r="H67" s="4" t="s">
        <v>84</v>
      </c>
      <c r="I67" s="98"/>
      <c r="J67" s="1"/>
      <c r="K67" s="4" t="s">
        <v>3599</v>
      </c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1864">
        <f t="shared" si="0"/>
        <v>0</v>
      </c>
      <c r="Y67" s="23">
        <f t="shared" si="1"/>
        <v>0</v>
      </c>
    </row>
    <row r="68" spans="1:25" ht="45" x14ac:dyDescent="0.25">
      <c r="A68" s="1"/>
      <c r="B68" s="1"/>
      <c r="C68" s="1"/>
      <c r="D68" s="1"/>
      <c r="E68" s="1"/>
      <c r="F68" s="1"/>
      <c r="G68" s="1489" t="s">
        <v>3389</v>
      </c>
      <c r="H68" s="4" t="s">
        <v>1595</v>
      </c>
      <c r="I68" s="73">
        <v>126300000</v>
      </c>
      <c r="J68" s="4" t="s">
        <v>1223</v>
      </c>
      <c r="K68" s="4" t="s">
        <v>3599</v>
      </c>
      <c r="L68" s="73"/>
      <c r="M68" s="73">
        <v>126300000</v>
      </c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1864">
        <f t="shared" si="0"/>
        <v>126300000</v>
      </c>
      <c r="Y68" s="23">
        <f t="shared" si="1"/>
        <v>0</v>
      </c>
    </row>
    <row r="69" spans="1:25" x14ac:dyDescent="0.25">
      <c r="A69" s="1"/>
      <c r="B69" s="1"/>
      <c r="C69" s="1"/>
      <c r="D69" s="1"/>
      <c r="E69" s="1"/>
      <c r="F69" s="1"/>
      <c r="G69" s="1489" t="s">
        <v>3390</v>
      </c>
      <c r="H69" s="4" t="s">
        <v>328</v>
      </c>
      <c r="I69" s="73">
        <v>4950000</v>
      </c>
      <c r="J69" s="1" t="s">
        <v>1223</v>
      </c>
      <c r="K69" s="4" t="s">
        <v>3599</v>
      </c>
      <c r="L69" s="73"/>
      <c r="M69" s="73">
        <v>4950000</v>
      </c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1864">
        <f t="shared" si="0"/>
        <v>4950000</v>
      </c>
      <c r="Y69" s="23">
        <f t="shared" si="1"/>
        <v>0</v>
      </c>
    </row>
    <row r="70" spans="1:25" x14ac:dyDescent="0.25">
      <c r="A70" s="1"/>
      <c r="B70" s="1"/>
      <c r="C70" s="1"/>
      <c r="D70" s="1"/>
      <c r="E70" s="1"/>
      <c r="F70" s="1"/>
      <c r="G70" s="1489" t="s">
        <v>3392</v>
      </c>
      <c r="H70" s="4" t="s">
        <v>791</v>
      </c>
      <c r="I70" s="73">
        <v>3249000</v>
      </c>
      <c r="J70" s="1" t="s">
        <v>1223</v>
      </c>
      <c r="K70" s="4" t="s">
        <v>3599</v>
      </c>
      <c r="L70" s="73"/>
      <c r="M70" s="73">
        <v>3249000</v>
      </c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1864">
        <f t="shared" si="0"/>
        <v>3249000</v>
      </c>
      <c r="Y70" s="23">
        <f t="shared" si="1"/>
        <v>0</v>
      </c>
    </row>
    <row r="71" spans="1:25" x14ac:dyDescent="0.25">
      <c r="A71" s="1"/>
      <c r="B71" s="1"/>
      <c r="C71" s="1"/>
      <c r="D71" s="1"/>
      <c r="E71" s="1"/>
      <c r="F71" s="1"/>
      <c r="G71" s="1489" t="s">
        <v>3394</v>
      </c>
      <c r="H71" s="1" t="s">
        <v>2238</v>
      </c>
      <c r="I71" s="73">
        <v>6146000</v>
      </c>
      <c r="J71" s="1" t="s">
        <v>1223</v>
      </c>
      <c r="K71" s="4" t="s">
        <v>3599</v>
      </c>
      <c r="L71" s="73"/>
      <c r="M71" s="73">
        <v>6146000</v>
      </c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1864">
        <f t="shared" si="0"/>
        <v>6146000</v>
      </c>
      <c r="Y71" s="23">
        <f t="shared" si="1"/>
        <v>0</v>
      </c>
    </row>
    <row r="72" spans="1:25" ht="30" x14ac:dyDescent="0.25">
      <c r="A72" s="1"/>
      <c r="B72" s="1"/>
      <c r="C72" s="1"/>
      <c r="D72" s="1"/>
      <c r="E72" s="1"/>
      <c r="F72" s="1"/>
      <c r="G72" s="1489" t="s">
        <v>3394</v>
      </c>
      <c r="H72" s="1" t="s">
        <v>2238</v>
      </c>
      <c r="I72" s="73">
        <v>14564515.199999999</v>
      </c>
      <c r="J72" s="4" t="s">
        <v>3296</v>
      </c>
      <c r="K72" s="4" t="s">
        <v>3599</v>
      </c>
      <c r="L72" s="73"/>
      <c r="M72" s="73">
        <v>14564515.199999999</v>
      </c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1864">
        <f t="shared" si="0"/>
        <v>14564515.199999999</v>
      </c>
      <c r="Y72" s="23">
        <f t="shared" si="1"/>
        <v>0</v>
      </c>
    </row>
    <row r="73" spans="1:25" x14ac:dyDescent="0.25">
      <c r="A73" s="1"/>
      <c r="B73" s="1"/>
      <c r="C73" s="1"/>
      <c r="D73" s="1">
        <v>5</v>
      </c>
      <c r="E73" s="1">
        <v>2</v>
      </c>
      <c r="F73" s="1">
        <v>2</v>
      </c>
      <c r="G73" s="1489"/>
      <c r="H73" s="1" t="s">
        <v>478</v>
      </c>
      <c r="I73" s="73"/>
      <c r="J73" s="1"/>
      <c r="K73" s="4" t="s">
        <v>3599</v>
      </c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1864">
        <f t="shared" si="0"/>
        <v>0</v>
      </c>
      <c r="Y73" s="23">
        <f t="shared" si="1"/>
        <v>0</v>
      </c>
    </row>
    <row r="74" spans="1:25" ht="30" x14ac:dyDescent="0.25">
      <c r="A74" s="1"/>
      <c r="B74" s="1"/>
      <c r="C74" s="1"/>
      <c r="D74" s="1"/>
      <c r="E74" s="1"/>
      <c r="F74" s="1"/>
      <c r="G74" s="1489" t="s">
        <v>3390</v>
      </c>
      <c r="H74" s="4" t="s">
        <v>783</v>
      </c>
      <c r="I74" s="73">
        <v>301200000</v>
      </c>
      <c r="J74" s="4" t="s">
        <v>3296</v>
      </c>
      <c r="K74" s="4" t="s">
        <v>3599</v>
      </c>
      <c r="L74" s="73">
        <v>29600000</v>
      </c>
      <c r="M74" s="73">
        <v>29600000</v>
      </c>
      <c r="N74" s="73">
        <v>29600000</v>
      </c>
      <c r="O74" s="73">
        <v>23600000</v>
      </c>
      <c r="P74" s="73">
        <v>23600000</v>
      </c>
      <c r="Q74" s="73">
        <v>23600000</v>
      </c>
      <c r="R74" s="73">
        <v>23600000</v>
      </c>
      <c r="S74" s="73">
        <v>23600000</v>
      </c>
      <c r="T74" s="73">
        <v>23600000</v>
      </c>
      <c r="U74" s="73">
        <v>23600000</v>
      </c>
      <c r="V74" s="73">
        <v>23600000</v>
      </c>
      <c r="W74" s="73">
        <v>23600000</v>
      </c>
      <c r="X74" s="1864">
        <f t="shared" si="0"/>
        <v>301200000</v>
      </c>
      <c r="Y74" s="23">
        <f t="shared" si="1"/>
        <v>0</v>
      </c>
    </row>
    <row r="75" spans="1:25" ht="14.45" customHeight="1" x14ac:dyDescent="0.25">
      <c r="A75" s="1"/>
      <c r="B75" s="1"/>
      <c r="C75" s="1"/>
      <c r="D75" s="1"/>
      <c r="E75" s="1"/>
      <c r="F75" s="1"/>
      <c r="G75" s="1489" t="s">
        <v>3390</v>
      </c>
      <c r="H75" s="4" t="s">
        <v>783</v>
      </c>
      <c r="I75" s="73">
        <v>54000000</v>
      </c>
      <c r="J75" s="4" t="s">
        <v>1223</v>
      </c>
      <c r="K75" s="4" t="s">
        <v>3599</v>
      </c>
      <c r="L75" s="73"/>
      <c r="M75" s="73"/>
      <c r="N75" s="73"/>
      <c r="O75" s="73">
        <v>6000000</v>
      </c>
      <c r="P75" s="73">
        <v>6000000</v>
      </c>
      <c r="Q75" s="73">
        <v>6000000</v>
      </c>
      <c r="R75" s="73">
        <v>6000000</v>
      </c>
      <c r="S75" s="73">
        <v>6000000</v>
      </c>
      <c r="T75" s="73">
        <v>6000000</v>
      </c>
      <c r="U75" s="73">
        <v>6000000</v>
      </c>
      <c r="V75" s="73">
        <v>6000000</v>
      </c>
      <c r="W75" s="73">
        <v>6000000</v>
      </c>
      <c r="X75" s="1864">
        <f t="shared" si="0"/>
        <v>54000000</v>
      </c>
      <c r="Y75" s="23">
        <f t="shared" si="1"/>
        <v>0</v>
      </c>
    </row>
    <row r="76" spans="1:25" ht="30" x14ac:dyDescent="0.25">
      <c r="A76" s="1"/>
      <c r="B76" s="1"/>
      <c r="C76" s="1"/>
      <c r="D76" s="1">
        <v>5</v>
      </c>
      <c r="E76" s="1">
        <v>2</v>
      </c>
      <c r="F76" s="1">
        <v>5</v>
      </c>
      <c r="G76" s="1"/>
      <c r="H76" s="4" t="s">
        <v>1604</v>
      </c>
      <c r="I76" s="73"/>
      <c r="J76" s="4"/>
      <c r="K76" s="4" t="s">
        <v>3599</v>
      </c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1864">
        <f t="shared" si="0"/>
        <v>0</v>
      </c>
      <c r="Y76" s="23">
        <f t="shared" si="1"/>
        <v>0</v>
      </c>
    </row>
    <row r="77" spans="1:25" x14ac:dyDescent="0.25">
      <c r="A77" s="1"/>
      <c r="B77" s="1"/>
      <c r="C77" s="1"/>
      <c r="D77" s="1"/>
      <c r="E77" s="1"/>
      <c r="F77" s="1"/>
      <c r="G77" s="1489" t="s">
        <v>3392</v>
      </c>
      <c r="H77" s="4" t="s">
        <v>779</v>
      </c>
      <c r="I77" s="73">
        <v>25967020</v>
      </c>
      <c r="J77" s="4" t="s">
        <v>1220</v>
      </c>
      <c r="K77" s="4" t="s">
        <v>3599</v>
      </c>
      <c r="L77" s="73"/>
      <c r="M77" s="73"/>
      <c r="N77" s="73"/>
      <c r="O77" s="73"/>
      <c r="P77" s="73"/>
      <c r="Q77" s="73">
        <v>12983510</v>
      </c>
      <c r="R77" s="73">
        <v>12983510</v>
      </c>
      <c r="S77" s="73"/>
      <c r="T77" s="73"/>
      <c r="U77" s="73"/>
      <c r="V77" s="73"/>
      <c r="W77" s="73"/>
      <c r="X77" s="1864">
        <f t="shared" si="0"/>
        <v>25967020</v>
      </c>
      <c r="Y77" s="23">
        <f t="shared" si="1"/>
        <v>0</v>
      </c>
    </row>
    <row r="78" spans="1:25" ht="28.9" customHeight="1" x14ac:dyDescent="0.25">
      <c r="A78" s="1"/>
      <c r="B78" s="1"/>
      <c r="C78" s="1"/>
      <c r="D78" s="1"/>
      <c r="E78" s="1"/>
      <c r="F78" s="1"/>
      <c r="G78" s="1489" t="s">
        <v>3392</v>
      </c>
      <c r="H78" s="4" t="s">
        <v>779</v>
      </c>
      <c r="I78" s="73">
        <v>2000000</v>
      </c>
      <c r="J78" s="4" t="s">
        <v>2253</v>
      </c>
      <c r="K78" s="4" t="s">
        <v>3599</v>
      </c>
      <c r="L78" s="73"/>
      <c r="M78" s="73">
        <v>2000000</v>
      </c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1864">
        <f t="shared" si="0"/>
        <v>2000000</v>
      </c>
      <c r="Y78" s="23">
        <f t="shared" si="1"/>
        <v>0</v>
      </c>
    </row>
    <row r="79" spans="1:25" ht="57.6" customHeight="1" x14ac:dyDescent="0.25">
      <c r="A79" s="1"/>
      <c r="B79" s="1"/>
      <c r="C79" s="1"/>
      <c r="D79" s="1">
        <v>5</v>
      </c>
      <c r="E79" s="1">
        <v>2</v>
      </c>
      <c r="F79" s="1">
        <v>6</v>
      </c>
      <c r="G79" s="1"/>
      <c r="H79" s="4" t="s">
        <v>206</v>
      </c>
      <c r="I79" s="73"/>
      <c r="J79" s="4"/>
      <c r="K79" s="4" t="s">
        <v>3599</v>
      </c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1864">
        <f t="shared" ref="X79:X142" si="2">SUM(L79:W79)</f>
        <v>0</v>
      </c>
      <c r="Y79" s="23">
        <f t="shared" ref="Y79:Y142" si="3">I79-X79</f>
        <v>0</v>
      </c>
    </row>
    <row r="80" spans="1:25" ht="30" x14ac:dyDescent="0.25">
      <c r="A80" s="1"/>
      <c r="B80" s="1"/>
      <c r="C80" s="1"/>
      <c r="D80" s="1"/>
      <c r="E80" s="1"/>
      <c r="F80" s="1"/>
      <c r="G80" s="1489" t="s">
        <v>3386</v>
      </c>
      <c r="H80" s="4" t="s">
        <v>208</v>
      </c>
      <c r="I80" s="73">
        <v>92500000</v>
      </c>
      <c r="J80" s="4" t="s">
        <v>1220</v>
      </c>
      <c r="K80" s="4" t="s">
        <v>3599</v>
      </c>
      <c r="L80" s="73">
        <v>7708000</v>
      </c>
      <c r="M80" s="73">
        <v>7708000</v>
      </c>
      <c r="N80" s="73">
        <v>7708000</v>
      </c>
      <c r="O80" s="73">
        <v>7708000</v>
      </c>
      <c r="P80" s="73">
        <v>7708000</v>
      </c>
      <c r="Q80" s="73">
        <v>7708000</v>
      </c>
      <c r="R80" s="73">
        <v>7708000</v>
      </c>
      <c r="S80" s="73">
        <v>7708000</v>
      </c>
      <c r="T80" s="73">
        <v>7708000</v>
      </c>
      <c r="U80" s="73">
        <v>7708000</v>
      </c>
      <c r="V80" s="73">
        <v>7708000</v>
      </c>
      <c r="W80" s="73">
        <v>7712000</v>
      </c>
      <c r="X80" s="1864">
        <f t="shared" si="2"/>
        <v>92500000</v>
      </c>
      <c r="Y80" s="23">
        <f t="shared" si="3"/>
        <v>0</v>
      </c>
    </row>
    <row r="81" spans="1:25" ht="30" x14ac:dyDescent="0.25">
      <c r="A81" s="1"/>
      <c r="B81" s="1"/>
      <c r="C81" s="1"/>
      <c r="D81" s="1"/>
      <c r="E81" s="1"/>
      <c r="F81" s="1"/>
      <c r="G81" s="1489" t="s">
        <v>3386</v>
      </c>
      <c r="H81" s="4" t="s">
        <v>208</v>
      </c>
      <c r="I81" s="73">
        <v>20000000</v>
      </c>
      <c r="J81" s="4" t="s">
        <v>3296</v>
      </c>
      <c r="K81" s="4" t="s">
        <v>3599</v>
      </c>
      <c r="L81" s="73"/>
      <c r="M81" s="73">
        <v>20000000</v>
      </c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1864">
        <f t="shared" si="2"/>
        <v>20000000</v>
      </c>
      <c r="Y81" s="23">
        <f t="shared" si="3"/>
        <v>0</v>
      </c>
    </row>
    <row r="82" spans="1:25" ht="45" x14ac:dyDescent="0.25">
      <c r="A82" s="865">
        <v>2</v>
      </c>
      <c r="B82" s="865">
        <v>4</v>
      </c>
      <c r="C82" s="1490" t="s">
        <v>3392</v>
      </c>
      <c r="D82" s="865"/>
      <c r="E82" s="865"/>
      <c r="F82" s="865"/>
      <c r="G82" s="865"/>
      <c r="H82" s="1061" t="s">
        <v>1425</v>
      </c>
      <c r="I82" s="1063">
        <v>268499300</v>
      </c>
      <c r="J82" s="865"/>
      <c r="K82" s="1061" t="s">
        <v>3599</v>
      </c>
      <c r="L82" s="1063"/>
      <c r="M82" s="1063"/>
      <c r="N82" s="1063"/>
      <c r="O82" s="1063"/>
      <c r="P82" s="1063"/>
      <c r="Q82" s="1063"/>
      <c r="R82" s="1063"/>
      <c r="S82" s="1063"/>
      <c r="T82" s="1063"/>
      <c r="U82" s="1063"/>
      <c r="V82" s="1063"/>
      <c r="W82" s="1063"/>
      <c r="X82" s="1866">
        <f t="shared" si="2"/>
        <v>0</v>
      </c>
      <c r="Y82" s="23">
        <f t="shared" si="3"/>
        <v>268499300</v>
      </c>
    </row>
    <row r="83" spans="1:25" x14ac:dyDescent="0.25">
      <c r="A83" s="1"/>
      <c r="B83" s="1"/>
      <c r="C83" s="1"/>
      <c r="D83" s="1"/>
      <c r="E83" s="1"/>
      <c r="F83" s="1"/>
      <c r="G83" s="1"/>
      <c r="H83" s="4" t="s">
        <v>1426</v>
      </c>
      <c r="I83" s="73"/>
      <c r="J83" s="1"/>
      <c r="K83" s="4" t="s">
        <v>3599</v>
      </c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1864">
        <f t="shared" si="2"/>
        <v>0</v>
      </c>
      <c r="Y83" s="23">
        <f t="shared" si="3"/>
        <v>0</v>
      </c>
    </row>
    <row r="84" spans="1:25" x14ac:dyDescent="0.25">
      <c r="A84" s="1"/>
      <c r="B84" s="1"/>
      <c r="C84" s="1"/>
      <c r="D84" s="1">
        <v>5</v>
      </c>
      <c r="E84" s="1">
        <v>2</v>
      </c>
      <c r="F84" s="1"/>
      <c r="G84" s="1"/>
      <c r="H84" s="4" t="s">
        <v>277</v>
      </c>
      <c r="I84" s="73"/>
      <c r="J84" s="1"/>
      <c r="K84" s="4" t="s">
        <v>3599</v>
      </c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1864">
        <f t="shared" si="2"/>
        <v>0</v>
      </c>
      <c r="Y84" s="23">
        <f t="shared" si="3"/>
        <v>0</v>
      </c>
    </row>
    <row r="85" spans="1:25" x14ac:dyDescent="0.25">
      <c r="A85" s="1"/>
      <c r="B85" s="1"/>
      <c r="C85" s="1"/>
      <c r="D85" s="1"/>
      <c r="E85" s="1"/>
      <c r="F85" s="1">
        <v>1</v>
      </c>
      <c r="G85" s="1"/>
      <c r="H85" s="4" t="s">
        <v>84</v>
      </c>
      <c r="I85" s="73"/>
      <c r="J85" s="1"/>
      <c r="K85" s="4" t="s">
        <v>3599</v>
      </c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1864">
        <f t="shared" si="2"/>
        <v>0</v>
      </c>
      <c r="Y85" s="23">
        <f t="shared" si="3"/>
        <v>0</v>
      </c>
    </row>
    <row r="86" spans="1:25" ht="30" x14ac:dyDescent="0.25">
      <c r="A86" s="1"/>
      <c r="B86" s="1"/>
      <c r="C86" s="1"/>
      <c r="D86" s="1"/>
      <c r="E86" s="1"/>
      <c r="F86" s="1"/>
      <c r="G86" s="1489" t="s">
        <v>3366</v>
      </c>
      <c r="H86" s="4" t="s">
        <v>1428</v>
      </c>
      <c r="I86" s="73">
        <v>666000</v>
      </c>
      <c r="J86" s="1" t="s">
        <v>1220</v>
      </c>
      <c r="K86" s="4" t="s">
        <v>3599</v>
      </c>
      <c r="L86" s="73">
        <v>666000</v>
      </c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1864">
        <f t="shared" si="2"/>
        <v>666000</v>
      </c>
      <c r="Y86" s="23">
        <f t="shared" si="3"/>
        <v>0</v>
      </c>
    </row>
    <row r="87" spans="1:25" ht="45" x14ac:dyDescent="0.25">
      <c r="A87" s="1"/>
      <c r="B87" s="1"/>
      <c r="C87" s="1"/>
      <c r="D87" s="1"/>
      <c r="E87" s="1"/>
      <c r="F87" s="1"/>
      <c r="G87" s="1489" t="s">
        <v>3389</v>
      </c>
      <c r="H87" s="4" t="s">
        <v>814</v>
      </c>
      <c r="I87" s="73">
        <v>240000</v>
      </c>
      <c r="J87" s="1" t="s">
        <v>1220</v>
      </c>
      <c r="K87" s="4" t="s">
        <v>3599</v>
      </c>
      <c r="L87" s="73">
        <v>20000</v>
      </c>
      <c r="M87" s="73">
        <v>20000</v>
      </c>
      <c r="N87" s="73">
        <v>20000</v>
      </c>
      <c r="O87" s="73">
        <v>20000</v>
      </c>
      <c r="P87" s="73">
        <v>20000</v>
      </c>
      <c r="Q87" s="73">
        <v>20000</v>
      </c>
      <c r="R87" s="73">
        <v>20000</v>
      </c>
      <c r="S87" s="73">
        <v>20000</v>
      </c>
      <c r="T87" s="73">
        <v>20000</v>
      </c>
      <c r="U87" s="73">
        <v>20000</v>
      </c>
      <c r="V87" s="73">
        <v>20000</v>
      </c>
      <c r="W87" s="73">
        <v>20000</v>
      </c>
      <c r="X87" s="1864">
        <f t="shared" si="2"/>
        <v>240000</v>
      </c>
      <c r="Y87" s="23">
        <f t="shared" si="3"/>
        <v>0</v>
      </c>
    </row>
    <row r="88" spans="1:25" ht="28.9" customHeight="1" x14ac:dyDescent="0.25">
      <c r="A88" s="1"/>
      <c r="B88" s="1"/>
      <c r="C88" s="1"/>
      <c r="D88" s="1"/>
      <c r="E88" s="1"/>
      <c r="F88" s="1"/>
      <c r="G88" s="1489" t="s">
        <v>3388</v>
      </c>
      <c r="H88" s="4" t="s">
        <v>1430</v>
      </c>
      <c r="I88" s="73">
        <v>2586000</v>
      </c>
      <c r="J88" s="1" t="s">
        <v>1220</v>
      </c>
      <c r="K88" s="4" t="s">
        <v>3599</v>
      </c>
      <c r="L88" s="73">
        <v>2586000</v>
      </c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1864">
        <f t="shared" si="2"/>
        <v>2586000</v>
      </c>
      <c r="Y88" s="23">
        <f t="shared" si="3"/>
        <v>0</v>
      </c>
    </row>
    <row r="89" spans="1:25" ht="30" x14ac:dyDescent="0.25">
      <c r="A89" s="1"/>
      <c r="B89" s="1"/>
      <c r="C89" s="1"/>
      <c r="D89" s="1"/>
      <c r="E89" s="1"/>
      <c r="F89" s="1"/>
      <c r="G89" s="1489" t="s">
        <v>3388</v>
      </c>
      <c r="H89" s="4" t="s">
        <v>1436</v>
      </c>
      <c r="I89" s="73">
        <v>8792000</v>
      </c>
      <c r="J89" s="4" t="s">
        <v>3295</v>
      </c>
      <c r="K89" s="4" t="s">
        <v>3599</v>
      </c>
      <c r="L89" s="73">
        <v>700000</v>
      </c>
      <c r="M89" s="73">
        <v>700000</v>
      </c>
      <c r="N89" s="73">
        <v>700000</v>
      </c>
      <c r="O89" s="73">
        <v>700000</v>
      </c>
      <c r="P89" s="73">
        <v>700000</v>
      </c>
      <c r="Q89" s="73">
        <v>700000</v>
      </c>
      <c r="R89" s="73">
        <v>700000</v>
      </c>
      <c r="S89" s="73">
        <v>700000</v>
      </c>
      <c r="T89" s="73">
        <v>700000</v>
      </c>
      <c r="U89" s="73">
        <v>700000</v>
      </c>
      <c r="V89" s="73">
        <v>700000</v>
      </c>
      <c r="W89" s="73">
        <v>1092000</v>
      </c>
      <c r="X89" s="1864">
        <f t="shared" si="2"/>
        <v>8792000</v>
      </c>
      <c r="Y89" s="23">
        <f t="shared" si="3"/>
        <v>0</v>
      </c>
    </row>
    <row r="90" spans="1:25" x14ac:dyDescent="0.25">
      <c r="A90" s="1"/>
      <c r="B90" s="1"/>
      <c r="C90" s="1"/>
      <c r="D90" s="1"/>
      <c r="E90" s="1"/>
      <c r="F90" s="1"/>
      <c r="G90" s="1489" t="s">
        <v>3392</v>
      </c>
      <c r="H90" s="4" t="s">
        <v>930</v>
      </c>
      <c r="I90" s="73">
        <v>13596500</v>
      </c>
      <c r="J90" s="1" t="s">
        <v>1220</v>
      </c>
      <c r="K90" s="4" t="s">
        <v>3599</v>
      </c>
      <c r="L90" s="73"/>
      <c r="M90" s="73">
        <v>13596500</v>
      </c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1864">
        <f t="shared" si="2"/>
        <v>13596500</v>
      </c>
      <c r="Y90" s="23">
        <f t="shared" si="3"/>
        <v>0</v>
      </c>
    </row>
    <row r="91" spans="1:25" ht="43.15" customHeight="1" x14ac:dyDescent="0.25">
      <c r="A91" s="1"/>
      <c r="B91" s="1"/>
      <c r="C91" s="1"/>
      <c r="D91" s="1"/>
      <c r="E91" s="1"/>
      <c r="F91" s="1"/>
      <c r="G91" s="1489" t="s">
        <v>3392</v>
      </c>
      <c r="H91" s="4" t="s">
        <v>2238</v>
      </c>
      <c r="I91" s="73">
        <v>5992000</v>
      </c>
      <c r="J91" s="1" t="s">
        <v>1220</v>
      </c>
      <c r="K91" s="4" t="s">
        <v>3599</v>
      </c>
      <c r="L91" s="73">
        <v>5992000</v>
      </c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1864">
        <f t="shared" si="2"/>
        <v>5992000</v>
      </c>
      <c r="Y91" s="23">
        <f t="shared" si="3"/>
        <v>0</v>
      </c>
    </row>
    <row r="92" spans="1:25" x14ac:dyDescent="0.25">
      <c r="A92" s="1"/>
      <c r="B92" s="1"/>
      <c r="C92" s="1"/>
      <c r="D92" s="1">
        <v>5</v>
      </c>
      <c r="E92" s="1">
        <v>2</v>
      </c>
      <c r="F92" s="1">
        <v>1</v>
      </c>
      <c r="G92" s="1489" t="s">
        <v>3419</v>
      </c>
      <c r="H92" s="4" t="s">
        <v>1444</v>
      </c>
      <c r="I92" s="73">
        <v>4546800</v>
      </c>
      <c r="J92" s="1" t="s">
        <v>1220</v>
      </c>
      <c r="K92" s="4" t="s">
        <v>3599</v>
      </c>
      <c r="L92" s="73">
        <v>4546800</v>
      </c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1864">
        <f t="shared" si="2"/>
        <v>4546800</v>
      </c>
      <c r="Y92" s="23">
        <f t="shared" si="3"/>
        <v>0</v>
      </c>
    </row>
    <row r="93" spans="1:25" x14ac:dyDescent="0.25">
      <c r="A93" s="1"/>
      <c r="B93" s="1"/>
      <c r="C93" s="1"/>
      <c r="D93" s="1">
        <v>5</v>
      </c>
      <c r="E93" s="1">
        <v>2</v>
      </c>
      <c r="F93" s="1">
        <v>2</v>
      </c>
      <c r="G93" s="1489"/>
      <c r="H93" s="4" t="s">
        <v>478</v>
      </c>
      <c r="I93" s="73"/>
      <c r="J93" s="1"/>
      <c r="K93" s="4" t="s">
        <v>3599</v>
      </c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1864">
        <f t="shared" si="2"/>
        <v>0</v>
      </c>
      <c r="Y93" s="23">
        <f t="shared" si="3"/>
        <v>0</v>
      </c>
    </row>
    <row r="94" spans="1:25" x14ac:dyDescent="0.25">
      <c r="A94" s="1"/>
      <c r="B94" s="1"/>
      <c r="C94" s="1"/>
      <c r="D94" s="1"/>
      <c r="E94" s="1"/>
      <c r="F94" s="1"/>
      <c r="G94" s="1489" t="s">
        <v>3390</v>
      </c>
      <c r="H94" s="4" t="s">
        <v>478</v>
      </c>
      <c r="I94" s="73"/>
      <c r="J94" s="1"/>
      <c r="K94" s="4" t="s">
        <v>3599</v>
      </c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1864">
        <f t="shared" si="2"/>
        <v>0</v>
      </c>
      <c r="Y94" s="23">
        <f t="shared" si="3"/>
        <v>0</v>
      </c>
    </row>
    <row r="95" spans="1:25" ht="30" x14ac:dyDescent="0.25">
      <c r="A95" s="1"/>
      <c r="B95" s="1"/>
      <c r="C95" s="1"/>
      <c r="D95" s="1"/>
      <c r="E95" s="1"/>
      <c r="F95" s="1"/>
      <c r="G95" s="1"/>
      <c r="H95" s="4" t="s">
        <v>1445</v>
      </c>
      <c r="I95" s="73">
        <v>42900000</v>
      </c>
      <c r="J95" s="4" t="s">
        <v>1777</v>
      </c>
      <c r="K95" s="4" t="s">
        <v>3599</v>
      </c>
      <c r="L95" s="73">
        <v>14300000</v>
      </c>
      <c r="M95" s="73">
        <v>14300000</v>
      </c>
      <c r="N95" s="73">
        <v>14300000</v>
      </c>
      <c r="O95" s="73"/>
      <c r="P95" s="73"/>
      <c r="Q95" s="73"/>
      <c r="R95" s="73"/>
      <c r="S95" s="73"/>
      <c r="T95" s="73"/>
      <c r="U95" s="73"/>
      <c r="V95" s="73"/>
      <c r="W95" s="73"/>
      <c r="X95" s="1864">
        <f t="shared" si="2"/>
        <v>42900000</v>
      </c>
      <c r="Y95" s="23">
        <f t="shared" si="3"/>
        <v>0</v>
      </c>
    </row>
    <row r="96" spans="1:25" x14ac:dyDescent="0.25">
      <c r="A96" s="1"/>
      <c r="B96" s="1"/>
      <c r="C96" s="1"/>
      <c r="D96" s="1"/>
      <c r="E96" s="1"/>
      <c r="F96" s="1"/>
      <c r="G96" s="1"/>
      <c r="H96" s="4" t="s">
        <v>1445</v>
      </c>
      <c r="I96" s="73">
        <v>128700000</v>
      </c>
      <c r="J96" s="1" t="s">
        <v>1220</v>
      </c>
      <c r="K96" s="4" t="s">
        <v>3599</v>
      </c>
      <c r="L96" s="73"/>
      <c r="M96" s="73"/>
      <c r="N96" s="73"/>
      <c r="O96" s="73">
        <v>14300000</v>
      </c>
      <c r="P96" s="73">
        <v>14300000</v>
      </c>
      <c r="Q96" s="73">
        <v>14300000</v>
      </c>
      <c r="R96" s="73">
        <v>14300000</v>
      </c>
      <c r="S96" s="73">
        <v>14300000</v>
      </c>
      <c r="T96" s="73">
        <v>14300000</v>
      </c>
      <c r="U96" s="73">
        <v>14300000</v>
      </c>
      <c r="V96" s="73">
        <v>14300000</v>
      </c>
      <c r="W96" s="73">
        <v>14300000</v>
      </c>
      <c r="X96" s="1864">
        <f t="shared" si="2"/>
        <v>128700000</v>
      </c>
      <c r="Y96" s="23">
        <f t="shared" si="3"/>
        <v>0</v>
      </c>
    </row>
    <row r="97" spans="1:25" ht="30" x14ac:dyDescent="0.25">
      <c r="A97" s="1"/>
      <c r="B97" s="1"/>
      <c r="C97" s="1"/>
      <c r="D97" s="1">
        <v>5</v>
      </c>
      <c r="E97" s="1">
        <v>2</v>
      </c>
      <c r="F97" s="1">
        <v>5</v>
      </c>
      <c r="G97" s="1"/>
      <c r="H97" s="4" t="s">
        <v>781</v>
      </c>
      <c r="I97" s="73"/>
      <c r="J97" s="1"/>
      <c r="K97" s="4" t="s">
        <v>3599</v>
      </c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1864">
        <f t="shared" si="2"/>
        <v>0</v>
      </c>
      <c r="Y97" s="23">
        <f t="shared" si="3"/>
        <v>0</v>
      </c>
    </row>
    <row r="98" spans="1:25" ht="14.45" customHeight="1" x14ac:dyDescent="0.25">
      <c r="A98" s="1"/>
      <c r="B98" s="1"/>
      <c r="C98" s="1"/>
      <c r="D98" s="1"/>
      <c r="E98" s="1"/>
      <c r="F98" s="1"/>
      <c r="G98" s="1489" t="s">
        <v>3366</v>
      </c>
      <c r="H98" s="4" t="s">
        <v>1447</v>
      </c>
      <c r="I98" s="73">
        <v>30000000</v>
      </c>
      <c r="J98" s="1" t="s">
        <v>1220</v>
      </c>
      <c r="K98" s="4" t="s">
        <v>3599</v>
      </c>
      <c r="L98" s="73">
        <v>2500000</v>
      </c>
      <c r="M98" s="73">
        <v>2500000</v>
      </c>
      <c r="N98" s="73">
        <v>2500000</v>
      </c>
      <c r="O98" s="73">
        <v>2500000</v>
      </c>
      <c r="P98" s="73">
        <v>2500000</v>
      </c>
      <c r="Q98" s="73">
        <v>2500000</v>
      </c>
      <c r="R98" s="73">
        <v>2500000</v>
      </c>
      <c r="S98" s="73">
        <v>2500000</v>
      </c>
      <c r="T98" s="73">
        <v>2500000</v>
      </c>
      <c r="U98" s="73">
        <v>2500000</v>
      </c>
      <c r="V98" s="73">
        <v>2500000</v>
      </c>
      <c r="W98" s="73">
        <v>2500000</v>
      </c>
      <c r="X98" s="1864">
        <f t="shared" si="2"/>
        <v>30000000</v>
      </c>
      <c r="Y98" s="23">
        <f t="shared" si="3"/>
        <v>0</v>
      </c>
    </row>
    <row r="99" spans="1:25" x14ac:dyDescent="0.25">
      <c r="A99" s="1"/>
      <c r="B99" s="1"/>
      <c r="C99" s="1"/>
      <c r="D99" s="1"/>
      <c r="E99" s="1"/>
      <c r="F99" s="1"/>
      <c r="G99" s="1489" t="s">
        <v>3386</v>
      </c>
      <c r="H99" s="4" t="s">
        <v>1450</v>
      </c>
      <c r="I99" s="73">
        <v>480000</v>
      </c>
      <c r="J99" s="1" t="s">
        <v>1220</v>
      </c>
      <c r="K99" s="4" t="s">
        <v>3599</v>
      </c>
      <c r="L99" s="73">
        <v>40000</v>
      </c>
      <c r="M99" s="73">
        <v>40000</v>
      </c>
      <c r="N99" s="73">
        <v>40000</v>
      </c>
      <c r="O99" s="73">
        <v>40000</v>
      </c>
      <c r="P99" s="73">
        <v>40000</v>
      </c>
      <c r="Q99" s="73">
        <v>40000</v>
      </c>
      <c r="R99" s="73">
        <v>40000</v>
      </c>
      <c r="S99" s="73">
        <v>40000</v>
      </c>
      <c r="T99" s="73">
        <v>40000</v>
      </c>
      <c r="U99" s="73">
        <v>40000</v>
      </c>
      <c r="V99" s="73">
        <v>40000</v>
      </c>
      <c r="W99" s="73">
        <v>40000</v>
      </c>
      <c r="X99" s="1864">
        <f t="shared" si="2"/>
        <v>480000</v>
      </c>
      <c r="Y99" s="23">
        <f t="shared" si="3"/>
        <v>0</v>
      </c>
    </row>
    <row r="100" spans="1:25" x14ac:dyDescent="0.25">
      <c r="A100" s="1"/>
      <c r="B100" s="1"/>
      <c r="C100" s="1"/>
      <c r="D100" s="1">
        <v>5</v>
      </c>
      <c r="E100" s="1">
        <v>2</v>
      </c>
      <c r="F100" s="1">
        <v>6</v>
      </c>
      <c r="G100" s="1"/>
      <c r="H100" s="4" t="s">
        <v>206</v>
      </c>
      <c r="I100" s="73"/>
      <c r="J100" s="1"/>
      <c r="K100" s="4" t="s">
        <v>3599</v>
      </c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1864">
        <f t="shared" si="2"/>
        <v>0</v>
      </c>
      <c r="Y100" s="23">
        <f t="shared" si="3"/>
        <v>0</v>
      </c>
    </row>
    <row r="101" spans="1:25" ht="30" x14ac:dyDescent="0.25">
      <c r="A101" s="1"/>
      <c r="B101" s="1"/>
      <c r="C101" s="1"/>
      <c r="D101" s="1"/>
      <c r="E101" s="1"/>
      <c r="F101" s="1"/>
      <c r="G101" s="1489" t="s">
        <v>3366</v>
      </c>
      <c r="H101" s="4" t="s">
        <v>1452</v>
      </c>
      <c r="I101" s="73">
        <v>30000000</v>
      </c>
      <c r="J101" s="1" t="s">
        <v>1220</v>
      </c>
      <c r="K101" s="4" t="s">
        <v>3599</v>
      </c>
      <c r="L101" s="73">
        <v>1716475</v>
      </c>
      <c r="M101" s="73">
        <v>1910775</v>
      </c>
      <c r="N101" s="73">
        <v>15507275</v>
      </c>
      <c r="O101" s="68">
        <v>1207275</v>
      </c>
      <c r="P101" s="68">
        <v>1207275</v>
      </c>
      <c r="Q101" s="68">
        <v>1207275</v>
      </c>
      <c r="R101" s="68">
        <v>1207275</v>
      </c>
      <c r="S101" s="68">
        <v>1207275</v>
      </c>
      <c r="T101" s="68">
        <v>1207275</v>
      </c>
      <c r="U101" s="68">
        <v>1207275</v>
      </c>
      <c r="V101" s="68">
        <v>1207275</v>
      </c>
      <c r="W101" s="68">
        <v>1207275</v>
      </c>
      <c r="X101" s="1864">
        <f t="shared" si="2"/>
        <v>30000000</v>
      </c>
      <c r="Y101" s="23">
        <f t="shared" si="3"/>
        <v>0</v>
      </c>
    </row>
    <row r="102" spans="1:25" ht="60" x14ac:dyDescent="0.25">
      <c r="A102" s="865">
        <v>2</v>
      </c>
      <c r="B102" s="865">
        <v>4</v>
      </c>
      <c r="C102" s="1490" t="s">
        <v>3392</v>
      </c>
      <c r="D102" s="865"/>
      <c r="E102" s="865"/>
      <c r="F102" s="865"/>
      <c r="G102" s="865"/>
      <c r="H102" s="1061" t="s">
        <v>1573</v>
      </c>
      <c r="I102" s="1063">
        <v>45256000</v>
      </c>
      <c r="J102" s="865" t="s">
        <v>1220</v>
      </c>
      <c r="K102" s="1061" t="s">
        <v>3599</v>
      </c>
      <c r="L102" s="1063"/>
      <c r="M102" s="1063"/>
      <c r="N102" s="1063"/>
      <c r="O102" s="1063"/>
      <c r="P102" s="1063"/>
      <c r="Q102" s="1063"/>
      <c r="R102" s="1063"/>
      <c r="S102" s="1063"/>
      <c r="T102" s="1063"/>
      <c r="U102" s="1063"/>
      <c r="V102" s="1063"/>
      <c r="W102" s="1063"/>
      <c r="X102" s="1866">
        <f t="shared" si="2"/>
        <v>0</v>
      </c>
      <c r="Y102" s="23">
        <f t="shared" si="3"/>
        <v>45256000</v>
      </c>
    </row>
    <row r="103" spans="1:25" x14ac:dyDescent="0.25">
      <c r="A103" s="1"/>
      <c r="B103" s="1"/>
      <c r="C103" s="1"/>
      <c r="D103" s="1">
        <v>5</v>
      </c>
      <c r="E103" s="1">
        <v>2</v>
      </c>
      <c r="F103" s="1"/>
      <c r="G103" s="1"/>
      <c r="H103" s="4" t="s">
        <v>82</v>
      </c>
      <c r="I103" s="73"/>
      <c r="J103" s="1"/>
      <c r="K103" s="4" t="s">
        <v>3599</v>
      </c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1864">
        <f t="shared" si="2"/>
        <v>0</v>
      </c>
      <c r="Y103" s="23">
        <f t="shared" si="3"/>
        <v>0</v>
      </c>
    </row>
    <row r="104" spans="1:25" x14ac:dyDescent="0.25">
      <c r="A104" s="1"/>
      <c r="B104" s="1"/>
      <c r="C104" s="1"/>
      <c r="D104" s="1"/>
      <c r="E104" s="1"/>
      <c r="F104" s="1">
        <v>1</v>
      </c>
      <c r="G104" s="1"/>
      <c r="H104" s="4" t="s">
        <v>806</v>
      </c>
      <c r="I104" s="73"/>
      <c r="J104" s="1"/>
      <c r="K104" s="4" t="s">
        <v>3599</v>
      </c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1864">
        <f t="shared" si="2"/>
        <v>0</v>
      </c>
      <c r="Y104" s="23">
        <f t="shared" si="3"/>
        <v>0</v>
      </c>
    </row>
    <row r="105" spans="1:25" x14ac:dyDescent="0.25">
      <c r="A105" s="1"/>
      <c r="B105" s="1"/>
      <c r="C105" s="1"/>
      <c r="D105" s="1"/>
      <c r="E105" s="1"/>
      <c r="F105" s="1"/>
      <c r="G105" s="1489" t="s">
        <v>3390</v>
      </c>
      <c r="H105" s="4" t="s">
        <v>795</v>
      </c>
      <c r="I105" s="73">
        <v>2892000</v>
      </c>
      <c r="J105" s="1" t="s">
        <v>1220</v>
      </c>
      <c r="K105" s="4" t="s">
        <v>3599</v>
      </c>
      <c r="L105" s="73">
        <v>241000</v>
      </c>
      <c r="M105" s="73">
        <v>241000</v>
      </c>
      <c r="N105" s="73">
        <v>241000</v>
      </c>
      <c r="O105" s="73">
        <v>241000</v>
      </c>
      <c r="P105" s="73">
        <v>241000</v>
      </c>
      <c r="Q105" s="73">
        <v>241000</v>
      </c>
      <c r="R105" s="73">
        <v>241000</v>
      </c>
      <c r="S105" s="73">
        <v>241000</v>
      </c>
      <c r="T105" s="73">
        <v>241000</v>
      </c>
      <c r="U105" s="73">
        <v>241000</v>
      </c>
      <c r="V105" s="73">
        <v>241000</v>
      </c>
      <c r="W105" s="73">
        <v>241000</v>
      </c>
      <c r="X105" s="1864">
        <f t="shared" si="2"/>
        <v>2892000</v>
      </c>
      <c r="Y105" s="23">
        <f t="shared" si="3"/>
        <v>0</v>
      </c>
    </row>
    <row r="106" spans="1:25" ht="57.6" customHeight="1" x14ac:dyDescent="0.25">
      <c r="A106" s="1"/>
      <c r="B106" s="1"/>
      <c r="C106" s="1"/>
      <c r="D106" s="1"/>
      <c r="E106" s="1"/>
      <c r="F106" s="1"/>
      <c r="G106" s="1489" t="s">
        <v>3391</v>
      </c>
      <c r="H106" s="4" t="s">
        <v>689</v>
      </c>
      <c r="I106" s="73">
        <v>4800000</v>
      </c>
      <c r="J106" s="1" t="s">
        <v>1220</v>
      </c>
      <c r="K106" s="4" t="s">
        <v>3599</v>
      </c>
      <c r="L106" s="73">
        <v>400000</v>
      </c>
      <c r="M106" s="73">
        <v>400000</v>
      </c>
      <c r="N106" s="73">
        <v>400000</v>
      </c>
      <c r="O106" s="73">
        <v>400000</v>
      </c>
      <c r="P106" s="73">
        <v>400000</v>
      </c>
      <c r="Q106" s="73">
        <v>400000</v>
      </c>
      <c r="R106" s="73">
        <v>400000</v>
      </c>
      <c r="S106" s="73">
        <v>400000</v>
      </c>
      <c r="T106" s="73">
        <v>400000</v>
      </c>
      <c r="U106" s="73">
        <v>400000</v>
      </c>
      <c r="V106" s="73">
        <v>400000</v>
      </c>
      <c r="W106" s="73">
        <v>400000</v>
      </c>
      <c r="X106" s="1864">
        <f t="shared" si="2"/>
        <v>4800000</v>
      </c>
      <c r="Y106" s="23">
        <f t="shared" si="3"/>
        <v>0</v>
      </c>
    </row>
    <row r="107" spans="1:25" x14ac:dyDescent="0.25">
      <c r="A107" s="1"/>
      <c r="B107" s="1"/>
      <c r="C107" s="1"/>
      <c r="D107" s="1"/>
      <c r="E107" s="1"/>
      <c r="F107" s="1"/>
      <c r="G107" s="1489" t="s">
        <v>3392</v>
      </c>
      <c r="H107" s="1" t="s">
        <v>791</v>
      </c>
      <c r="I107" s="73">
        <v>6474000</v>
      </c>
      <c r="J107" s="1" t="s">
        <v>1220</v>
      </c>
      <c r="K107" s="4" t="s">
        <v>3599</v>
      </c>
      <c r="L107" s="73">
        <v>539500</v>
      </c>
      <c r="M107" s="73">
        <v>539500</v>
      </c>
      <c r="N107" s="73">
        <v>539500</v>
      </c>
      <c r="O107" s="73">
        <v>539500</v>
      </c>
      <c r="P107" s="73">
        <v>539500</v>
      </c>
      <c r="Q107" s="73">
        <v>539500</v>
      </c>
      <c r="R107" s="73">
        <v>539500</v>
      </c>
      <c r="S107" s="73">
        <v>539500</v>
      </c>
      <c r="T107" s="73">
        <v>539500</v>
      </c>
      <c r="U107" s="73">
        <v>539500</v>
      </c>
      <c r="V107" s="73">
        <v>539500</v>
      </c>
      <c r="W107" s="73">
        <v>539500</v>
      </c>
      <c r="X107" s="1864">
        <f t="shared" si="2"/>
        <v>6474000</v>
      </c>
      <c r="Y107" s="23">
        <f t="shared" si="3"/>
        <v>0</v>
      </c>
    </row>
    <row r="108" spans="1:25" ht="28.9" customHeight="1" x14ac:dyDescent="0.25">
      <c r="A108" s="1"/>
      <c r="B108" s="1"/>
      <c r="C108" s="1"/>
      <c r="D108" s="1"/>
      <c r="E108" s="1"/>
      <c r="F108" s="1"/>
      <c r="G108" s="1489" t="s">
        <v>3394</v>
      </c>
      <c r="H108" s="1" t="s">
        <v>1580</v>
      </c>
      <c r="I108" s="73">
        <v>7090000</v>
      </c>
      <c r="J108" s="1" t="s">
        <v>1220</v>
      </c>
      <c r="K108" s="4" t="s">
        <v>3599</v>
      </c>
      <c r="L108" s="73"/>
      <c r="M108" s="73"/>
      <c r="N108" s="73">
        <v>7090000</v>
      </c>
      <c r="O108" s="73"/>
      <c r="P108" s="73"/>
      <c r="Q108" s="73"/>
      <c r="R108" s="73"/>
      <c r="S108" s="73"/>
      <c r="T108" s="73"/>
      <c r="U108" s="73"/>
      <c r="V108" s="73"/>
      <c r="W108" s="73"/>
      <c r="X108" s="1864">
        <f t="shared" si="2"/>
        <v>7090000</v>
      </c>
      <c r="Y108" s="23">
        <f t="shared" si="3"/>
        <v>0</v>
      </c>
    </row>
    <row r="109" spans="1:25" x14ac:dyDescent="0.25">
      <c r="A109" s="1"/>
      <c r="B109" s="1"/>
      <c r="C109" s="1"/>
      <c r="D109" s="1">
        <v>5</v>
      </c>
      <c r="E109" s="1">
        <v>2</v>
      </c>
      <c r="F109" s="1">
        <v>2</v>
      </c>
      <c r="G109" s="1"/>
      <c r="H109" s="1" t="s">
        <v>478</v>
      </c>
      <c r="I109" s="73"/>
      <c r="J109" s="1"/>
      <c r="K109" s="4" t="s">
        <v>3599</v>
      </c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1864">
        <f t="shared" si="2"/>
        <v>0</v>
      </c>
      <c r="Y109" s="23">
        <f t="shared" si="3"/>
        <v>0</v>
      </c>
    </row>
    <row r="110" spans="1:25" ht="28.9" customHeight="1" x14ac:dyDescent="0.25">
      <c r="A110" s="1"/>
      <c r="B110" s="1"/>
      <c r="C110" s="1"/>
      <c r="D110" s="1"/>
      <c r="E110" s="1"/>
      <c r="F110" s="1"/>
      <c r="G110" s="1489" t="s">
        <v>3420</v>
      </c>
      <c r="H110" s="1" t="s">
        <v>1268</v>
      </c>
      <c r="I110" s="73">
        <v>24000000</v>
      </c>
      <c r="J110" s="1" t="s">
        <v>1220</v>
      </c>
      <c r="K110" s="4" t="s">
        <v>3599</v>
      </c>
      <c r="L110" s="73">
        <v>2000000</v>
      </c>
      <c r="M110" s="73">
        <v>2000000</v>
      </c>
      <c r="N110" s="73">
        <v>2000000</v>
      </c>
      <c r="O110" s="73">
        <v>2000000</v>
      </c>
      <c r="P110" s="73">
        <v>2000000</v>
      </c>
      <c r="Q110" s="73">
        <v>2000000</v>
      </c>
      <c r="R110" s="73">
        <v>2000000</v>
      </c>
      <c r="S110" s="73">
        <v>2000000</v>
      </c>
      <c r="T110" s="73">
        <v>2000000</v>
      </c>
      <c r="U110" s="73">
        <v>2000000</v>
      </c>
      <c r="V110" s="73">
        <v>2000000</v>
      </c>
      <c r="W110" s="73">
        <v>2000000</v>
      </c>
      <c r="X110" s="1864">
        <f t="shared" si="2"/>
        <v>24000000</v>
      </c>
      <c r="Y110" s="23">
        <f t="shared" si="3"/>
        <v>0</v>
      </c>
    </row>
    <row r="111" spans="1:25" ht="30" x14ac:dyDescent="0.25">
      <c r="A111" s="865">
        <v>2</v>
      </c>
      <c r="B111" s="865">
        <v>4</v>
      </c>
      <c r="C111" s="1490" t="s">
        <v>3392</v>
      </c>
      <c r="D111" s="865"/>
      <c r="E111" s="865"/>
      <c r="F111" s="865"/>
      <c r="G111" s="865"/>
      <c r="H111" s="1061" t="s">
        <v>816</v>
      </c>
      <c r="I111" s="1063">
        <v>111982000</v>
      </c>
      <c r="J111" s="865"/>
      <c r="K111" s="1061" t="s">
        <v>3599</v>
      </c>
      <c r="L111" s="1063"/>
      <c r="M111" s="1063"/>
      <c r="N111" s="1063"/>
      <c r="O111" s="1063"/>
      <c r="P111" s="1063"/>
      <c r="Q111" s="1063"/>
      <c r="R111" s="1063"/>
      <c r="S111" s="1063"/>
      <c r="T111" s="1063"/>
      <c r="U111" s="1063"/>
      <c r="V111" s="1063"/>
      <c r="W111" s="1063"/>
      <c r="X111" s="1866">
        <f t="shared" si="2"/>
        <v>0</v>
      </c>
      <c r="Y111" s="23">
        <f t="shared" si="3"/>
        <v>111982000</v>
      </c>
    </row>
    <row r="112" spans="1:25" ht="28.9" customHeight="1" x14ac:dyDescent="0.25">
      <c r="A112" s="1"/>
      <c r="B112" s="1"/>
      <c r="C112" s="1"/>
      <c r="D112" s="1">
        <v>5</v>
      </c>
      <c r="E112" s="1">
        <v>2</v>
      </c>
      <c r="F112" s="1"/>
      <c r="G112" s="1"/>
      <c r="H112" s="4" t="s">
        <v>815</v>
      </c>
      <c r="I112" s="73"/>
      <c r="J112" s="1"/>
      <c r="K112" s="4" t="s">
        <v>3599</v>
      </c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1864">
        <f t="shared" si="2"/>
        <v>0</v>
      </c>
      <c r="Y112" s="23">
        <f t="shared" si="3"/>
        <v>0</v>
      </c>
    </row>
    <row r="113" spans="1:25" ht="28.9" customHeight="1" x14ac:dyDescent="0.25">
      <c r="A113" s="1"/>
      <c r="B113" s="1"/>
      <c r="C113" s="1"/>
      <c r="D113" s="1"/>
      <c r="E113" s="1"/>
      <c r="F113" s="1">
        <v>1</v>
      </c>
      <c r="G113" s="1"/>
      <c r="H113" s="4" t="s">
        <v>84</v>
      </c>
      <c r="I113" s="73"/>
      <c r="J113" s="1"/>
      <c r="K113" s="4" t="s">
        <v>3599</v>
      </c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1864">
        <f t="shared" si="2"/>
        <v>0</v>
      </c>
      <c r="Y113" s="23">
        <f t="shared" si="3"/>
        <v>0</v>
      </c>
    </row>
    <row r="114" spans="1:25" ht="45" x14ac:dyDescent="0.25">
      <c r="A114" s="1"/>
      <c r="B114" s="1"/>
      <c r="C114" s="1"/>
      <c r="D114" s="1"/>
      <c r="E114" s="1"/>
      <c r="F114" s="1"/>
      <c r="G114" s="1489" t="s">
        <v>3389</v>
      </c>
      <c r="H114" s="4" t="s">
        <v>814</v>
      </c>
      <c r="I114" s="73">
        <v>3600000</v>
      </c>
      <c r="J114" s="1" t="s">
        <v>1220</v>
      </c>
      <c r="K114" s="4" t="s">
        <v>3599</v>
      </c>
      <c r="L114" s="73">
        <v>300000</v>
      </c>
      <c r="M114" s="73">
        <v>300000</v>
      </c>
      <c r="N114" s="73">
        <v>300000</v>
      </c>
      <c r="O114" s="73">
        <v>300000</v>
      </c>
      <c r="P114" s="73">
        <v>300000</v>
      </c>
      <c r="Q114" s="73">
        <v>300000</v>
      </c>
      <c r="R114" s="73">
        <v>300000</v>
      </c>
      <c r="S114" s="73">
        <v>300000</v>
      </c>
      <c r="T114" s="73">
        <v>300000</v>
      </c>
      <c r="U114" s="73">
        <v>300000</v>
      </c>
      <c r="V114" s="73">
        <v>300000</v>
      </c>
      <c r="W114" s="73">
        <v>300000</v>
      </c>
      <c r="X114" s="1864">
        <f t="shared" si="2"/>
        <v>3600000</v>
      </c>
      <c r="Y114" s="23">
        <f t="shared" si="3"/>
        <v>0</v>
      </c>
    </row>
    <row r="115" spans="1:25" ht="28.9" customHeight="1" x14ac:dyDescent="0.25">
      <c r="A115" s="1"/>
      <c r="B115" s="1"/>
      <c r="C115" s="1"/>
      <c r="D115" s="1"/>
      <c r="E115" s="1"/>
      <c r="F115" s="1"/>
      <c r="G115" s="1489" t="s">
        <v>3392</v>
      </c>
      <c r="H115" s="1" t="s">
        <v>791</v>
      </c>
      <c r="I115" s="73">
        <v>5721000</v>
      </c>
      <c r="J115" s="1" t="s">
        <v>1220</v>
      </c>
      <c r="K115" s="4" t="s">
        <v>3599</v>
      </c>
      <c r="L115" s="73"/>
      <c r="M115" s="73">
        <v>5481833</v>
      </c>
      <c r="N115" s="68">
        <v>239167</v>
      </c>
      <c r="O115" s="73"/>
      <c r="P115" s="73"/>
      <c r="Q115" s="73"/>
      <c r="R115" s="73"/>
      <c r="S115" s="73"/>
      <c r="T115" s="73"/>
      <c r="U115" s="73"/>
      <c r="V115" s="73"/>
      <c r="W115" s="73"/>
      <c r="X115" s="1864">
        <f t="shared" si="2"/>
        <v>5721000</v>
      </c>
      <c r="Y115" s="23">
        <f t="shared" si="3"/>
        <v>0</v>
      </c>
    </row>
    <row r="116" spans="1:25" x14ac:dyDescent="0.25">
      <c r="A116" s="1"/>
      <c r="B116" s="1"/>
      <c r="C116" s="1"/>
      <c r="D116" s="1"/>
      <c r="E116" s="1"/>
      <c r="F116" s="1"/>
      <c r="G116" s="1489" t="s">
        <v>3394</v>
      </c>
      <c r="H116" s="1" t="s">
        <v>1587</v>
      </c>
      <c r="I116" s="73">
        <v>2781000</v>
      </c>
      <c r="J116" s="1" t="s">
        <v>1220</v>
      </c>
      <c r="K116" s="4" t="s">
        <v>3599</v>
      </c>
      <c r="L116" s="73">
        <v>2781000</v>
      </c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1864">
        <f t="shared" si="2"/>
        <v>2781000</v>
      </c>
      <c r="Y116" s="23">
        <f t="shared" si="3"/>
        <v>0</v>
      </c>
    </row>
    <row r="117" spans="1:25" x14ac:dyDescent="0.25">
      <c r="A117" s="1"/>
      <c r="B117" s="1"/>
      <c r="C117" s="1"/>
      <c r="D117" s="1">
        <v>5</v>
      </c>
      <c r="E117" s="1">
        <v>2</v>
      </c>
      <c r="F117" s="1">
        <v>2</v>
      </c>
      <c r="G117" s="1"/>
      <c r="H117" s="1" t="s">
        <v>812</v>
      </c>
      <c r="I117" s="73"/>
      <c r="J117" s="1"/>
      <c r="K117" s="4" t="s">
        <v>3599</v>
      </c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1864">
        <f t="shared" si="2"/>
        <v>0</v>
      </c>
      <c r="Y117" s="23">
        <f t="shared" si="3"/>
        <v>0</v>
      </c>
    </row>
    <row r="118" spans="1:25" ht="28.9" customHeight="1" x14ac:dyDescent="0.25">
      <c r="A118" s="1"/>
      <c r="B118" s="1"/>
      <c r="C118" s="1"/>
      <c r="D118" s="1"/>
      <c r="E118" s="1"/>
      <c r="F118" s="1"/>
      <c r="G118" s="1489" t="s">
        <v>3420</v>
      </c>
      <c r="H118" s="1" t="s">
        <v>1268</v>
      </c>
      <c r="I118" s="73">
        <v>16200000</v>
      </c>
      <c r="J118" s="4" t="s">
        <v>1777</v>
      </c>
      <c r="K118" s="4" t="s">
        <v>3599</v>
      </c>
      <c r="L118" s="73">
        <v>5400000</v>
      </c>
      <c r="M118" s="73">
        <v>5400000</v>
      </c>
      <c r="N118" s="73">
        <v>5400000</v>
      </c>
      <c r="O118" s="73"/>
      <c r="P118" s="73"/>
      <c r="Q118" s="73"/>
      <c r="R118" s="73"/>
      <c r="S118" s="73"/>
      <c r="T118" s="73"/>
      <c r="U118" s="73"/>
      <c r="V118" s="73"/>
      <c r="W118" s="73"/>
      <c r="X118" s="1864">
        <f t="shared" si="2"/>
        <v>16200000</v>
      </c>
      <c r="Y118" s="23">
        <f t="shared" si="3"/>
        <v>0</v>
      </c>
    </row>
    <row r="119" spans="1:25" ht="28.9" customHeight="1" x14ac:dyDescent="0.25">
      <c r="A119" s="1"/>
      <c r="B119" s="1"/>
      <c r="C119" s="1"/>
      <c r="D119" s="1"/>
      <c r="E119" s="1"/>
      <c r="F119" s="1"/>
      <c r="G119" s="1">
        <v>91</v>
      </c>
      <c r="H119" s="1" t="s">
        <v>1268</v>
      </c>
      <c r="I119" s="73">
        <v>75800000</v>
      </c>
      <c r="J119" s="1" t="s">
        <v>1220</v>
      </c>
      <c r="K119" s="4" t="s">
        <v>3599</v>
      </c>
      <c r="L119" s="73">
        <v>2200000</v>
      </c>
      <c r="M119" s="73">
        <v>2200000</v>
      </c>
      <c r="N119" s="73">
        <v>2200000</v>
      </c>
      <c r="O119" s="73">
        <v>7600000</v>
      </c>
      <c r="P119" s="73">
        <v>7600000</v>
      </c>
      <c r="Q119" s="73">
        <v>7600000</v>
      </c>
      <c r="R119" s="73">
        <v>7600000</v>
      </c>
      <c r="S119" s="73">
        <v>7600000</v>
      </c>
      <c r="T119" s="73">
        <v>7600000</v>
      </c>
      <c r="U119" s="73">
        <v>7600000</v>
      </c>
      <c r="V119" s="73">
        <v>7600000</v>
      </c>
      <c r="W119" s="73">
        <v>8400000</v>
      </c>
      <c r="X119" s="1864">
        <f t="shared" si="2"/>
        <v>75800000</v>
      </c>
      <c r="Y119" s="23">
        <f t="shared" si="3"/>
        <v>0</v>
      </c>
    </row>
    <row r="120" spans="1:25" x14ac:dyDescent="0.25">
      <c r="A120" s="1"/>
      <c r="B120" s="1"/>
      <c r="C120" s="1"/>
      <c r="D120" s="1">
        <v>5</v>
      </c>
      <c r="E120" s="1">
        <v>2</v>
      </c>
      <c r="F120" s="1">
        <v>6</v>
      </c>
      <c r="G120" s="1"/>
      <c r="H120" s="1" t="s">
        <v>206</v>
      </c>
      <c r="I120" s="73"/>
      <c r="J120" s="1"/>
      <c r="K120" s="4" t="s">
        <v>3599</v>
      </c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1864">
        <f t="shared" si="2"/>
        <v>0</v>
      </c>
      <c r="Y120" s="23">
        <f t="shared" si="3"/>
        <v>0</v>
      </c>
    </row>
    <row r="121" spans="1:25" ht="14.45" customHeight="1" x14ac:dyDescent="0.25">
      <c r="A121" s="1"/>
      <c r="B121" s="1"/>
      <c r="C121" s="1"/>
      <c r="D121" s="1"/>
      <c r="E121" s="1"/>
      <c r="F121" s="1"/>
      <c r="G121" s="1489" t="s">
        <v>3366</v>
      </c>
      <c r="H121" s="4" t="s">
        <v>811</v>
      </c>
      <c r="I121" s="73">
        <v>7880000</v>
      </c>
      <c r="J121" s="1" t="s">
        <v>1220</v>
      </c>
      <c r="K121" s="4" t="s">
        <v>3599</v>
      </c>
      <c r="L121" s="73">
        <v>2700833</v>
      </c>
      <c r="M121" s="73"/>
      <c r="N121" s="68">
        <v>5179167</v>
      </c>
      <c r="O121" s="73"/>
      <c r="P121" s="73"/>
      <c r="Q121" s="73"/>
      <c r="R121" s="73"/>
      <c r="S121" s="73"/>
      <c r="T121" s="73"/>
      <c r="U121" s="73"/>
      <c r="V121" s="73"/>
      <c r="W121" s="73"/>
      <c r="X121" s="1864">
        <f t="shared" si="2"/>
        <v>7880000</v>
      </c>
      <c r="Y121" s="23">
        <f t="shared" si="3"/>
        <v>0</v>
      </c>
    </row>
    <row r="122" spans="1:25" x14ac:dyDescent="0.25">
      <c r="A122" s="865">
        <v>2</v>
      </c>
      <c r="B122" s="865">
        <v>4</v>
      </c>
      <c r="C122" s="1490" t="s">
        <v>3392</v>
      </c>
      <c r="D122" s="865"/>
      <c r="E122" s="865"/>
      <c r="F122" s="865"/>
      <c r="G122" s="865"/>
      <c r="H122" s="865" t="s">
        <v>1702</v>
      </c>
      <c r="I122" s="1063">
        <v>226284000</v>
      </c>
      <c r="J122" s="865" t="s">
        <v>1506</v>
      </c>
      <c r="K122" s="1061" t="s">
        <v>3599</v>
      </c>
      <c r="L122" s="1063"/>
      <c r="M122" s="1063"/>
      <c r="N122" s="1063"/>
      <c r="O122" s="1063"/>
      <c r="P122" s="1063"/>
      <c r="Q122" s="1063"/>
      <c r="R122" s="1063"/>
      <c r="S122" s="1063"/>
      <c r="T122" s="1063"/>
      <c r="U122" s="1063"/>
      <c r="V122" s="1063"/>
      <c r="W122" s="1063"/>
      <c r="X122" s="1866">
        <f t="shared" si="2"/>
        <v>0</v>
      </c>
      <c r="Y122" s="23">
        <f t="shared" si="3"/>
        <v>226284000</v>
      </c>
    </row>
    <row r="123" spans="1:25" x14ac:dyDescent="0.25">
      <c r="A123" s="1"/>
      <c r="B123" s="1"/>
      <c r="C123" s="1"/>
      <c r="D123" s="1">
        <v>5</v>
      </c>
      <c r="E123" s="1">
        <v>2</v>
      </c>
      <c r="F123" s="1"/>
      <c r="G123" s="1"/>
      <c r="H123" s="1" t="s">
        <v>815</v>
      </c>
      <c r="I123" s="73"/>
      <c r="J123" s="1"/>
      <c r="K123" s="4" t="s">
        <v>3599</v>
      </c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1864">
        <f t="shared" si="2"/>
        <v>0</v>
      </c>
      <c r="Y123" s="23">
        <f t="shared" si="3"/>
        <v>0</v>
      </c>
    </row>
    <row r="124" spans="1:25" ht="14.45" customHeight="1" x14ac:dyDescent="0.25">
      <c r="A124" s="1"/>
      <c r="B124" s="1"/>
      <c r="C124" s="1"/>
      <c r="D124" s="1"/>
      <c r="E124" s="1"/>
      <c r="F124" s="1">
        <v>1</v>
      </c>
      <c r="G124" s="1"/>
      <c r="H124" s="1" t="s">
        <v>84</v>
      </c>
      <c r="I124" s="73"/>
      <c r="J124" s="1"/>
      <c r="K124" s="4" t="s">
        <v>3599</v>
      </c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1864">
        <f t="shared" si="2"/>
        <v>0</v>
      </c>
      <c r="Y124" s="23">
        <f t="shared" si="3"/>
        <v>0</v>
      </c>
    </row>
    <row r="125" spans="1:25" x14ac:dyDescent="0.25">
      <c r="A125" s="1"/>
      <c r="B125" s="1"/>
      <c r="C125" s="1"/>
      <c r="D125" s="1"/>
      <c r="E125" s="1"/>
      <c r="F125" s="1"/>
      <c r="G125" s="1489" t="s">
        <v>3392</v>
      </c>
      <c r="H125" s="1" t="s">
        <v>791</v>
      </c>
      <c r="I125" s="73">
        <v>3634000</v>
      </c>
      <c r="J125" s="1" t="s">
        <v>1506</v>
      </c>
      <c r="K125" s="4" t="s">
        <v>3599</v>
      </c>
      <c r="L125" s="73"/>
      <c r="M125" s="73">
        <v>3634000</v>
      </c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1864">
        <f t="shared" si="2"/>
        <v>3634000</v>
      </c>
      <c r="Y125" s="23">
        <f t="shared" si="3"/>
        <v>0</v>
      </c>
    </row>
    <row r="126" spans="1:25" x14ac:dyDescent="0.25">
      <c r="A126" s="1"/>
      <c r="B126" s="1"/>
      <c r="C126" s="1"/>
      <c r="D126" s="1"/>
      <c r="E126" s="1"/>
      <c r="F126" s="1"/>
      <c r="G126" s="1489" t="s">
        <v>3392</v>
      </c>
      <c r="H126" s="1" t="s">
        <v>1587</v>
      </c>
      <c r="I126" s="73">
        <v>6650000</v>
      </c>
      <c r="J126" s="1" t="s">
        <v>1506</v>
      </c>
      <c r="K126" s="4" t="s">
        <v>3599</v>
      </c>
      <c r="L126" s="73"/>
      <c r="M126" s="73">
        <v>6650000</v>
      </c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1864">
        <f t="shared" si="2"/>
        <v>6650000</v>
      </c>
      <c r="Y126" s="23">
        <f t="shared" si="3"/>
        <v>0</v>
      </c>
    </row>
    <row r="127" spans="1:25" ht="28.9" customHeight="1" x14ac:dyDescent="0.25">
      <c r="A127" s="1"/>
      <c r="B127" s="1"/>
      <c r="C127" s="1"/>
      <c r="D127" s="1">
        <v>5</v>
      </c>
      <c r="E127" s="1">
        <v>2</v>
      </c>
      <c r="F127" s="1">
        <v>2</v>
      </c>
      <c r="G127" s="1"/>
      <c r="H127" s="1" t="s">
        <v>812</v>
      </c>
      <c r="I127" s="73"/>
      <c r="J127" s="1"/>
      <c r="K127" s="4" t="s">
        <v>3599</v>
      </c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1864">
        <f t="shared" si="2"/>
        <v>0</v>
      </c>
      <c r="Y127" s="23">
        <f t="shared" si="3"/>
        <v>0</v>
      </c>
    </row>
    <row r="128" spans="1:25" ht="28.9" customHeight="1" x14ac:dyDescent="0.25">
      <c r="A128" s="1"/>
      <c r="B128" s="1"/>
      <c r="C128" s="1"/>
      <c r="D128" s="1"/>
      <c r="E128" s="1"/>
      <c r="F128" s="1"/>
      <c r="G128" s="1489" t="s">
        <v>3420</v>
      </c>
      <c r="H128" s="1" t="s">
        <v>1268</v>
      </c>
      <c r="I128" s="73">
        <v>112000000</v>
      </c>
      <c r="J128" s="1" t="s">
        <v>1506</v>
      </c>
      <c r="K128" s="4" t="s">
        <v>3599</v>
      </c>
      <c r="L128" s="73">
        <v>9400000</v>
      </c>
      <c r="M128" s="73">
        <v>8600000</v>
      </c>
      <c r="N128" s="73">
        <v>9400000</v>
      </c>
      <c r="O128" s="73">
        <v>9400000</v>
      </c>
      <c r="P128" s="73">
        <v>9400000</v>
      </c>
      <c r="Q128" s="73">
        <v>9400000</v>
      </c>
      <c r="R128" s="73">
        <v>9400000</v>
      </c>
      <c r="S128" s="73">
        <v>9400000</v>
      </c>
      <c r="T128" s="73">
        <v>9400000</v>
      </c>
      <c r="U128" s="73">
        <v>9400000</v>
      </c>
      <c r="V128" s="73">
        <v>9400000</v>
      </c>
      <c r="W128" s="73">
        <v>9400000</v>
      </c>
      <c r="X128" s="1864">
        <f t="shared" si="2"/>
        <v>112000000</v>
      </c>
      <c r="Y128" s="23">
        <f t="shared" si="3"/>
        <v>0</v>
      </c>
    </row>
    <row r="129" spans="1:25" ht="14.45" customHeight="1" x14ac:dyDescent="0.25">
      <c r="A129" s="1868">
        <v>3</v>
      </c>
      <c r="B129" s="1869"/>
      <c r="C129" s="1869"/>
      <c r="D129" s="1869"/>
      <c r="E129" s="1869"/>
      <c r="F129" s="1869"/>
      <c r="G129" s="1869"/>
      <c r="H129" s="1870" t="s">
        <v>2054</v>
      </c>
      <c r="I129" s="1871">
        <f>I130+I154+I165+I173+I183+I189+I193+I200+I204+I208+I225+I247+I257+I265+I273+I278+I287+I297+I309</f>
        <v>3407515584.6599998</v>
      </c>
      <c r="J129" s="1869"/>
      <c r="K129" s="1870"/>
      <c r="L129" s="1871"/>
      <c r="M129" s="1871"/>
      <c r="N129" s="1871"/>
      <c r="O129" s="1871"/>
      <c r="P129" s="1871"/>
      <c r="Q129" s="1871"/>
      <c r="R129" s="1871"/>
      <c r="S129" s="1871"/>
      <c r="T129" s="1871"/>
      <c r="U129" s="1871"/>
      <c r="V129" s="1871"/>
      <c r="W129" s="1871"/>
      <c r="X129" s="1872">
        <f t="shared" si="2"/>
        <v>0</v>
      </c>
      <c r="Y129" s="23">
        <f t="shared" si="3"/>
        <v>3407515584.6599998</v>
      </c>
    </row>
    <row r="130" spans="1:25" ht="148.15" customHeight="1" x14ac:dyDescent="0.25">
      <c r="A130" s="865">
        <v>3</v>
      </c>
      <c r="B130" s="865">
        <v>2</v>
      </c>
      <c r="C130" s="1490" t="s">
        <v>3388</v>
      </c>
      <c r="D130" s="865"/>
      <c r="E130" s="865"/>
      <c r="F130" s="865"/>
      <c r="G130" s="865"/>
      <c r="H130" s="1061" t="s">
        <v>3506</v>
      </c>
      <c r="I130" s="1063">
        <f>SUM(I131:I153)</f>
        <v>42947000</v>
      </c>
      <c r="J130" s="1061" t="s">
        <v>1777</v>
      </c>
      <c r="K130" s="1061" t="s">
        <v>3599</v>
      </c>
      <c r="L130" s="1063"/>
      <c r="M130" s="1063"/>
      <c r="N130" s="1063"/>
      <c r="O130" s="1063"/>
      <c r="P130" s="1063"/>
      <c r="Q130" s="1063"/>
      <c r="R130" s="1063"/>
      <c r="S130" s="1063"/>
      <c r="T130" s="1063"/>
      <c r="U130" s="1063"/>
      <c r="V130" s="1063"/>
      <c r="W130" s="1063"/>
      <c r="X130" s="1866">
        <f t="shared" si="2"/>
        <v>0</v>
      </c>
      <c r="Y130" s="23">
        <f t="shared" si="3"/>
        <v>42947000</v>
      </c>
    </row>
    <row r="131" spans="1:25" x14ac:dyDescent="0.25">
      <c r="A131" s="1"/>
      <c r="B131" s="1"/>
      <c r="C131" s="1"/>
      <c r="D131" s="1">
        <v>5</v>
      </c>
      <c r="E131" s="1">
        <v>2</v>
      </c>
      <c r="F131" s="1"/>
      <c r="G131" s="1"/>
      <c r="H131" s="4" t="s">
        <v>277</v>
      </c>
      <c r="I131" s="73"/>
      <c r="J131" s="4"/>
      <c r="K131" s="4" t="s">
        <v>3599</v>
      </c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1864">
        <f t="shared" si="2"/>
        <v>0</v>
      </c>
      <c r="Y131" s="23">
        <f t="shared" si="3"/>
        <v>0</v>
      </c>
    </row>
    <row r="132" spans="1:25" x14ac:dyDescent="0.25">
      <c r="A132" s="1"/>
      <c r="B132" s="1"/>
      <c r="C132" s="1"/>
      <c r="D132" s="1"/>
      <c r="E132" s="1"/>
      <c r="F132" s="1">
        <v>1</v>
      </c>
      <c r="G132" s="1"/>
      <c r="H132" s="4" t="s">
        <v>84</v>
      </c>
      <c r="I132" s="73"/>
      <c r="J132" s="4"/>
      <c r="K132" s="4" t="s">
        <v>3599</v>
      </c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1864">
        <f t="shared" si="2"/>
        <v>0</v>
      </c>
      <c r="Y132" s="23">
        <f t="shared" si="3"/>
        <v>0</v>
      </c>
    </row>
    <row r="133" spans="1:25" ht="30" x14ac:dyDescent="0.25">
      <c r="A133" s="1"/>
      <c r="B133" s="1"/>
      <c r="C133" s="1"/>
      <c r="D133" s="1"/>
      <c r="E133" s="1"/>
      <c r="F133" s="1"/>
      <c r="G133" s="1489" t="s">
        <v>3366</v>
      </c>
      <c r="H133" s="4" t="s">
        <v>679</v>
      </c>
      <c r="I133" s="73">
        <v>165000</v>
      </c>
      <c r="J133" s="4" t="s">
        <v>1777</v>
      </c>
      <c r="K133" s="4" t="s">
        <v>3599</v>
      </c>
      <c r="L133" s="73">
        <v>165000</v>
      </c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1864">
        <f t="shared" si="2"/>
        <v>165000</v>
      </c>
      <c r="Y133" s="23">
        <f t="shared" si="3"/>
        <v>0</v>
      </c>
    </row>
    <row r="134" spans="1:25" ht="30" x14ac:dyDescent="0.25">
      <c r="A134" s="1"/>
      <c r="B134" s="1"/>
      <c r="C134" s="1"/>
      <c r="D134" s="1"/>
      <c r="E134" s="1"/>
      <c r="F134" s="1"/>
      <c r="G134" s="1489" t="s">
        <v>3391</v>
      </c>
      <c r="H134" s="4" t="s">
        <v>307</v>
      </c>
      <c r="I134" s="73">
        <v>8280000</v>
      </c>
      <c r="J134" s="4" t="s">
        <v>1777</v>
      </c>
      <c r="K134" s="4" t="s">
        <v>3599</v>
      </c>
      <c r="L134" s="73">
        <v>8280000</v>
      </c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1864">
        <f t="shared" si="2"/>
        <v>8280000</v>
      </c>
      <c r="Y134" s="23">
        <f t="shared" si="3"/>
        <v>0</v>
      </c>
    </row>
    <row r="135" spans="1:25" ht="30" x14ac:dyDescent="0.25">
      <c r="A135" s="1"/>
      <c r="B135" s="1"/>
      <c r="C135" s="1"/>
      <c r="D135" s="1"/>
      <c r="E135" s="1"/>
      <c r="F135" s="1"/>
      <c r="G135" s="1489" t="s">
        <v>3393</v>
      </c>
      <c r="H135" s="4" t="s">
        <v>1247</v>
      </c>
      <c r="I135" s="73">
        <v>270000</v>
      </c>
      <c r="J135" s="4" t="s">
        <v>1777</v>
      </c>
      <c r="K135" s="4" t="s">
        <v>3599</v>
      </c>
      <c r="L135" s="73">
        <v>270000</v>
      </c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1864">
        <f t="shared" si="2"/>
        <v>270000</v>
      </c>
      <c r="Y135" s="23">
        <f t="shared" si="3"/>
        <v>0</v>
      </c>
    </row>
    <row r="136" spans="1:25" ht="30" x14ac:dyDescent="0.25">
      <c r="A136" s="1"/>
      <c r="B136" s="1"/>
      <c r="C136" s="1"/>
      <c r="D136" s="1"/>
      <c r="E136" s="1"/>
      <c r="F136" s="1"/>
      <c r="G136" s="1489" t="s">
        <v>3417</v>
      </c>
      <c r="H136" s="4" t="s">
        <v>273</v>
      </c>
      <c r="I136" s="73">
        <v>160000</v>
      </c>
      <c r="J136" s="4" t="s">
        <v>1777</v>
      </c>
      <c r="K136" s="4" t="s">
        <v>3599</v>
      </c>
      <c r="L136" s="73">
        <v>160000</v>
      </c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1864">
        <f t="shared" si="2"/>
        <v>160000</v>
      </c>
      <c r="Y136" s="23">
        <f t="shared" si="3"/>
        <v>0</v>
      </c>
    </row>
    <row r="137" spans="1:25" x14ac:dyDescent="0.25">
      <c r="A137" s="1"/>
      <c r="B137" s="1"/>
      <c r="C137" s="1"/>
      <c r="D137" s="1">
        <v>5</v>
      </c>
      <c r="E137" s="1">
        <v>2</v>
      </c>
      <c r="F137" s="1">
        <v>2</v>
      </c>
      <c r="G137" s="1"/>
      <c r="H137" s="4" t="s">
        <v>294</v>
      </c>
      <c r="I137" s="73"/>
      <c r="J137" s="4"/>
      <c r="K137" s="4" t="s">
        <v>3599</v>
      </c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1864">
        <f t="shared" si="2"/>
        <v>0</v>
      </c>
      <c r="Y137" s="23">
        <f t="shared" si="3"/>
        <v>0</v>
      </c>
    </row>
    <row r="138" spans="1:25" ht="45" x14ac:dyDescent="0.25">
      <c r="A138" s="1"/>
      <c r="B138" s="1"/>
      <c r="C138" s="1"/>
      <c r="D138" s="1"/>
      <c r="E138" s="1"/>
      <c r="F138" s="1"/>
      <c r="G138" s="1489" t="s">
        <v>3389</v>
      </c>
      <c r="H138" s="4" t="s">
        <v>948</v>
      </c>
      <c r="I138" s="73">
        <v>12702000</v>
      </c>
      <c r="J138" s="4" t="s">
        <v>1777</v>
      </c>
      <c r="K138" s="4" t="s">
        <v>3599</v>
      </c>
      <c r="L138" s="73">
        <v>12702000</v>
      </c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1864">
        <f t="shared" si="2"/>
        <v>12702000</v>
      </c>
      <c r="Y138" s="23">
        <f t="shared" si="3"/>
        <v>0</v>
      </c>
    </row>
    <row r="139" spans="1:25" ht="28.9" customHeight="1" x14ac:dyDescent="0.25">
      <c r="A139" s="1"/>
      <c r="B139" s="1"/>
      <c r="C139" s="1"/>
      <c r="D139" s="1">
        <v>5</v>
      </c>
      <c r="E139" s="1">
        <v>2</v>
      </c>
      <c r="F139" s="1">
        <v>4</v>
      </c>
      <c r="G139" s="1"/>
      <c r="H139" s="4" t="s">
        <v>442</v>
      </c>
      <c r="I139" s="73"/>
      <c r="J139" s="4"/>
      <c r="K139" s="4" t="s">
        <v>3599</v>
      </c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1864">
        <f t="shared" si="2"/>
        <v>0</v>
      </c>
      <c r="Y139" s="23">
        <f t="shared" si="3"/>
        <v>0</v>
      </c>
    </row>
    <row r="140" spans="1:25" ht="43.15" customHeight="1" x14ac:dyDescent="0.25">
      <c r="A140" s="1"/>
      <c r="B140" s="1"/>
      <c r="C140" s="1"/>
      <c r="D140" s="1"/>
      <c r="E140" s="1"/>
      <c r="F140" s="1"/>
      <c r="G140" s="1489" t="s">
        <v>3386</v>
      </c>
      <c r="H140" s="4" t="s">
        <v>945</v>
      </c>
      <c r="I140" s="73">
        <v>1000000</v>
      </c>
      <c r="J140" s="4" t="s">
        <v>1777</v>
      </c>
      <c r="K140" s="4" t="s">
        <v>3599</v>
      </c>
      <c r="L140" s="73">
        <v>1000000</v>
      </c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1864">
        <f t="shared" si="2"/>
        <v>1000000</v>
      </c>
      <c r="Y140" s="23">
        <f t="shared" si="3"/>
        <v>0</v>
      </c>
    </row>
    <row r="141" spans="1:25" ht="43.15" customHeight="1" x14ac:dyDescent="0.25">
      <c r="A141" s="1"/>
      <c r="B141" s="1"/>
      <c r="C141" s="1"/>
      <c r="D141" s="1">
        <v>5</v>
      </c>
      <c r="E141" s="1">
        <v>2</v>
      </c>
      <c r="F141" s="1">
        <v>7</v>
      </c>
      <c r="G141" s="1"/>
      <c r="H141" s="4" t="s">
        <v>453</v>
      </c>
      <c r="I141" s="73"/>
      <c r="J141" s="4"/>
      <c r="K141" s="4" t="s">
        <v>3599</v>
      </c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1864">
        <f t="shared" si="2"/>
        <v>0</v>
      </c>
      <c r="Y141" s="23">
        <f t="shared" si="3"/>
        <v>0</v>
      </c>
    </row>
    <row r="142" spans="1:25" ht="30" x14ac:dyDescent="0.25">
      <c r="A142" s="1"/>
      <c r="B142" s="1"/>
      <c r="C142" s="1"/>
      <c r="D142" s="1"/>
      <c r="E142" s="1"/>
      <c r="F142" s="1"/>
      <c r="G142" s="1489" t="s">
        <v>3417</v>
      </c>
      <c r="H142" s="4" t="s">
        <v>905</v>
      </c>
      <c r="I142" s="73">
        <v>13620000</v>
      </c>
      <c r="J142" s="4" t="s">
        <v>1777</v>
      </c>
      <c r="K142" s="4" t="s">
        <v>3599</v>
      </c>
      <c r="L142" s="73">
        <v>13620000</v>
      </c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1864">
        <f t="shared" si="2"/>
        <v>13620000</v>
      </c>
      <c r="Y142" s="23">
        <f t="shared" si="3"/>
        <v>0</v>
      </c>
    </row>
    <row r="143" spans="1:25" ht="30" x14ac:dyDescent="0.25">
      <c r="A143" s="1"/>
      <c r="B143" s="1"/>
      <c r="C143" s="1"/>
      <c r="D143" s="1"/>
      <c r="E143" s="1"/>
      <c r="F143" s="1"/>
      <c r="G143" s="1"/>
      <c r="H143" s="4" t="s">
        <v>932</v>
      </c>
      <c r="I143" s="73"/>
      <c r="J143" s="4"/>
      <c r="K143" s="4" t="s">
        <v>3599</v>
      </c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1864">
        <f t="shared" ref="X143:X206" si="4">SUM(L143:W143)</f>
        <v>0</v>
      </c>
      <c r="Y143" s="23">
        <f t="shared" ref="Y143:Y206" si="5">I143-X143</f>
        <v>0</v>
      </c>
    </row>
    <row r="144" spans="1:25" x14ac:dyDescent="0.25">
      <c r="A144" s="1"/>
      <c r="B144" s="1"/>
      <c r="C144" s="1"/>
      <c r="D144" s="1"/>
      <c r="E144" s="1"/>
      <c r="F144" s="1"/>
      <c r="G144" s="1"/>
      <c r="H144" s="4" t="s">
        <v>277</v>
      </c>
      <c r="I144" s="73"/>
      <c r="J144" s="4"/>
      <c r="K144" s="4" t="s">
        <v>3599</v>
      </c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1864">
        <f t="shared" si="4"/>
        <v>0</v>
      </c>
      <c r="Y144" s="23">
        <f t="shared" si="5"/>
        <v>0</v>
      </c>
    </row>
    <row r="145" spans="1:25" x14ac:dyDescent="0.25">
      <c r="A145" s="1"/>
      <c r="B145" s="1"/>
      <c r="C145" s="1"/>
      <c r="D145" s="1">
        <v>5</v>
      </c>
      <c r="E145" s="1">
        <v>2</v>
      </c>
      <c r="F145" s="1">
        <v>1</v>
      </c>
      <c r="G145" s="1"/>
      <c r="H145" s="4" t="s">
        <v>84</v>
      </c>
      <c r="I145" s="73"/>
      <c r="J145" s="4"/>
      <c r="K145" s="4" t="s">
        <v>3599</v>
      </c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1864">
        <f t="shared" si="4"/>
        <v>0</v>
      </c>
      <c r="Y145" s="23">
        <f t="shared" si="5"/>
        <v>0</v>
      </c>
    </row>
    <row r="146" spans="1:25" ht="30" x14ac:dyDescent="0.25">
      <c r="A146" s="1"/>
      <c r="B146" s="1"/>
      <c r="C146" s="1"/>
      <c r="D146" s="1"/>
      <c r="E146" s="1"/>
      <c r="F146" s="1"/>
      <c r="G146" s="1489" t="s">
        <v>3391</v>
      </c>
      <c r="H146" s="4" t="s">
        <v>931</v>
      </c>
      <c r="I146" s="73">
        <v>900000</v>
      </c>
      <c r="J146" s="4" t="s">
        <v>1777</v>
      </c>
      <c r="K146" s="4" t="s">
        <v>3599</v>
      </c>
      <c r="L146" s="73">
        <v>900000</v>
      </c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1864">
        <f t="shared" si="4"/>
        <v>900000</v>
      </c>
      <c r="Y146" s="23">
        <f t="shared" si="5"/>
        <v>0</v>
      </c>
    </row>
    <row r="147" spans="1:25" ht="30" x14ac:dyDescent="0.25">
      <c r="A147" s="1"/>
      <c r="B147" s="1"/>
      <c r="C147" s="1"/>
      <c r="D147" s="1"/>
      <c r="E147" s="1"/>
      <c r="F147" s="1"/>
      <c r="G147" s="1489" t="s">
        <v>3391</v>
      </c>
      <c r="H147" s="4" t="s">
        <v>931</v>
      </c>
      <c r="I147" s="73">
        <v>500000</v>
      </c>
      <c r="J147" s="4" t="s">
        <v>1506</v>
      </c>
      <c r="K147" s="4" t="s">
        <v>3599</v>
      </c>
      <c r="L147" s="73"/>
      <c r="M147" s="73"/>
      <c r="N147" s="73">
        <v>500000</v>
      </c>
      <c r="O147" s="73"/>
      <c r="P147" s="73"/>
      <c r="Q147" s="73"/>
      <c r="R147" s="73"/>
      <c r="S147" s="73"/>
      <c r="T147" s="73"/>
      <c r="U147" s="73"/>
      <c r="V147" s="73"/>
      <c r="W147" s="73"/>
      <c r="X147" s="1864">
        <f t="shared" si="4"/>
        <v>500000</v>
      </c>
      <c r="Y147" s="23">
        <f t="shared" si="5"/>
        <v>0</v>
      </c>
    </row>
    <row r="148" spans="1:25" ht="14.45" customHeight="1" x14ac:dyDescent="0.25">
      <c r="A148" s="1"/>
      <c r="B148" s="1"/>
      <c r="C148" s="1"/>
      <c r="D148" s="1"/>
      <c r="E148" s="1"/>
      <c r="F148" s="1"/>
      <c r="G148" s="1489" t="s">
        <v>3392</v>
      </c>
      <c r="H148" s="4" t="s">
        <v>930</v>
      </c>
      <c r="I148" s="73">
        <v>2700000</v>
      </c>
      <c r="J148" s="4" t="s">
        <v>1777</v>
      </c>
      <c r="K148" s="4" t="s">
        <v>3599</v>
      </c>
      <c r="L148" s="73">
        <v>2700000</v>
      </c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1864">
        <f t="shared" si="4"/>
        <v>2700000</v>
      </c>
      <c r="Y148" s="23">
        <f t="shared" si="5"/>
        <v>0</v>
      </c>
    </row>
    <row r="149" spans="1:25" x14ac:dyDescent="0.25">
      <c r="A149" s="1"/>
      <c r="B149" s="1"/>
      <c r="C149" s="1"/>
      <c r="D149" s="1">
        <v>5</v>
      </c>
      <c r="E149" s="1">
        <v>2</v>
      </c>
      <c r="F149" s="1">
        <v>2</v>
      </c>
      <c r="G149" s="1"/>
      <c r="H149" s="4" t="s">
        <v>294</v>
      </c>
      <c r="I149" s="73"/>
      <c r="J149" s="4"/>
      <c r="K149" s="4" t="s">
        <v>3599</v>
      </c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1864">
        <f t="shared" si="4"/>
        <v>0</v>
      </c>
      <c r="Y149" s="23">
        <f t="shared" si="5"/>
        <v>0</v>
      </c>
    </row>
    <row r="150" spans="1:25" ht="57.6" customHeight="1" x14ac:dyDescent="0.25">
      <c r="A150" s="1"/>
      <c r="B150" s="1"/>
      <c r="C150" s="1"/>
      <c r="D150" s="1"/>
      <c r="E150" s="1"/>
      <c r="F150" s="1"/>
      <c r="G150" s="1489" t="s">
        <v>3366</v>
      </c>
      <c r="H150" s="4" t="s">
        <v>928</v>
      </c>
      <c r="I150" s="73">
        <v>1150000</v>
      </c>
      <c r="J150" s="4" t="s">
        <v>1777</v>
      </c>
      <c r="K150" s="4" t="s">
        <v>3599</v>
      </c>
      <c r="L150" s="73">
        <v>1150000</v>
      </c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1864">
        <f t="shared" si="4"/>
        <v>1150000</v>
      </c>
      <c r="Y150" s="23">
        <f t="shared" si="5"/>
        <v>0</v>
      </c>
    </row>
    <row r="151" spans="1:25" ht="45" x14ac:dyDescent="0.25">
      <c r="A151" s="1"/>
      <c r="B151" s="1"/>
      <c r="C151" s="1"/>
      <c r="D151" s="1"/>
      <c r="E151" s="1"/>
      <c r="F151" s="1"/>
      <c r="G151" s="1489" t="s">
        <v>3389</v>
      </c>
      <c r="H151" s="4" t="s">
        <v>656</v>
      </c>
      <c r="I151" s="73">
        <v>1350000</v>
      </c>
      <c r="J151" s="4" t="s">
        <v>1506</v>
      </c>
      <c r="K151" s="4" t="s">
        <v>3599</v>
      </c>
      <c r="L151" s="73"/>
      <c r="M151" s="73"/>
      <c r="N151" s="73">
        <v>1350000</v>
      </c>
      <c r="O151" s="73"/>
      <c r="P151" s="73"/>
      <c r="Q151" s="73"/>
      <c r="R151" s="73"/>
      <c r="S151" s="73"/>
      <c r="T151" s="73"/>
      <c r="U151" s="73"/>
      <c r="V151" s="73"/>
      <c r="W151" s="73"/>
      <c r="X151" s="1864">
        <f t="shared" si="4"/>
        <v>1350000</v>
      </c>
      <c r="Y151" s="23">
        <f t="shared" si="5"/>
        <v>0</v>
      </c>
    </row>
    <row r="152" spans="1:25" ht="45" x14ac:dyDescent="0.25">
      <c r="A152" s="1"/>
      <c r="B152" s="1"/>
      <c r="C152" s="1"/>
      <c r="D152" s="1">
        <v>5</v>
      </c>
      <c r="E152" s="1">
        <v>2</v>
      </c>
      <c r="F152" s="1">
        <v>7</v>
      </c>
      <c r="G152" s="1"/>
      <c r="H152" s="4" t="s">
        <v>453</v>
      </c>
      <c r="I152" s="73"/>
      <c r="J152" s="4"/>
      <c r="K152" s="4" t="s">
        <v>3599</v>
      </c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1864">
        <f t="shared" si="4"/>
        <v>0</v>
      </c>
      <c r="Y152" s="23">
        <f t="shared" si="5"/>
        <v>0</v>
      </c>
    </row>
    <row r="153" spans="1:25" ht="28.9" customHeight="1" x14ac:dyDescent="0.25">
      <c r="A153" s="1"/>
      <c r="B153" s="1"/>
      <c r="C153" s="1"/>
      <c r="D153" s="1"/>
      <c r="E153" s="1"/>
      <c r="F153" s="1"/>
      <c r="G153" s="1">
        <v>91</v>
      </c>
      <c r="H153" s="4" t="s">
        <v>1253</v>
      </c>
      <c r="I153" s="73">
        <v>150000</v>
      </c>
      <c r="J153" s="4" t="s">
        <v>1777</v>
      </c>
      <c r="K153" s="4" t="s">
        <v>3599</v>
      </c>
      <c r="L153" s="73">
        <v>150000</v>
      </c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1864">
        <f t="shared" si="4"/>
        <v>150000</v>
      </c>
      <c r="Y153" s="23">
        <f t="shared" si="5"/>
        <v>0</v>
      </c>
    </row>
    <row r="154" spans="1:25" ht="28.9" customHeight="1" x14ac:dyDescent="0.25">
      <c r="A154" s="865">
        <v>3</v>
      </c>
      <c r="B154" s="865">
        <v>2</v>
      </c>
      <c r="C154" s="1490" t="s">
        <v>3366</v>
      </c>
      <c r="D154" s="865"/>
      <c r="E154" s="865"/>
      <c r="F154" s="865"/>
      <c r="G154" s="865"/>
      <c r="H154" s="1061" t="s">
        <v>3091</v>
      </c>
      <c r="I154" s="1063">
        <v>246660000</v>
      </c>
      <c r="J154" s="1061" t="s">
        <v>1775</v>
      </c>
      <c r="K154" s="1061" t="s">
        <v>3599</v>
      </c>
      <c r="L154" s="1063"/>
      <c r="M154" s="1063"/>
      <c r="N154" s="1063"/>
      <c r="O154" s="1063"/>
      <c r="P154" s="1063"/>
      <c r="Q154" s="1063"/>
      <c r="R154" s="1063"/>
      <c r="S154" s="1063"/>
      <c r="T154" s="1063"/>
      <c r="U154" s="1063"/>
      <c r="V154" s="1063"/>
      <c r="W154" s="1063"/>
      <c r="X154" s="1866">
        <f t="shared" si="4"/>
        <v>0</v>
      </c>
      <c r="Y154" s="23">
        <f t="shared" si="5"/>
        <v>246660000</v>
      </c>
    </row>
    <row r="155" spans="1:25" ht="14.45" customHeight="1" x14ac:dyDescent="0.25">
      <c r="A155" s="1"/>
      <c r="B155" s="1"/>
      <c r="C155" s="1"/>
      <c r="D155" s="1">
        <v>5</v>
      </c>
      <c r="E155" s="1">
        <v>2</v>
      </c>
      <c r="F155" s="1"/>
      <c r="G155" s="1"/>
      <c r="H155" s="4" t="s">
        <v>277</v>
      </c>
      <c r="I155" s="73"/>
      <c r="J155" s="4"/>
      <c r="K155" s="4" t="s">
        <v>3599</v>
      </c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1864">
        <f t="shared" si="4"/>
        <v>0</v>
      </c>
      <c r="Y155" s="23">
        <f t="shared" si="5"/>
        <v>0</v>
      </c>
    </row>
    <row r="156" spans="1:25" ht="28.9" customHeight="1" x14ac:dyDescent="0.25">
      <c r="A156" s="1"/>
      <c r="B156" s="1"/>
      <c r="C156" s="1"/>
      <c r="D156" s="1"/>
      <c r="E156" s="1"/>
      <c r="F156" s="1">
        <v>1</v>
      </c>
      <c r="G156" s="1"/>
      <c r="H156" s="4" t="s">
        <v>84</v>
      </c>
      <c r="I156" s="73"/>
      <c r="J156" s="4"/>
      <c r="K156" s="4" t="s">
        <v>3599</v>
      </c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1864">
        <f t="shared" si="4"/>
        <v>0</v>
      </c>
      <c r="Y156" s="23">
        <f t="shared" si="5"/>
        <v>0</v>
      </c>
    </row>
    <row r="157" spans="1:25" ht="28.9" customHeight="1" x14ac:dyDescent="0.25">
      <c r="A157" s="1"/>
      <c r="B157" s="1"/>
      <c r="C157" s="1"/>
      <c r="D157" s="1"/>
      <c r="E157" s="1"/>
      <c r="F157" s="1"/>
      <c r="G157" s="1489" t="s">
        <v>3366</v>
      </c>
      <c r="H157" s="4" t="s">
        <v>679</v>
      </c>
      <c r="I157" s="73">
        <v>420000</v>
      </c>
      <c r="J157" s="4" t="s">
        <v>1775</v>
      </c>
      <c r="K157" s="4" t="s">
        <v>3599</v>
      </c>
      <c r="L157" s="73"/>
      <c r="M157" s="73"/>
      <c r="N157" s="73"/>
      <c r="O157" s="73">
        <v>420000</v>
      </c>
      <c r="P157" s="73"/>
      <c r="Q157" s="73"/>
      <c r="R157" s="73"/>
      <c r="S157" s="73"/>
      <c r="T157" s="73"/>
      <c r="U157" s="73"/>
      <c r="V157" s="73"/>
      <c r="W157" s="73"/>
      <c r="X157" s="1864">
        <f t="shared" si="4"/>
        <v>420000</v>
      </c>
      <c r="Y157" s="23">
        <f t="shared" si="5"/>
        <v>0</v>
      </c>
    </row>
    <row r="158" spans="1:25" ht="30" x14ac:dyDescent="0.25">
      <c r="A158" s="1"/>
      <c r="B158" s="1"/>
      <c r="C158" s="1"/>
      <c r="D158" s="1"/>
      <c r="E158" s="1"/>
      <c r="F158" s="1"/>
      <c r="G158" s="1489" t="s">
        <v>3391</v>
      </c>
      <c r="H158" s="4" t="s">
        <v>307</v>
      </c>
      <c r="I158" s="73">
        <v>77760000</v>
      </c>
      <c r="J158" s="4" t="s">
        <v>1775</v>
      </c>
      <c r="K158" s="4" t="s">
        <v>3599</v>
      </c>
      <c r="L158" s="73"/>
      <c r="M158" s="73"/>
      <c r="N158" s="73"/>
      <c r="O158" s="73">
        <v>77760000</v>
      </c>
      <c r="P158" s="73"/>
      <c r="Q158" s="73"/>
      <c r="R158" s="73"/>
      <c r="S158" s="73"/>
      <c r="T158" s="73"/>
      <c r="U158" s="73"/>
      <c r="V158" s="73"/>
      <c r="W158" s="73"/>
      <c r="X158" s="1864">
        <f t="shared" si="4"/>
        <v>77760000</v>
      </c>
      <c r="Y158" s="23">
        <f t="shared" si="5"/>
        <v>0</v>
      </c>
    </row>
    <row r="159" spans="1:25" ht="30" x14ac:dyDescent="0.25">
      <c r="A159" s="1"/>
      <c r="B159" s="1"/>
      <c r="C159" s="1"/>
      <c r="D159" s="1"/>
      <c r="E159" s="1"/>
      <c r="F159" s="1"/>
      <c r="G159" s="1489" t="s">
        <v>3393</v>
      </c>
      <c r="H159" s="4" t="s">
        <v>1247</v>
      </c>
      <c r="I159" s="73">
        <v>1080000</v>
      </c>
      <c r="J159" s="4" t="s">
        <v>1775</v>
      </c>
      <c r="K159" s="4" t="s">
        <v>3599</v>
      </c>
      <c r="L159" s="73"/>
      <c r="M159" s="73"/>
      <c r="N159" s="73"/>
      <c r="O159" s="73">
        <v>1080000</v>
      </c>
      <c r="P159" s="73"/>
      <c r="Q159" s="73"/>
      <c r="R159" s="73"/>
      <c r="S159" s="73"/>
      <c r="T159" s="73"/>
      <c r="U159" s="73"/>
      <c r="V159" s="73"/>
      <c r="W159" s="73"/>
      <c r="X159" s="1864">
        <f t="shared" si="4"/>
        <v>1080000</v>
      </c>
      <c r="Y159" s="23">
        <f t="shared" si="5"/>
        <v>0</v>
      </c>
    </row>
    <row r="160" spans="1:25" ht="43.15" customHeight="1" x14ac:dyDescent="0.25">
      <c r="A160" s="1"/>
      <c r="B160" s="1"/>
      <c r="C160" s="1"/>
      <c r="D160" s="1"/>
      <c r="E160" s="1"/>
      <c r="F160" s="1"/>
      <c r="G160" s="1489" t="s">
        <v>3394</v>
      </c>
      <c r="H160" s="4" t="s">
        <v>2388</v>
      </c>
      <c r="I160" s="73">
        <v>45000000</v>
      </c>
      <c r="J160" s="4" t="s">
        <v>1775</v>
      </c>
      <c r="K160" s="4" t="s">
        <v>3599</v>
      </c>
      <c r="L160" s="73"/>
      <c r="M160" s="73"/>
      <c r="N160" s="73"/>
      <c r="O160" s="73">
        <v>45000000</v>
      </c>
      <c r="P160" s="73"/>
      <c r="Q160" s="73"/>
      <c r="R160" s="73"/>
      <c r="S160" s="73"/>
      <c r="T160" s="73"/>
      <c r="U160" s="73"/>
      <c r="V160" s="73"/>
      <c r="W160" s="73"/>
      <c r="X160" s="1864">
        <f t="shared" si="4"/>
        <v>45000000</v>
      </c>
      <c r="Y160" s="23">
        <f t="shared" si="5"/>
        <v>0</v>
      </c>
    </row>
    <row r="161" spans="1:25" x14ac:dyDescent="0.25">
      <c r="A161" s="1"/>
      <c r="B161" s="1"/>
      <c r="C161" s="1"/>
      <c r="D161" s="1">
        <v>5</v>
      </c>
      <c r="E161" s="1">
        <v>2</v>
      </c>
      <c r="F161" s="1">
        <v>2</v>
      </c>
      <c r="G161" s="1"/>
      <c r="H161" s="4" t="s">
        <v>294</v>
      </c>
      <c r="I161" s="73"/>
      <c r="J161" s="4"/>
      <c r="K161" s="4" t="s">
        <v>3599</v>
      </c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1864">
        <f t="shared" si="4"/>
        <v>0</v>
      </c>
      <c r="Y161" s="23">
        <f t="shared" si="5"/>
        <v>0</v>
      </c>
    </row>
    <row r="162" spans="1:25" ht="45" x14ac:dyDescent="0.25">
      <c r="A162" s="1"/>
      <c r="B162" s="1"/>
      <c r="C162" s="1"/>
      <c r="D162" s="1"/>
      <c r="E162" s="1"/>
      <c r="F162" s="1"/>
      <c r="G162" s="1489" t="s">
        <v>3389</v>
      </c>
      <c r="H162" s="4" t="s">
        <v>948</v>
      </c>
      <c r="I162" s="73">
        <v>86400000</v>
      </c>
      <c r="J162" s="4" t="s">
        <v>1775</v>
      </c>
      <c r="K162" s="4" t="s">
        <v>3599</v>
      </c>
      <c r="L162" s="73"/>
      <c r="M162" s="73"/>
      <c r="N162" s="73"/>
      <c r="O162" s="73">
        <v>86400000</v>
      </c>
      <c r="P162" s="73"/>
      <c r="Q162" s="73"/>
      <c r="R162" s="73"/>
      <c r="S162" s="73"/>
      <c r="T162" s="73"/>
      <c r="U162" s="73"/>
      <c r="V162" s="73"/>
      <c r="W162" s="73"/>
      <c r="X162" s="1864">
        <f t="shared" si="4"/>
        <v>86400000</v>
      </c>
      <c r="Y162" s="23">
        <f t="shared" si="5"/>
        <v>0</v>
      </c>
    </row>
    <row r="163" spans="1:25" ht="28.9" customHeight="1" x14ac:dyDescent="0.25">
      <c r="A163" s="1"/>
      <c r="B163" s="1"/>
      <c r="C163" s="1"/>
      <c r="D163" s="1">
        <v>5</v>
      </c>
      <c r="E163" s="1">
        <v>2</v>
      </c>
      <c r="F163" s="1">
        <v>7</v>
      </c>
      <c r="G163" s="1"/>
      <c r="H163" s="4" t="s">
        <v>453</v>
      </c>
      <c r="I163" s="73"/>
      <c r="J163" s="4"/>
      <c r="K163" s="4" t="s">
        <v>3599</v>
      </c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1864">
        <f t="shared" si="4"/>
        <v>0</v>
      </c>
      <c r="Y163" s="23">
        <f t="shared" si="5"/>
        <v>0</v>
      </c>
    </row>
    <row r="164" spans="1:25" ht="45" x14ac:dyDescent="0.25">
      <c r="A164" s="1"/>
      <c r="B164" s="1"/>
      <c r="C164" s="1"/>
      <c r="D164" s="1"/>
      <c r="E164" s="1"/>
      <c r="F164" s="1"/>
      <c r="G164" s="1489" t="s">
        <v>3366</v>
      </c>
      <c r="H164" s="4" t="s">
        <v>2386</v>
      </c>
      <c r="I164" s="73">
        <v>36000000</v>
      </c>
      <c r="J164" s="4" t="s">
        <v>1775</v>
      </c>
      <c r="K164" s="4" t="s">
        <v>3599</v>
      </c>
      <c r="L164" s="73"/>
      <c r="M164" s="73"/>
      <c r="N164" s="73"/>
      <c r="O164" s="73">
        <v>36000000</v>
      </c>
      <c r="P164" s="73"/>
      <c r="Q164" s="73"/>
      <c r="R164" s="73"/>
      <c r="S164" s="73"/>
      <c r="T164" s="73"/>
      <c r="U164" s="73"/>
      <c r="V164" s="73"/>
      <c r="W164" s="73"/>
      <c r="X164" s="1864">
        <f t="shared" si="4"/>
        <v>36000000</v>
      </c>
      <c r="Y164" s="23">
        <f t="shared" si="5"/>
        <v>0</v>
      </c>
    </row>
    <row r="165" spans="1:25" ht="60" x14ac:dyDescent="0.25">
      <c r="A165" s="865">
        <v>3</v>
      </c>
      <c r="B165" s="865">
        <v>2</v>
      </c>
      <c r="C165" s="1490" t="s">
        <v>3366</v>
      </c>
      <c r="D165" s="865"/>
      <c r="E165" s="865"/>
      <c r="F165" s="865"/>
      <c r="G165" s="865"/>
      <c r="H165" s="1061" t="s">
        <v>3395</v>
      </c>
      <c r="I165" s="1063">
        <v>46600000</v>
      </c>
      <c r="J165" s="1061" t="s">
        <v>1775</v>
      </c>
      <c r="K165" s="1061" t="s">
        <v>3599</v>
      </c>
      <c r="L165" s="1063"/>
      <c r="M165" s="1063"/>
      <c r="N165" s="1063"/>
      <c r="O165" s="1063"/>
      <c r="P165" s="1063"/>
      <c r="Q165" s="1063"/>
      <c r="R165" s="1063"/>
      <c r="S165" s="1063"/>
      <c r="T165" s="1063"/>
      <c r="U165" s="1063"/>
      <c r="V165" s="1063"/>
      <c r="W165" s="1063"/>
      <c r="X165" s="1866">
        <f t="shared" si="4"/>
        <v>0</v>
      </c>
      <c r="Y165" s="23">
        <f t="shared" si="5"/>
        <v>46600000</v>
      </c>
    </row>
    <row r="166" spans="1:25" ht="43.15" customHeight="1" x14ac:dyDescent="0.25">
      <c r="A166" s="1"/>
      <c r="B166" s="1"/>
      <c r="C166" s="1"/>
      <c r="D166" s="1">
        <v>5</v>
      </c>
      <c r="E166" s="1">
        <v>2</v>
      </c>
      <c r="F166" s="1"/>
      <c r="G166" s="1"/>
      <c r="H166" s="4" t="s">
        <v>277</v>
      </c>
      <c r="I166" s="73"/>
      <c r="J166" s="4"/>
      <c r="K166" s="4" t="s">
        <v>3599</v>
      </c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1864">
        <f t="shared" si="4"/>
        <v>0</v>
      </c>
      <c r="Y166" s="23">
        <f t="shared" si="5"/>
        <v>0</v>
      </c>
    </row>
    <row r="167" spans="1:25" x14ac:dyDescent="0.25">
      <c r="A167" s="1"/>
      <c r="B167" s="1"/>
      <c r="C167" s="1"/>
      <c r="D167" s="1"/>
      <c r="E167" s="1"/>
      <c r="F167" s="1">
        <v>1</v>
      </c>
      <c r="G167" s="1"/>
      <c r="H167" s="4" t="s">
        <v>84</v>
      </c>
      <c r="I167" s="73"/>
      <c r="J167" s="4"/>
      <c r="K167" s="4" t="s">
        <v>3599</v>
      </c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1864">
        <f t="shared" si="4"/>
        <v>0</v>
      </c>
      <c r="Y167" s="23">
        <f t="shared" si="5"/>
        <v>0</v>
      </c>
    </row>
    <row r="168" spans="1:25" ht="30" x14ac:dyDescent="0.25">
      <c r="A168" s="1"/>
      <c r="B168" s="1"/>
      <c r="C168" s="1"/>
      <c r="D168" s="1"/>
      <c r="E168" s="1"/>
      <c r="F168" s="1"/>
      <c r="G168" s="1489" t="s">
        <v>3366</v>
      </c>
      <c r="H168" s="4" t="s">
        <v>679</v>
      </c>
      <c r="I168" s="73">
        <v>420000</v>
      </c>
      <c r="J168" s="4" t="s">
        <v>1775</v>
      </c>
      <c r="K168" s="4" t="s">
        <v>3599</v>
      </c>
      <c r="L168" s="73"/>
      <c r="M168" s="73"/>
      <c r="N168" s="73"/>
      <c r="O168" s="73"/>
      <c r="P168" s="73"/>
      <c r="Q168" s="73">
        <v>420000</v>
      </c>
      <c r="R168" s="73"/>
      <c r="S168" s="73"/>
      <c r="T168" s="73"/>
      <c r="U168" s="73"/>
      <c r="V168" s="73"/>
      <c r="W168" s="73"/>
      <c r="X168" s="1864">
        <f t="shared" si="4"/>
        <v>420000</v>
      </c>
      <c r="Y168" s="23">
        <f t="shared" si="5"/>
        <v>0</v>
      </c>
    </row>
    <row r="169" spans="1:25" ht="30" x14ac:dyDescent="0.25">
      <c r="A169" s="1"/>
      <c r="B169" s="1"/>
      <c r="C169" s="1"/>
      <c r="D169" s="1"/>
      <c r="E169" s="1"/>
      <c r="F169" s="1"/>
      <c r="G169" s="1489" t="s">
        <v>3391</v>
      </c>
      <c r="H169" s="4" t="s">
        <v>307</v>
      </c>
      <c r="I169" s="73">
        <v>31000000</v>
      </c>
      <c r="J169" s="4" t="s">
        <v>1775</v>
      </c>
      <c r="K169" s="4" t="s">
        <v>3599</v>
      </c>
      <c r="L169" s="73"/>
      <c r="M169" s="73">
        <v>15500000</v>
      </c>
      <c r="N169" s="73"/>
      <c r="O169" s="73"/>
      <c r="P169" s="73"/>
      <c r="Q169" s="73">
        <v>15500000</v>
      </c>
      <c r="R169" s="73"/>
      <c r="S169" s="73"/>
      <c r="T169" s="73"/>
      <c r="U169" s="73"/>
      <c r="V169" s="73"/>
      <c r="W169" s="73"/>
      <c r="X169" s="1864">
        <f t="shared" si="4"/>
        <v>31000000</v>
      </c>
      <c r="Y169" s="23">
        <f t="shared" si="5"/>
        <v>0</v>
      </c>
    </row>
    <row r="170" spans="1:25" ht="30" x14ac:dyDescent="0.25">
      <c r="A170" s="1"/>
      <c r="B170" s="1"/>
      <c r="C170" s="1"/>
      <c r="D170" s="1"/>
      <c r="E170" s="1"/>
      <c r="F170" s="1"/>
      <c r="G170" s="1489" t="s">
        <v>3393</v>
      </c>
      <c r="H170" s="4" t="s">
        <v>1247</v>
      </c>
      <c r="I170" s="73">
        <v>180000</v>
      </c>
      <c r="J170" s="4" t="s">
        <v>1775</v>
      </c>
      <c r="K170" s="4" t="s">
        <v>3599</v>
      </c>
      <c r="L170" s="73"/>
      <c r="M170" s="73">
        <v>90000</v>
      </c>
      <c r="N170" s="73"/>
      <c r="O170" s="73"/>
      <c r="P170" s="73"/>
      <c r="Q170" s="73">
        <v>90000</v>
      </c>
      <c r="R170" s="73"/>
      <c r="S170" s="73"/>
      <c r="T170" s="73"/>
      <c r="U170" s="73"/>
      <c r="V170" s="73"/>
      <c r="W170" s="73"/>
      <c r="X170" s="1864">
        <f t="shared" si="4"/>
        <v>180000</v>
      </c>
      <c r="Y170" s="23">
        <f t="shared" si="5"/>
        <v>0</v>
      </c>
    </row>
    <row r="171" spans="1:25" x14ac:dyDescent="0.25">
      <c r="A171" s="1"/>
      <c r="B171" s="1"/>
      <c r="C171" s="1"/>
      <c r="D171" s="1">
        <v>5</v>
      </c>
      <c r="E171" s="1">
        <v>2</v>
      </c>
      <c r="F171" s="1">
        <v>2</v>
      </c>
      <c r="G171" s="1"/>
      <c r="H171" s="4" t="s">
        <v>294</v>
      </c>
      <c r="I171" s="73"/>
      <c r="J171" s="4"/>
      <c r="K171" s="4" t="s">
        <v>3599</v>
      </c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1864">
        <f t="shared" si="4"/>
        <v>0</v>
      </c>
      <c r="Y171" s="23">
        <f t="shared" si="5"/>
        <v>0</v>
      </c>
    </row>
    <row r="172" spans="1:25" ht="45" x14ac:dyDescent="0.25">
      <c r="A172" s="1"/>
      <c r="B172" s="1"/>
      <c r="C172" s="1"/>
      <c r="D172" s="1"/>
      <c r="E172" s="1"/>
      <c r="F172" s="1"/>
      <c r="G172" s="1489" t="s">
        <v>3389</v>
      </c>
      <c r="H172" s="4" t="s">
        <v>948</v>
      </c>
      <c r="I172" s="73">
        <v>15000000</v>
      </c>
      <c r="J172" s="4" t="s">
        <v>1775</v>
      </c>
      <c r="K172" s="4" t="s">
        <v>3599</v>
      </c>
      <c r="L172" s="73"/>
      <c r="M172" s="73">
        <v>7500000</v>
      </c>
      <c r="N172" s="73"/>
      <c r="O172" s="73"/>
      <c r="P172" s="73"/>
      <c r="Q172" s="73">
        <v>7500000</v>
      </c>
      <c r="R172" s="73"/>
      <c r="S172" s="73"/>
      <c r="T172" s="73"/>
      <c r="U172" s="73"/>
      <c r="V172" s="73"/>
      <c r="W172" s="73"/>
      <c r="X172" s="1864">
        <f t="shared" si="4"/>
        <v>15000000</v>
      </c>
      <c r="Y172" s="23">
        <f t="shared" si="5"/>
        <v>0</v>
      </c>
    </row>
    <row r="173" spans="1:25" ht="60" x14ac:dyDescent="0.25">
      <c r="A173" s="865">
        <v>3</v>
      </c>
      <c r="B173" s="865">
        <v>2</v>
      </c>
      <c r="C173" s="1490" t="s">
        <v>3386</v>
      </c>
      <c r="D173" s="865"/>
      <c r="E173" s="865"/>
      <c r="F173" s="865"/>
      <c r="G173" s="865"/>
      <c r="H173" s="1061" t="s">
        <v>3107</v>
      </c>
      <c r="I173" s="1063">
        <v>114950000</v>
      </c>
      <c r="J173" s="865" t="s">
        <v>1506</v>
      </c>
      <c r="K173" s="1061" t="s">
        <v>3599</v>
      </c>
      <c r="L173" s="1063"/>
      <c r="M173" s="1063"/>
      <c r="N173" s="1063"/>
      <c r="O173" s="1063"/>
      <c r="P173" s="1063"/>
      <c r="Q173" s="1063"/>
      <c r="R173" s="1063"/>
      <c r="S173" s="1063"/>
      <c r="T173" s="1063"/>
      <c r="U173" s="1063"/>
      <c r="V173" s="1063"/>
      <c r="W173" s="1063"/>
      <c r="X173" s="1866">
        <f t="shared" si="4"/>
        <v>0</v>
      </c>
      <c r="Y173" s="23">
        <f t="shared" si="5"/>
        <v>114950000</v>
      </c>
    </row>
    <row r="174" spans="1:25" x14ac:dyDescent="0.25">
      <c r="A174" s="1"/>
      <c r="B174" s="1"/>
      <c r="C174" s="1"/>
      <c r="D174" s="1">
        <v>5</v>
      </c>
      <c r="E174" s="1">
        <v>2</v>
      </c>
      <c r="F174" s="1"/>
      <c r="G174" s="1"/>
      <c r="H174" s="4" t="s">
        <v>277</v>
      </c>
      <c r="I174" s="73"/>
      <c r="J174" s="1"/>
      <c r="K174" s="4" t="s">
        <v>3599</v>
      </c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1864">
        <f t="shared" si="4"/>
        <v>0</v>
      </c>
      <c r="Y174" s="23">
        <f t="shared" si="5"/>
        <v>0</v>
      </c>
    </row>
    <row r="175" spans="1:25" x14ac:dyDescent="0.25">
      <c r="A175" s="1"/>
      <c r="B175" s="1"/>
      <c r="C175" s="1"/>
      <c r="D175" s="1"/>
      <c r="E175" s="1"/>
      <c r="F175" s="1">
        <v>1</v>
      </c>
      <c r="G175" s="1"/>
      <c r="H175" s="4" t="s">
        <v>84</v>
      </c>
      <c r="I175" s="73"/>
      <c r="J175" s="1"/>
      <c r="K175" s="4" t="s">
        <v>3599</v>
      </c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1864">
        <f t="shared" si="4"/>
        <v>0</v>
      </c>
      <c r="Y175" s="23">
        <f t="shared" si="5"/>
        <v>0</v>
      </c>
    </row>
    <row r="176" spans="1:25" ht="30" x14ac:dyDescent="0.25">
      <c r="A176" s="1"/>
      <c r="B176" s="1"/>
      <c r="C176" s="1"/>
      <c r="D176" s="1"/>
      <c r="E176" s="1"/>
      <c r="F176" s="1"/>
      <c r="G176" s="1489" t="s">
        <v>3391</v>
      </c>
      <c r="H176" s="4" t="s">
        <v>307</v>
      </c>
      <c r="I176" s="73">
        <v>21400000</v>
      </c>
      <c r="J176" s="1" t="s">
        <v>1506</v>
      </c>
      <c r="K176" s="4" t="s">
        <v>3599</v>
      </c>
      <c r="L176" s="73"/>
      <c r="M176" s="73"/>
      <c r="N176" s="73"/>
      <c r="O176" s="73"/>
      <c r="P176" s="73"/>
      <c r="Q176" s="73"/>
      <c r="R176" s="73"/>
      <c r="S176" s="73">
        <v>10700000</v>
      </c>
      <c r="T176" s="73">
        <v>10700000</v>
      </c>
      <c r="U176" s="73"/>
      <c r="V176" s="73"/>
      <c r="W176" s="73"/>
      <c r="X176" s="1864">
        <f t="shared" si="4"/>
        <v>21400000</v>
      </c>
      <c r="Y176" s="23">
        <f t="shared" si="5"/>
        <v>0</v>
      </c>
    </row>
    <row r="177" spans="1:25" ht="30" x14ac:dyDescent="0.25">
      <c r="A177" s="1"/>
      <c r="B177" s="1"/>
      <c r="C177" s="1"/>
      <c r="D177" s="1"/>
      <c r="E177" s="1"/>
      <c r="F177" s="1"/>
      <c r="G177" s="1489" t="s">
        <v>3394</v>
      </c>
      <c r="H177" s="4" t="s">
        <v>3108</v>
      </c>
      <c r="I177" s="73">
        <v>20057000</v>
      </c>
      <c r="J177" s="1" t="s">
        <v>1506</v>
      </c>
      <c r="K177" s="4" t="s">
        <v>3599</v>
      </c>
      <c r="L177" s="73"/>
      <c r="M177" s="73"/>
      <c r="N177" s="73"/>
      <c r="O177" s="73"/>
      <c r="P177" s="73"/>
      <c r="Q177" s="73"/>
      <c r="R177" s="73"/>
      <c r="S177" s="73">
        <v>10028500</v>
      </c>
      <c r="T177" s="73">
        <v>10028500</v>
      </c>
      <c r="U177" s="73"/>
      <c r="V177" s="73"/>
      <c r="W177" s="73"/>
      <c r="X177" s="1864">
        <f t="shared" si="4"/>
        <v>20057000</v>
      </c>
      <c r="Y177" s="23">
        <f t="shared" si="5"/>
        <v>0</v>
      </c>
    </row>
    <row r="178" spans="1:25" x14ac:dyDescent="0.25">
      <c r="A178" s="1"/>
      <c r="B178" s="1"/>
      <c r="C178" s="1"/>
      <c r="D178" s="1">
        <v>5</v>
      </c>
      <c r="E178" s="1">
        <v>2</v>
      </c>
      <c r="F178" s="1">
        <v>2</v>
      </c>
      <c r="G178" s="1"/>
      <c r="H178" s="4" t="s">
        <v>294</v>
      </c>
      <c r="I178" s="73"/>
      <c r="J178" s="1"/>
      <c r="K178" s="4" t="s">
        <v>3599</v>
      </c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1864">
        <f t="shared" si="4"/>
        <v>0</v>
      </c>
      <c r="Y178" s="23">
        <f t="shared" si="5"/>
        <v>0</v>
      </c>
    </row>
    <row r="179" spans="1:25" ht="28.9" customHeight="1" x14ac:dyDescent="0.25">
      <c r="A179" s="1"/>
      <c r="B179" s="1"/>
      <c r="C179" s="1"/>
      <c r="D179" s="1"/>
      <c r="E179" s="1"/>
      <c r="F179" s="1"/>
      <c r="G179" s="1489" t="s">
        <v>3366</v>
      </c>
      <c r="H179" s="4" t="s">
        <v>484</v>
      </c>
      <c r="I179" s="73">
        <v>750000</v>
      </c>
      <c r="J179" s="1" t="s">
        <v>1506</v>
      </c>
      <c r="K179" s="4" t="s">
        <v>3599</v>
      </c>
      <c r="L179" s="73"/>
      <c r="M179" s="73"/>
      <c r="N179" s="73"/>
      <c r="O179" s="73"/>
      <c r="P179" s="73"/>
      <c r="Q179" s="73"/>
      <c r="R179" s="73"/>
      <c r="S179" s="73"/>
      <c r="T179" s="73">
        <v>750000</v>
      </c>
      <c r="U179" s="73"/>
      <c r="V179" s="73"/>
      <c r="W179" s="73"/>
      <c r="X179" s="1864">
        <f t="shared" si="4"/>
        <v>750000</v>
      </c>
      <c r="Y179" s="23">
        <f t="shared" si="5"/>
        <v>0</v>
      </c>
    </row>
    <row r="180" spans="1:25" ht="45" x14ac:dyDescent="0.25">
      <c r="A180" s="1"/>
      <c r="B180" s="1"/>
      <c r="C180" s="1"/>
      <c r="D180" s="1"/>
      <c r="E180" s="1"/>
      <c r="F180" s="1"/>
      <c r="G180" s="1489" t="s">
        <v>3389</v>
      </c>
      <c r="H180" s="4" t="s">
        <v>948</v>
      </c>
      <c r="I180" s="73">
        <v>24743000</v>
      </c>
      <c r="J180" s="1" t="s">
        <v>1506</v>
      </c>
      <c r="K180" s="4" t="s">
        <v>3599</v>
      </c>
      <c r="L180" s="73"/>
      <c r="M180" s="73"/>
      <c r="N180" s="73"/>
      <c r="O180" s="73"/>
      <c r="P180" s="73"/>
      <c r="Q180" s="73"/>
      <c r="R180" s="73"/>
      <c r="S180" s="73">
        <v>12371500</v>
      </c>
      <c r="T180" s="73">
        <v>12371500</v>
      </c>
      <c r="U180" s="73"/>
      <c r="V180" s="73"/>
      <c r="W180" s="73"/>
      <c r="X180" s="1864">
        <f t="shared" si="4"/>
        <v>24743000</v>
      </c>
      <c r="Y180" s="23">
        <f t="shared" si="5"/>
        <v>0</v>
      </c>
    </row>
    <row r="181" spans="1:25" ht="28.9" customHeight="1" x14ac:dyDescent="0.25">
      <c r="A181" s="1"/>
      <c r="B181" s="1"/>
      <c r="C181" s="1"/>
      <c r="D181" s="1">
        <v>5</v>
      </c>
      <c r="E181" s="1">
        <v>2</v>
      </c>
      <c r="F181" s="1">
        <v>7</v>
      </c>
      <c r="G181" s="1"/>
      <c r="H181" s="4" t="s">
        <v>3332</v>
      </c>
      <c r="I181" s="73"/>
      <c r="J181" s="1"/>
      <c r="K181" s="4" t="s">
        <v>3599</v>
      </c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1864">
        <f t="shared" si="4"/>
        <v>0</v>
      </c>
      <c r="Y181" s="23">
        <f t="shared" si="5"/>
        <v>0</v>
      </c>
    </row>
    <row r="182" spans="1:25" x14ac:dyDescent="0.25">
      <c r="A182" s="1"/>
      <c r="B182" s="1"/>
      <c r="C182" s="1"/>
      <c r="D182" s="1"/>
      <c r="E182" s="1"/>
      <c r="F182" s="1"/>
      <c r="G182" s="1">
        <v>91</v>
      </c>
      <c r="H182" s="4" t="s">
        <v>3333</v>
      </c>
      <c r="I182" s="73">
        <v>48000000</v>
      </c>
      <c r="J182" s="1" t="s">
        <v>1506</v>
      </c>
      <c r="K182" s="4" t="s">
        <v>3599</v>
      </c>
      <c r="L182" s="73"/>
      <c r="M182" s="73"/>
      <c r="N182" s="73"/>
      <c r="O182" s="73"/>
      <c r="P182" s="73"/>
      <c r="Q182" s="73"/>
      <c r="R182" s="73"/>
      <c r="S182" s="73">
        <v>24000000</v>
      </c>
      <c r="T182" s="73">
        <v>24000000</v>
      </c>
      <c r="U182" s="73"/>
      <c r="V182" s="73"/>
      <c r="W182" s="73"/>
      <c r="X182" s="1864">
        <f t="shared" si="4"/>
        <v>48000000</v>
      </c>
      <c r="Y182" s="23">
        <f t="shared" si="5"/>
        <v>0</v>
      </c>
    </row>
    <row r="183" spans="1:25" ht="28.9" customHeight="1" x14ac:dyDescent="0.25">
      <c r="A183" s="865">
        <v>3</v>
      </c>
      <c r="B183" s="865">
        <v>2</v>
      </c>
      <c r="C183" s="865">
        <v>90</v>
      </c>
      <c r="D183" s="865"/>
      <c r="E183" s="865"/>
      <c r="F183" s="865"/>
      <c r="G183" s="865"/>
      <c r="H183" s="1061" t="s">
        <v>871</v>
      </c>
      <c r="I183" s="1063">
        <v>8560000</v>
      </c>
      <c r="J183" s="865"/>
      <c r="K183" s="1061" t="s">
        <v>3599</v>
      </c>
      <c r="L183" s="1063"/>
      <c r="M183" s="1063"/>
      <c r="N183" s="1063"/>
      <c r="O183" s="1063"/>
      <c r="P183" s="1063"/>
      <c r="Q183" s="1063"/>
      <c r="R183" s="1063"/>
      <c r="S183" s="1063"/>
      <c r="T183" s="1063"/>
      <c r="U183" s="1063"/>
      <c r="V183" s="1063"/>
      <c r="W183" s="1063"/>
      <c r="X183" s="1866">
        <f t="shared" si="4"/>
        <v>0</v>
      </c>
      <c r="Y183" s="23">
        <f t="shared" si="5"/>
        <v>8560000</v>
      </c>
    </row>
    <row r="184" spans="1:25" ht="28.9" customHeight="1" x14ac:dyDescent="0.25">
      <c r="A184" s="1"/>
      <c r="B184" s="1"/>
      <c r="C184" s="1"/>
      <c r="D184" s="1">
        <v>5</v>
      </c>
      <c r="E184" s="1">
        <v>2</v>
      </c>
      <c r="F184" s="1"/>
      <c r="G184" s="1"/>
      <c r="H184" s="4" t="s">
        <v>683</v>
      </c>
      <c r="I184" s="73"/>
      <c r="J184" s="1"/>
      <c r="K184" s="4" t="s">
        <v>3599</v>
      </c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1864">
        <f t="shared" si="4"/>
        <v>0</v>
      </c>
      <c r="Y184" s="23">
        <f t="shared" si="5"/>
        <v>0</v>
      </c>
    </row>
    <row r="185" spans="1:25" x14ac:dyDescent="0.25">
      <c r="A185" s="1"/>
      <c r="B185" s="1"/>
      <c r="C185" s="1"/>
      <c r="D185" s="1"/>
      <c r="E185" s="1"/>
      <c r="F185" s="1">
        <v>1</v>
      </c>
      <c r="G185" s="1"/>
      <c r="H185" s="4" t="s">
        <v>84</v>
      </c>
      <c r="I185" s="73"/>
      <c r="J185" s="1"/>
      <c r="K185" s="4" t="s">
        <v>3599</v>
      </c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1864">
        <f t="shared" si="4"/>
        <v>0</v>
      </c>
      <c r="Y185" s="23">
        <f t="shared" si="5"/>
        <v>0</v>
      </c>
    </row>
    <row r="186" spans="1:25" ht="30" x14ac:dyDescent="0.25">
      <c r="A186" s="1"/>
      <c r="B186" s="1"/>
      <c r="C186" s="1"/>
      <c r="D186" s="1"/>
      <c r="E186" s="1"/>
      <c r="F186" s="1"/>
      <c r="G186" s="1489" t="s">
        <v>3391</v>
      </c>
      <c r="H186" s="4" t="s">
        <v>307</v>
      </c>
      <c r="I186" s="73">
        <v>2000000</v>
      </c>
      <c r="J186" s="4" t="s">
        <v>2177</v>
      </c>
      <c r="K186" s="4" t="s">
        <v>3599</v>
      </c>
      <c r="L186" s="73">
        <v>2000000</v>
      </c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1864">
        <f t="shared" si="4"/>
        <v>2000000</v>
      </c>
      <c r="Y186" s="23">
        <f t="shared" si="5"/>
        <v>0</v>
      </c>
    </row>
    <row r="187" spans="1:25" x14ac:dyDescent="0.25">
      <c r="A187" s="1"/>
      <c r="B187" s="1"/>
      <c r="C187" s="1"/>
      <c r="D187" s="1"/>
      <c r="E187" s="1"/>
      <c r="F187" s="1"/>
      <c r="G187" s="1">
        <v>90</v>
      </c>
      <c r="H187" s="4" t="s">
        <v>866</v>
      </c>
      <c r="I187" s="73">
        <v>6440000</v>
      </c>
      <c r="J187" s="4" t="s">
        <v>2177</v>
      </c>
      <c r="K187" s="4" t="s">
        <v>3599</v>
      </c>
      <c r="L187" s="73">
        <v>788687</v>
      </c>
      <c r="M187" s="73">
        <v>2788687</v>
      </c>
      <c r="N187" s="73">
        <v>173939</v>
      </c>
      <c r="O187" s="68">
        <v>2688687</v>
      </c>
      <c r="P187" s="73"/>
      <c r="Q187" s="73"/>
      <c r="R187" s="73"/>
      <c r="S187" s="73"/>
      <c r="T187" s="73"/>
      <c r="U187" s="73"/>
      <c r="V187" s="73"/>
      <c r="W187" s="73"/>
      <c r="X187" s="1864">
        <f t="shared" si="4"/>
        <v>6440000</v>
      </c>
      <c r="Y187" s="23">
        <f t="shared" si="5"/>
        <v>0</v>
      </c>
    </row>
    <row r="188" spans="1:25" ht="60" x14ac:dyDescent="0.25">
      <c r="A188" s="1"/>
      <c r="B188" s="1"/>
      <c r="C188" s="1"/>
      <c r="D188" s="1"/>
      <c r="E188" s="1"/>
      <c r="F188" s="1"/>
      <c r="G188" s="1">
        <v>90</v>
      </c>
      <c r="H188" s="4" t="s">
        <v>866</v>
      </c>
      <c r="I188" s="98">
        <v>120000</v>
      </c>
      <c r="J188" s="4" t="s">
        <v>3344</v>
      </c>
      <c r="K188" s="4" t="s">
        <v>3599</v>
      </c>
      <c r="L188" s="73">
        <v>120000</v>
      </c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1864">
        <f t="shared" si="4"/>
        <v>120000</v>
      </c>
      <c r="Y188" s="23">
        <f t="shared" si="5"/>
        <v>0</v>
      </c>
    </row>
    <row r="189" spans="1:25" ht="45" x14ac:dyDescent="0.25">
      <c r="A189" s="865">
        <v>3</v>
      </c>
      <c r="B189" s="865">
        <v>2</v>
      </c>
      <c r="C189" s="865">
        <v>90</v>
      </c>
      <c r="D189" s="865"/>
      <c r="E189" s="865"/>
      <c r="F189" s="865"/>
      <c r="G189" s="865"/>
      <c r="H189" s="1061" t="s">
        <v>881</v>
      </c>
      <c r="I189" s="1063">
        <v>5700000</v>
      </c>
      <c r="J189" s="865" t="s">
        <v>2177</v>
      </c>
      <c r="K189" s="1061" t="s">
        <v>3599</v>
      </c>
      <c r="L189" s="1063"/>
      <c r="M189" s="1063"/>
      <c r="N189" s="1063"/>
      <c r="O189" s="1063"/>
      <c r="P189" s="1063"/>
      <c r="Q189" s="1063"/>
      <c r="R189" s="1063"/>
      <c r="S189" s="1063"/>
      <c r="T189" s="1063"/>
      <c r="U189" s="1063"/>
      <c r="V189" s="1063"/>
      <c r="W189" s="1063"/>
      <c r="X189" s="1866">
        <f t="shared" si="4"/>
        <v>0</v>
      </c>
      <c r="Y189" s="23">
        <f t="shared" si="5"/>
        <v>5700000</v>
      </c>
    </row>
    <row r="190" spans="1:25" x14ac:dyDescent="0.25">
      <c r="A190" s="1"/>
      <c r="B190" s="1"/>
      <c r="C190" s="1"/>
      <c r="D190" s="1">
        <v>5</v>
      </c>
      <c r="E190" s="1">
        <v>2</v>
      </c>
      <c r="F190" s="1"/>
      <c r="G190" s="1"/>
      <c r="H190" s="4" t="s">
        <v>683</v>
      </c>
      <c r="I190" s="73"/>
      <c r="J190" s="1"/>
      <c r="K190" s="4" t="s">
        <v>3599</v>
      </c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1864">
        <f t="shared" si="4"/>
        <v>0</v>
      </c>
      <c r="Y190" s="23">
        <f t="shared" si="5"/>
        <v>0</v>
      </c>
    </row>
    <row r="191" spans="1:25" ht="14.45" customHeight="1" x14ac:dyDescent="0.25">
      <c r="A191" s="1"/>
      <c r="B191" s="1"/>
      <c r="C191" s="1"/>
      <c r="D191" s="1"/>
      <c r="E191" s="1"/>
      <c r="F191" s="1">
        <v>1</v>
      </c>
      <c r="G191" s="1"/>
      <c r="H191" s="4" t="s">
        <v>84</v>
      </c>
      <c r="I191" s="73"/>
      <c r="J191" s="1"/>
      <c r="K191" s="4" t="s">
        <v>3599</v>
      </c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1864">
        <f t="shared" si="4"/>
        <v>0</v>
      </c>
      <c r="Y191" s="23">
        <f t="shared" si="5"/>
        <v>0</v>
      </c>
    </row>
    <row r="192" spans="1:25" x14ac:dyDescent="0.25">
      <c r="A192" s="1"/>
      <c r="B192" s="1"/>
      <c r="C192" s="1"/>
      <c r="D192" s="1"/>
      <c r="E192" s="1"/>
      <c r="F192" s="1"/>
      <c r="G192" s="1">
        <v>90</v>
      </c>
      <c r="H192" s="4" t="s">
        <v>866</v>
      </c>
      <c r="I192" s="73">
        <v>5700000</v>
      </c>
      <c r="J192" s="1" t="s">
        <v>2177</v>
      </c>
      <c r="K192" s="4" t="s">
        <v>3599</v>
      </c>
      <c r="L192" s="73">
        <v>200000</v>
      </c>
      <c r="M192" s="73">
        <v>200000</v>
      </c>
      <c r="N192" s="73">
        <v>1000000</v>
      </c>
      <c r="O192" s="73">
        <v>300000</v>
      </c>
      <c r="P192" s="73">
        <v>700000</v>
      </c>
      <c r="Q192" s="73">
        <v>817437</v>
      </c>
      <c r="R192" s="73">
        <v>200000</v>
      </c>
      <c r="S192" s="73">
        <v>200000</v>
      </c>
      <c r="T192" s="73">
        <v>200000</v>
      </c>
      <c r="U192" s="73">
        <v>300000</v>
      </c>
      <c r="V192" s="73">
        <v>1000000</v>
      </c>
      <c r="W192" s="73">
        <v>582563</v>
      </c>
      <c r="X192" s="1864">
        <f t="shared" si="4"/>
        <v>5700000</v>
      </c>
      <c r="Y192" s="23">
        <f t="shared" si="5"/>
        <v>0</v>
      </c>
    </row>
    <row r="193" spans="1:25" ht="28.9" customHeight="1" x14ac:dyDescent="0.25">
      <c r="A193" s="865">
        <v>3</v>
      </c>
      <c r="B193" s="865">
        <v>2</v>
      </c>
      <c r="C193" s="865">
        <v>90</v>
      </c>
      <c r="D193" s="865"/>
      <c r="E193" s="865"/>
      <c r="F193" s="865"/>
      <c r="G193" s="865"/>
      <c r="H193" s="1061" t="s">
        <v>1555</v>
      </c>
      <c r="I193" s="1063">
        <v>27700000</v>
      </c>
      <c r="J193" s="1061" t="s">
        <v>1775</v>
      </c>
      <c r="K193" s="1061" t="s">
        <v>3599</v>
      </c>
      <c r="L193" s="1063"/>
      <c r="M193" s="1063"/>
      <c r="N193" s="1063"/>
      <c r="O193" s="1063"/>
      <c r="P193" s="1063"/>
      <c r="Q193" s="1063"/>
      <c r="R193" s="1063"/>
      <c r="S193" s="1063"/>
      <c r="T193" s="1063"/>
      <c r="U193" s="1063"/>
      <c r="V193" s="1063"/>
      <c r="W193" s="1063"/>
      <c r="X193" s="1866">
        <f t="shared" si="4"/>
        <v>0</v>
      </c>
      <c r="Y193" s="23">
        <f t="shared" si="5"/>
        <v>27700000</v>
      </c>
    </row>
    <row r="194" spans="1:25" ht="14.45" customHeight="1" x14ac:dyDescent="0.25">
      <c r="A194" s="1"/>
      <c r="B194" s="1"/>
      <c r="C194" s="1"/>
      <c r="D194" s="1">
        <v>5</v>
      </c>
      <c r="E194" s="1">
        <v>2</v>
      </c>
      <c r="F194" s="1"/>
      <c r="G194" s="1"/>
      <c r="H194" s="4" t="s">
        <v>683</v>
      </c>
      <c r="I194" s="73"/>
      <c r="J194" s="4"/>
      <c r="K194" s="4" t="s">
        <v>3599</v>
      </c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1864">
        <f t="shared" si="4"/>
        <v>0</v>
      </c>
      <c r="Y194" s="23">
        <f t="shared" si="5"/>
        <v>0</v>
      </c>
    </row>
    <row r="195" spans="1:25" x14ac:dyDescent="0.25">
      <c r="A195" s="1"/>
      <c r="B195" s="1"/>
      <c r="C195" s="1"/>
      <c r="D195" s="1"/>
      <c r="E195" s="1"/>
      <c r="F195" s="1">
        <v>1</v>
      </c>
      <c r="G195" s="1"/>
      <c r="H195" s="4" t="s">
        <v>84</v>
      </c>
      <c r="I195" s="73"/>
      <c r="J195" s="4"/>
      <c r="K195" s="4" t="s">
        <v>3599</v>
      </c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1864">
        <f t="shared" si="4"/>
        <v>0</v>
      </c>
      <c r="Y195" s="23">
        <f t="shared" si="5"/>
        <v>0</v>
      </c>
    </row>
    <row r="196" spans="1:25" ht="30" x14ac:dyDescent="0.25">
      <c r="A196" s="1"/>
      <c r="B196" s="1"/>
      <c r="C196" s="1"/>
      <c r="D196" s="1"/>
      <c r="E196" s="1"/>
      <c r="F196" s="1"/>
      <c r="G196" s="1489" t="s">
        <v>3391</v>
      </c>
      <c r="H196" s="4" t="s">
        <v>689</v>
      </c>
      <c r="I196" s="73">
        <v>7500000</v>
      </c>
      <c r="J196" s="4" t="s">
        <v>1775</v>
      </c>
      <c r="K196" s="4" t="s">
        <v>3599</v>
      </c>
      <c r="L196" s="73"/>
      <c r="M196" s="73"/>
      <c r="N196" s="73"/>
      <c r="O196" s="73">
        <v>3750000</v>
      </c>
      <c r="P196" s="73"/>
      <c r="Q196" s="73"/>
      <c r="R196" s="73"/>
      <c r="S196" s="73"/>
      <c r="T196" s="73"/>
      <c r="U196" s="73"/>
      <c r="V196" s="73">
        <v>3750000</v>
      </c>
      <c r="W196" s="73"/>
      <c r="X196" s="1864">
        <f t="shared" si="4"/>
        <v>7500000</v>
      </c>
      <c r="Y196" s="23">
        <f t="shared" si="5"/>
        <v>0</v>
      </c>
    </row>
    <row r="197" spans="1:25" ht="28.9" customHeight="1" x14ac:dyDescent="0.25">
      <c r="A197" s="1"/>
      <c r="B197" s="1"/>
      <c r="C197" s="1"/>
      <c r="D197" s="1"/>
      <c r="E197" s="1"/>
      <c r="F197" s="1"/>
      <c r="G197" s="1">
        <v>90</v>
      </c>
      <c r="H197" s="4" t="s">
        <v>866</v>
      </c>
      <c r="I197" s="73">
        <v>18000000</v>
      </c>
      <c r="J197" s="4" t="s">
        <v>1775</v>
      </c>
      <c r="K197" s="4" t="s">
        <v>3599</v>
      </c>
      <c r="L197" s="73"/>
      <c r="M197" s="73"/>
      <c r="N197" s="73"/>
      <c r="O197" s="73">
        <v>9000000</v>
      </c>
      <c r="P197" s="73"/>
      <c r="Q197" s="73"/>
      <c r="R197" s="73"/>
      <c r="S197" s="73"/>
      <c r="T197" s="73"/>
      <c r="U197" s="73"/>
      <c r="V197" s="73">
        <v>9000000</v>
      </c>
      <c r="W197" s="73"/>
      <c r="X197" s="1864">
        <f t="shared" si="4"/>
        <v>18000000</v>
      </c>
      <c r="Y197" s="23">
        <f t="shared" si="5"/>
        <v>0</v>
      </c>
    </row>
    <row r="198" spans="1:25" ht="14.45" customHeight="1" x14ac:dyDescent="0.25">
      <c r="A198" s="1"/>
      <c r="B198" s="1"/>
      <c r="C198" s="1"/>
      <c r="D198" s="1">
        <v>5</v>
      </c>
      <c r="E198" s="1">
        <v>2</v>
      </c>
      <c r="F198" s="1">
        <v>4</v>
      </c>
      <c r="G198" s="1"/>
      <c r="H198" s="4" t="s">
        <v>442</v>
      </c>
      <c r="I198" s="73"/>
      <c r="J198" s="4"/>
      <c r="K198" s="4" t="s">
        <v>3599</v>
      </c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1864">
        <f t="shared" si="4"/>
        <v>0</v>
      </c>
      <c r="Y198" s="23">
        <f t="shared" si="5"/>
        <v>0</v>
      </c>
    </row>
    <row r="199" spans="1:25" ht="30" x14ac:dyDescent="0.25">
      <c r="A199" s="1"/>
      <c r="B199" s="1"/>
      <c r="C199" s="1"/>
      <c r="D199" s="1"/>
      <c r="E199" s="1"/>
      <c r="F199" s="1"/>
      <c r="G199" s="1489" t="s">
        <v>3386</v>
      </c>
      <c r="H199" s="4" t="s">
        <v>1308</v>
      </c>
      <c r="I199" s="73">
        <v>2200000</v>
      </c>
      <c r="J199" s="4" t="s">
        <v>1775</v>
      </c>
      <c r="K199" s="4" t="s">
        <v>3599</v>
      </c>
      <c r="L199" s="73"/>
      <c r="M199" s="73"/>
      <c r="N199" s="73"/>
      <c r="O199" s="73">
        <v>1100000</v>
      </c>
      <c r="P199" s="73"/>
      <c r="Q199" s="73"/>
      <c r="R199" s="73"/>
      <c r="S199" s="73"/>
      <c r="T199" s="73"/>
      <c r="U199" s="73"/>
      <c r="V199" s="73">
        <v>1100000</v>
      </c>
      <c r="W199" s="73"/>
      <c r="X199" s="1864">
        <f t="shared" si="4"/>
        <v>2200000</v>
      </c>
      <c r="Y199" s="23">
        <f t="shared" si="5"/>
        <v>0</v>
      </c>
    </row>
    <row r="200" spans="1:25" ht="45" x14ac:dyDescent="0.25">
      <c r="A200" s="865">
        <v>3</v>
      </c>
      <c r="B200" s="865">
        <v>2</v>
      </c>
      <c r="C200" s="865">
        <v>91</v>
      </c>
      <c r="D200" s="865"/>
      <c r="E200" s="865"/>
      <c r="F200" s="865"/>
      <c r="G200" s="865"/>
      <c r="H200" s="1061" t="s">
        <v>885</v>
      </c>
      <c r="I200" s="1063">
        <v>45000000</v>
      </c>
      <c r="J200" s="1061" t="s">
        <v>3300</v>
      </c>
      <c r="K200" s="1061" t="s">
        <v>3599</v>
      </c>
      <c r="L200" s="1063"/>
      <c r="M200" s="1063"/>
      <c r="N200" s="1063"/>
      <c r="O200" s="1063"/>
      <c r="P200" s="1063"/>
      <c r="Q200" s="1063"/>
      <c r="R200" s="1063"/>
      <c r="S200" s="1063"/>
      <c r="T200" s="1063"/>
      <c r="U200" s="1063"/>
      <c r="V200" s="1063"/>
      <c r="W200" s="1063"/>
      <c r="X200" s="1866">
        <f t="shared" si="4"/>
        <v>0</v>
      </c>
      <c r="Y200" s="23">
        <f t="shared" si="5"/>
        <v>45000000</v>
      </c>
    </row>
    <row r="201" spans="1:25" x14ac:dyDescent="0.25">
      <c r="A201" s="1"/>
      <c r="B201" s="1"/>
      <c r="C201" s="1"/>
      <c r="D201" s="1">
        <v>5</v>
      </c>
      <c r="E201" s="1">
        <v>2</v>
      </c>
      <c r="F201" s="1"/>
      <c r="G201" s="1"/>
      <c r="H201" s="4" t="s">
        <v>277</v>
      </c>
      <c r="I201" s="73"/>
      <c r="J201" s="4"/>
      <c r="K201" s="4" t="s">
        <v>3599</v>
      </c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1864">
        <f t="shared" si="4"/>
        <v>0</v>
      </c>
      <c r="Y201" s="23">
        <f t="shared" si="5"/>
        <v>0</v>
      </c>
    </row>
    <row r="202" spans="1:25" ht="115.15" customHeight="1" x14ac:dyDescent="0.25">
      <c r="A202" s="1"/>
      <c r="B202" s="1"/>
      <c r="C202" s="1"/>
      <c r="D202" s="1"/>
      <c r="E202" s="1"/>
      <c r="F202" s="1">
        <v>7</v>
      </c>
      <c r="G202" s="1"/>
      <c r="H202" s="4" t="s">
        <v>453</v>
      </c>
      <c r="I202" s="73"/>
      <c r="J202" s="4"/>
      <c r="K202" s="4" t="s">
        <v>3599</v>
      </c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1864">
        <f t="shared" si="4"/>
        <v>0</v>
      </c>
      <c r="Y202" s="23">
        <f t="shared" si="5"/>
        <v>0</v>
      </c>
    </row>
    <row r="203" spans="1:25" ht="30" x14ac:dyDescent="0.25">
      <c r="A203" s="1"/>
      <c r="B203" s="1"/>
      <c r="C203" s="1"/>
      <c r="D203" s="1"/>
      <c r="E203" s="1"/>
      <c r="F203" s="1"/>
      <c r="G203" s="1489" t="s">
        <v>3366</v>
      </c>
      <c r="H203" s="4" t="s">
        <v>890</v>
      </c>
      <c r="I203" s="73">
        <v>45000000</v>
      </c>
      <c r="J203" s="4" t="s">
        <v>3300</v>
      </c>
      <c r="K203" s="4" t="s">
        <v>3599</v>
      </c>
      <c r="L203" s="73"/>
      <c r="M203" s="73"/>
      <c r="N203" s="73"/>
      <c r="O203" s="73"/>
      <c r="P203" s="73"/>
      <c r="Q203" s="73"/>
      <c r="R203" s="73"/>
      <c r="S203" s="73"/>
      <c r="T203" s="73">
        <v>45000000</v>
      </c>
      <c r="U203" s="73"/>
      <c r="V203" s="73"/>
      <c r="W203" s="73"/>
      <c r="X203" s="1864">
        <f t="shared" si="4"/>
        <v>45000000</v>
      </c>
      <c r="Y203" s="23">
        <f t="shared" si="5"/>
        <v>0</v>
      </c>
    </row>
    <row r="204" spans="1:25" ht="30" x14ac:dyDescent="0.25">
      <c r="A204" s="865">
        <v>3</v>
      </c>
      <c r="B204" s="865">
        <v>2</v>
      </c>
      <c r="C204" s="865">
        <v>94</v>
      </c>
      <c r="D204" s="865"/>
      <c r="E204" s="865"/>
      <c r="F204" s="865"/>
      <c r="G204" s="865"/>
      <c r="H204" s="1061" t="s">
        <v>893</v>
      </c>
      <c r="I204" s="1063">
        <v>2030000000</v>
      </c>
      <c r="J204" s="1061" t="s">
        <v>1365</v>
      </c>
      <c r="K204" s="1061" t="s">
        <v>3599</v>
      </c>
      <c r="L204" s="1063"/>
      <c r="M204" s="1063"/>
      <c r="N204" s="1063"/>
      <c r="O204" s="1063"/>
      <c r="P204" s="1063"/>
      <c r="Q204" s="1063"/>
      <c r="R204" s="1063"/>
      <c r="S204" s="1063"/>
      <c r="T204" s="1063"/>
      <c r="U204" s="1063"/>
      <c r="V204" s="1063"/>
      <c r="W204" s="1063"/>
      <c r="X204" s="1866">
        <f t="shared" si="4"/>
        <v>0</v>
      </c>
      <c r="Y204" s="23">
        <f t="shared" si="5"/>
        <v>2030000000</v>
      </c>
    </row>
    <row r="205" spans="1:25" x14ac:dyDescent="0.25">
      <c r="A205" s="1"/>
      <c r="B205" s="1"/>
      <c r="C205" s="1"/>
      <c r="D205" s="1">
        <v>5</v>
      </c>
      <c r="E205" s="1">
        <v>2</v>
      </c>
      <c r="F205" s="1"/>
      <c r="G205" s="1"/>
      <c r="H205" s="4" t="s">
        <v>462</v>
      </c>
      <c r="I205" s="73"/>
      <c r="J205" s="4"/>
      <c r="K205" s="4" t="s">
        <v>3599</v>
      </c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1864">
        <f t="shared" si="4"/>
        <v>0</v>
      </c>
      <c r="Y205" s="23">
        <f t="shared" si="5"/>
        <v>0</v>
      </c>
    </row>
    <row r="206" spans="1:25" ht="28.9" customHeight="1" x14ac:dyDescent="0.25">
      <c r="A206" s="1"/>
      <c r="B206" s="1"/>
      <c r="C206" s="1"/>
      <c r="D206" s="1"/>
      <c r="E206" s="1"/>
      <c r="F206" s="1">
        <v>7</v>
      </c>
      <c r="G206" s="1"/>
      <c r="H206" s="4" t="s">
        <v>453</v>
      </c>
      <c r="I206" s="73"/>
      <c r="J206" s="4"/>
      <c r="K206" s="4" t="s">
        <v>3599</v>
      </c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1864">
        <f t="shared" si="4"/>
        <v>0</v>
      </c>
      <c r="Y206" s="23">
        <f t="shared" si="5"/>
        <v>0</v>
      </c>
    </row>
    <row r="207" spans="1:25" ht="28.9" customHeight="1" x14ac:dyDescent="0.25">
      <c r="A207" s="1"/>
      <c r="B207" s="1"/>
      <c r="C207" s="1"/>
      <c r="D207" s="1"/>
      <c r="E207" s="1"/>
      <c r="F207" s="1"/>
      <c r="G207" s="1489" t="s">
        <v>3366</v>
      </c>
      <c r="H207" s="4" t="s">
        <v>890</v>
      </c>
      <c r="I207" s="73">
        <v>2030000000</v>
      </c>
      <c r="J207" s="4" t="s">
        <v>1365</v>
      </c>
      <c r="K207" s="4" t="s">
        <v>3599</v>
      </c>
      <c r="L207" s="73"/>
      <c r="M207" s="73">
        <v>2030000000</v>
      </c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1864">
        <f t="shared" ref="X207:X270" si="6">SUM(L207:W207)</f>
        <v>2030000000</v>
      </c>
      <c r="Y207" s="23">
        <f t="shared" ref="Y207:Y270" si="7">I207-X207</f>
        <v>0</v>
      </c>
    </row>
    <row r="208" spans="1:25" x14ac:dyDescent="0.25">
      <c r="A208" s="865">
        <v>3</v>
      </c>
      <c r="B208" s="865">
        <v>2</v>
      </c>
      <c r="C208" s="865">
        <v>95</v>
      </c>
      <c r="D208" s="865"/>
      <c r="E208" s="865"/>
      <c r="F208" s="865"/>
      <c r="G208" s="865"/>
      <c r="H208" s="1061" t="s">
        <v>1286</v>
      </c>
      <c r="I208" s="1063">
        <v>180000000</v>
      </c>
      <c r="J208" s="865"/>
      <c r="K208" s="1061" t="s">
        <v>3599</v>
      </c>
      <c r="L208" s="1063"/>
      <c r="M208" s="1063"/>
      <c r="N208" s="1063"/>
      <c r="O208" s="1063"/>
      <c r="P208" s="1063"/>
      <c r="Q208" s="1063"/>
      <c r="R208" s="1063"/>
      <c r="S208" s="1063"/>
      <c r="T208" s="1063"/>
      <c r="U208" s="1063"/>
      <c r="V208" s="1063"/>
      <c r="W208" s="1063"/>
      <c r="X208" s="1866">
        <f t="shared" si="6"/>
        <v>0</v>
      </c>
      <c r="Y208" s="23">
        <f t="shared" si="7"/>
        <v>180000000</v>
      </c>
    </row>
    <row r="209" spans="1:25" x14ac:dyDescent="0.25">
      <c r="A209" s="1"/>
      <c r="B209" s="1"/>
      <c r="C209" s="1"/>
      <c r="D209" s="1"/>
      <c r="E209" s="1"/>
      <c r="F209" s="1"/>
      <c r="G209" s="1"/>
      <c r="H209" s="4" t="s">
        <v>2252</v>
      </c>
      <c r="I209" s="73"/>
      <c r="J209" s="1"/>
      <c r="K209" s="4" t="s">
        <v>3599</v>
      </c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1864">
        <f t="shared" si="6"/>
        <v>0</v>
      </c>
      <c r="Y209" s="23">
        <f t="shared" si="7"/>
        <v>0</v>
      </c>
    </row>
    <row r="210" spans="1:25" ht="28.9" customHeight="1" x14ac:dyDescent="0.25">
      <c r="A210" s="1"/>
      <c r="B210" s="1"/>
      <c r="C210" s="1"/>
      <c r="D210" s="1">
        <v>5</v>
      </c>
      <c r="E210" s="1">
        <v>2</v>
      </c>
      <c r="F210" s="1"/>
      <c r="G210" s="1"/>
      <c r="H210" s="4" t="s">
        <v>683</v>
      </c>
      <c r="I210" s="73"/>
      <c r="J210" s="1"/>
      <c r="K210" s="4" t="s">
        <v>3599</v>
      </c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1864">
        <f t="shared" si="6"/>
        <v>0</v>
      </c>
      <c r="Y210" s="23">
        <f t="shared" si="7"/>
        <v>0</v>
      </c>
    </row>
    <row r="211" spans="1:25" x14ac:dyDescent="0.25">
      <c r="A211" s="1"/>
      <c r="B211" s="1"/>
      <c r="C211" s="1"/>
      <c r="D211" s="1"/>
      <c r="E211" s="1"/>
      <c r="F211" s="1">
        <v>4</v>
      </c>
      <c r="G211" s="1489"/>
      <c r="H211" s="4" t="s">
        <v>1289</v>
      </c>
      <c r="I211" s="73"/>
      <c r="J211" s="1"/>
      <c r="K211" s="4" t="s">
        <v>3599</v>
      </c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1864">
        <f t="shared" si="6"/>
        <v>0</v>
      </c>
      <c r="Y211" s="23">
        <f t="shared" si="7"/>
        <v>0</v>
      </c>
    </row>
    <row r="212" spans="1:25" ht="30" x14ac:dyDescent="0.25">
      <c r="A212" s="1"/>
      <c r="B212" s="1"/>
      <c r="C212" s="1"/>
      <c r="D212" s="1"/>
      <c r="E212" s="1"/>
      <c r="F212" s="1"/>
      <c r="G212" s="1489" t="s">
        <v>3388</v>
      </c>
      <c r="H212" s="4" t="s">
        <v>1291</v>
      </c>
      <c r="I212" s="73">
        <v>11250000</v>
      </c>
      <c r="J212" s="4" t="s">
        <v>1775</v>
      </c>
      <c r="K212" s="4" t="s">
        <v>3599</v>
      </c>
      <c r="L212" s="73"/>
      <c r="M212" s="73"/>
      <c r="N212" s="73">
        <v>11250000</v>
      </c>
      <c r="O212" s="73"/>
      <c r="P212" s="73"/>
      <c r="Q212" s="73"/>
      <c r="R212" s="73"/>
      <c r="S212" s="73"/>
      <c r="T212" s="73"/>
      <c r="U212" s="73"/>
      <c r="V212" s="73"/>
      <c r="W212" s="73"/>
      <c r="X212" s="1864">
        <f t="shared" si="6"/>
        <v>11250000</v>
      </c>
      <c r="Y212" s="23">
        <f t="shared" si="7"/>
        <v>0</v>
      </c>
    </row>
    <row r="213" spans="1:25" x14ac:dyDescent="0.25">
      <c r="A213" s="1"/>
      <c r="B213" s="1"/>
      <c r="C213" s="1"/>
      <c r="D213" s="1"/>
      <c r="E213" s="1"/>
      <c r="F213" s="1"/>
      <c r="G213" s="1"/>
      <c r="H213" s="4" t="s">
        <v>3508</v>
      </c>
      <c r="I213" s="73"/>
      <c r="J213" s="4"/>
      <c r="K213" s="4" t="s">
        <v>3599</v>
      </c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1864">
        <f t="shared" si="6"/>
        <v>0</v>
      </c>
      <c r="Y213" s="23">
        <f t="shared" si="7"/>
        <v>0</v>
      </c>
    </row>
    <row r="214" spans="1:25" ht="100.9" customHeight="1" x14ac:dyDescent="0.25">
      <c r="A214" s="1"/>
      <c r="B214" s="1"/>
      <c r="C214" s="1"/>
      <c r="D214" s="1">
        <v>5</v>
      </c>
      <c r="E214" s="1">
        <v>2</v>
      </c>
      <c r="F214" s="1">
        <v>4</v>
      </c>
      <c r="G214" s="1"/>
      <c r="H214" s="4" t="s">
        <v>683</v>
      </c>
      <c r="I214" s="73"/>
      <c r="J214" s="4"/>
      <c r="K214" s="4" t="s">
        <v>3599</v>
      </c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1864">
        <f t="shared" si="6"/>
        <v>0</v>
      </c>
      <c r="Y214" s="23">
        <f t="shared" si="7"/>
        <v>0</v>
      </c>
    </row>
    <row r="215" spans="1:25" ht="14.45" customHeight="1" x14ac:dyDescent="0.25">
      <c r="A215" s="1"/>
      <c r="B215" s="1"/>
      <c r="C215" s="1"/>
      <c r="D215" s="1"/>
      <c r="E215" s="1"/>
      <c r="F215" s="1"/>
      <c r="G215" s="1489" t="s">
        <v>3388</v>
      </c>
      <c r="H215" s="4" t="s">
        <v>1289</v>
      </c>
      <c r="I215" s="73">
        <v>11250000</v>
      </c>
      <c r="J215" s="4" t="s">
        <v>1775</v>
      </c>
      <c r="K215" s="4" t="s">
        <v>3599</v>
      </c>
      <c r="L215" s="73"/>
      <c r="M215" s="73"/>
      <c r="N215" s="73">
        <v>11250000</v>
      </c>
      <c r="O215" s="73"/>
      <c r="P215" s="73"/>
      <c r="Q215" s="73"/>
      <c r="R215" s="73"/>
      <c r="S215" s="73"/>
      <c r="T215" s="73"/>
      <c r="U215" s="73"/>
      <c r="V215" s="73"/>
      <c r="W215" s="73"/>
      <c r="X215" s="1864">
        <f t="shared" si="6"/>
        <v>11250000</v>
      </c>
      <c r="Y215" s="23">
        <f t="shared" si="7"/>
        <v>0</v>
      </c>
    </row>
    <row r="216" spans="1:25" ht="30" x14ac:dyDescent="0.25">
      <c r="A216" s="1"/>
      <c r="B216" s="1"/>
      <c r="C216" s="1"/>
      <c r="D216" s="1"/>
      <c r="E216" s="1"/>
      <c r="F216" s="1"/>
      <c r="G216" s="1"/>
      <c r="H216" s="4" t="s">
        <v>1292</v>
      </c>
      <c r="I216" s="73"/>
      <c r="J216" s="4"/>
      <c r="K216" s="4" t="s">
        <v>3599</v>
      </c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1864">
        <f t="shared" si="6"/>
        <v>0</v>
      </c>
      <c r="Y216" s="23">
        <f t="shared" si="7"/>
        <v>0</v>
      </c>
    </row>
    <row r="217" spans="1:25" ht="28.9" customHeight="1" x14ac:dyDescent="0.25">
      <c r="A217" s="1"/>
      <c r="B217" s="1"/>
      <c r="C217" s="1"/>
      <c r="D217" s="1">
        <v>5</v>
      </c>
      <c r="E217" s="1">
        <v>2</v>
      </c>
      <c r="F217" s="1"/>
      <c r="G217" s="1"/>
      <c r="H217" s="4" t="s">
        <v>683</v>
      </c>
      <c r="I217" s="73"/>
      <c r="J217" s="4"/>
      <c r="K217" s="4" t="s">
        <v>3599</v>
      </c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1864">
        <f t="shared" si="6"/>
        <v>0</v>
      </c>
      <c r="Y217" s="23">
        <f t="shared" si="7"/>
        <v>0</v>
      </c>
    </row>
    <row r="218" spans="1:25" x14ac:dyDescent="0.25">
      <c r="A218" s="1"/>
      <c r="B218" s="1"/>
      <c r="C218" s="1"/>
      <c r="D218" s="1"/>
      <c r="E218" s="1"/>
      <c r="F218" s="1">
        <v>4</v>
      </c>
      <c r="G218" s="1"/>
      <c r="H218" s="4" t="s">
        <v>1289</v>
      </c>
      <c r="I218" s="73"/>
      <c r="J218" s="4"/>
      <c r="K218" s="4" t="s">
        <v>3599</v>
      </c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1864">
        <f t="shared" si="6"/>
        <v>0</v>
      </c>
      <c r="Y218" s="23">
        <f t="shared" si="7"/>
        <v>0</v>
      </c>
    </row>
    <row r="219" spans="1:25" ht="30" x14ac:dyDescent="0.25">
      <c r="A219" s="1"/>
      <c r="B219" s="1"/>
      <c r="C219" s="1"/>
      <c r="D219" s="1"/>
      <c r="E219" s="1"/>
      <c r="F219" s="1"/>
      <c r="G219" s="1489" t="s">
        <v>3388</v>
      </c>
      <c r="H219" s="4" t="s">
        <v>1291</v>
      </c>
      <c r="I219" s="73">
        <v>67500000</v>
      </c>
      <c r="J219" s="4" t="s">
        <v>1775</v>
      </c>
      <c r="K219" s="4" t="s">
        <v>3599</v>
      </c>
      <c r="L219" s="73"/>
      <c r="M219" s="73"/>
      <c r="N219" s="73"/>
      <c r="O219" s="73">
        <v>67500000</v>
      </c>
      <c r="P219" s="73"/>
      <c r="Q219" s="73"/>
      <c r="R219" s="73"/>
      <c r="S219" s="73"/>
      <c r="T219" s="73"/>
      <c r="U219" s="73"/>
      <c r="V219" s="73"/>
      <c r="W219" s="73"/>
      <c r="X219" s="1864">
        <f t="shared" si="6"/>
        <v>67500000</v>
      </c>
      <c r="Y219" s="23">
        <f t="shared" si="7"/>
        <v>0</v>
      </c>
    </row>
    <row r="220" spans="1:25" ht="30" x14ac:dyDescent="0.25">
      <c r="A220" s="1"/>
      <c r="B220" s="1"/>
      <c r="C220" s="1"/>
      <c r="D220" s="1"/>
      <c r="E220" s="1"/>
      <c r="F220" s="1"/>
      <c r="G220" s="1"/>
      <c r="H220" s="4" t="s">
        <v>1293</v>
      </c>
      <c r="I220" s="73"/>
      <c r="J220" s="4"/>
      <c r="K220" s="4" t="s">
        <v>3599</v>
      </c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1864">
        <f t="shared" si="6"/>
        <v>0</v>
      </c>
      <c r="Y220" s="23">
        <f t="shared" si="7"/>
        <v>0</v>
      </c>
    </row>
    <row r="221" spans="1:25" x14ac:dyDescent="0.25">
      <c r="A221" s="1"/>
      <c r="B221" s="1"/>
      <c r="C221" s="1"/>
      <c r="D221" s="1">
        <v>5</v>
      </c>
      <c r="E221" s="1">
        <v>2</v>
      </c>
      <c r="F221" s="1"/>
      <c r="G221" s="1"/>
      <c r="H221" s="4" t="s">
        <v>683</v>
      </c>
      <c r="I221" s="73"/>
      <c r="J221" s="4"/>
      <c r="K221" s="4" t="s">
        <v>3599</v>
      </c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1864">
        <f t="shared" si="6"/>
        <v>0</v>
      </c>
      <c r="Y221" s="23">
        <f t="shared" si="7"/>
        <v>0</v>
      </c>
    </row>
    <row r="222" spans="1:25" ht="28.9" customHeight="1" x14ac:dyDescent="0.25">
      <c r="A222" s="1"/>
      <c r="B222" s="1"/>
      <c r="C222" s="1"/>
      <c r="D222" s="1"/>
      <c r="E222" s="1"/>
      <c r="F222" s="1">
        <v>4</v>
      </c>
      <c r="G222" s="1"/>
      <c r="H222" s="4" t="s">
        <v>1289</v>
      </c>
      <c r="I222" s="73"/>
      <c r="J222" s="4"/>
      <c r="K222" s="4" t="s">
        <v>3599</v>
      </c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1864">
        <f t="shared" si="6"/>
        <v>0</v>
      </c>
      <c r="Y222" s="23">
        <f t="shared" si="7"/>
        <v>0</v>
      </c>
    </row>
    <row r="223" spans="1:25" ht="30" x14ac:dyDescent="0.25">
      <c r="A223" s="1"/>
      <c r="B223" s="1"/>
      <c r="C223" s="1"/>
      <c r="D223" s="1"/>
      <c r="E223" s="1"/>
      <c r="F223" s="1"/>
      <c r="G223" s="1489" t="s">
        <v>3388</v>
      </c>
      <c r="H223" s="4" t="s">
        <v>1291</v>
      </c>
      <c r="I223" s="73">
        <v>90000000</v>
      </c>
      <c r="J223" s="4" t="s">
        <v>1775</v>
      </c>
      <c r="K223" s="4" t="s">
        <v>3599</v>
      </c>
      <c r="L223" s="73"/>
      <c r="M223" s="73"/>
      <c r="N223" s="73"/>
      <c r="O223" s="73"/>
      <c r="P223" s="73"/>
      <c r="Q223" s="73">
        <v>90000000</v>
      </c>
      <c r="R223" s="73"/>
      <c r="S223" s="73"/>
      <c r="T223" s="73"/>
      <c r="U223" s="73"/>
      <c r="V223" s="73"/>
      <c r="W223" s="73"/>
      <c r="X223" s="1864">
        <f t="shared" si="6"/>
        <v>90000000</v>
      </c>
      <c r="Y223" s="23">
        <f t="shared" si="7"/>
        <v>0</v>
      </c>
    </row>
    <row r="224" spans="1:25" ht="57.6" customHeight="1" x14ac:dyDescent="0.25">
      <c r="A224" s="865">
        <v>3</v>
      </c>
      <c r="B224" s="865">
        <v>3</v>
      </c>
      <c r="C224" s="865"/>
      <c r="D224" s="865"/>
      <c r="E224" s="865"/>
      <c r="F224" s="865"/>
      <c r="G224" s="1490"/>
      <c r="H224" s="1061" t="s">
        <v>3424</v>
      </c>
      <c r="I224" s="1063"/>
      <c r="J224" s="1061"/>
      <c r="K224" s="1061" t="s">
        <v>3599</v>
      </c>
      <c r="L224" s="1063"/>
      <c r="M224" s="1063"/>
      <c r="N224" s="1063"/>
      <c r="O224" s="1063"/>
      <c r="P224" s="1063"/>
      <c r="Q224" s="1063"/>
      <c r="R224" s="1063"/>
      <c r="S224" s="1063"/>
      <c r="T224" s="1063"/>
      <c r="U224" s="1063"/>
      <c r="V224" s="1063"/>
      <c r="W224" s="1063"/>
      <c r="X224" s="1866">
        <f t="shared" si="6"/>
        <v>0</v>
      </c>
      <c r="Y224" s="23">
        <f t="shared" si="7"/>
        <v>0</v>
      </c>
    </row>
    <row r="225" spans="1:25" ht="135" x14ac:dyDescent="0.25">
      <c r="A225" s="865">
        <v>3</v>
      </c>
      <c r="B225" s="865">
        <v>3</v>
      </c>
      <c r="C225" s="1490" t="s">
        <v>3386</v>
      </c>
      <c r="D225" s="865"/>
      <c r="E225" s="865"/>
      <c r="F225" s="865"/>
      <c r="G225" s="865"/>
      <c r="H225" s="1061" t="s">
        <v>3509</v>
      </c>
      <c r="I225" s="1063">
        <v>40892000</v>
      </c>
      <c r="J225" s="1061" t="s">
        <v>1775</v>
      </c>
      <c r="K225" s="1061" t="s">
        <v>3599</v>
      </c>
      <c r="L225" s="1063"/>
      <c r="M225" s="1063"/>
      <c r="N225" s="1063"/>
      <c r="O225" s="1063"/>
      <c r="P225" s="1063"/>
      <c r="Q225" s="1063"/>
      <c r="R225" s="1063"/>
      <c r="S225" s="1063"/>
      <c r="T225" s="1063"/>
      <c r="U225" s="1063"/>
      <c r="V225" s="1063"/>
      <c r="W225" s="1063"/>
      <c r="X225" s="1866">
        <f t="shared" si="6"/>
        <v>0</v>
      </c>
      <c r="Y225" s="23">
        <f t="shared" si="7"/>
        <v>40892000</v>
      </c>
    </row>
    <row r="226" spans="1:25" x14ac:dyDescent="0.25">
      <c r="A226" s="1"/>
      <c r="B226" s="1"/>
      <c r="C226" s="1"/>
      <c r="D226" s="1">
        <v>5</v>
      </c>
      <c r="E226" s="1">
        <v>2</v>
      </c>
      <c r="F226" s="1"/>
      <c r="G226" s="1"/>
      <c r="H226" s="4" t="s">
        <v>277</v>
      </c>
      <c r="I226" s="98"/>
      <c r="J226" s="4"/>
      <c r="K226" s="4" t="s">
        <v>3599</v>
      </c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1864">
        <f t="shared" si="6"/>
        <v>0</v>
      </c>
      <c r="Y226" s="23">
        <f t="shared" si="7"/>
        <v>0</v>
      </c>
    </row>
    <row r="227" spans="1:25" ht="28.9" customHeight="1" x14ac:dyDescent="0.25">
      <c r="A227" s="1"/>
      <c r="B227" s="1"/>
      <c r="C227" s="1"/>
      <c r="D227" s="1"/>
      <c r="E227" s="1"/>
      <c r="F227" s="1">
        <v>1</v>
      </c>
      <c r="G227" s="1"/>
      <c r="H227" s="4" t="s">
        <v>84</v>
      </c>
      <c r="I227" s="73"/>
      <c r="J227" s="4"/>
      <c r="K227" s="4" t="s">
        <v>3599</v>
      </c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1864">
        <f t="shared" si="6"/>
        <v>0</v>
      </c>
      <c r="Y227" s="23">
        <f t="shared" si="7"/>
        <v>0</v>
      </c>
    </row>
    <row r="228" spans="1:25" ht="30" x14ac:dyDescent="0.25">
      <c r="A228" s="1"/>
      <c r="B228" s="1"/>
      <c r="C228" s="1"/>
      <c r="D228" s="1"/>
      <c r="E228" s="1"/>
      <c r="F228" s="1"/>
      <c r="G228" s="1489" t="s">
        <v>3391</v>
      </c>
      <c r="H228" s="4" t="s">
        <v>307</v>
      </c>
      <c r="I228" s="73">
        <v>9300000</v>
      </c>
      <c r="J228" s="4" t="s">
        <v>1775</v>
      </c>
      <c r="K228" s="4" t="s">
        <v>3599</v>
      </c>
      <c r="L228" s="73"/>
      <c r="M228" s="73"/>
      <c r="N228" s="73"/>
      <c r="O228" s="73"/>
      <c r="P228" s="73">
        <v>9300000</v>
      </c>
      <c r="Q228" s="73"/>
      <c r="R228" s="73"/>
      <c r="S228" s="73"/>
      <c r="T228" s="73"/>
      <c r="U228" s="73"/>
      <c r="V228" s="73"/>
      <c r="W228" s="73"/>
      <c r="X228" s="1864">
        <f t="shared" si="6"/>
        <v>9300000</v>
      </c>
      <c r="Y228" s="23">
        <f t="shared" si="7"/>
        <v>0</v>
      </c>
    </row>
    <row r="229" spans="1:25" ht="30" x14ac:dyDescent="0.25">
      <c r="A229" s="1"/>
      <c r="B229" s="1"/>
      <c r="C229" s="1"/>
      <c r="D229" s="1"/>
      <c r="E229" s="1"/>
      <c r="F229" s="1"/>
      <c r="G229" s="1489" t="s">
        <v>3393</v>
      </c>
      <c r="H229" s="4" t="s">
        <v>949</v>
      </c>
      <c r="I229" s="73">
        <v>540000</v>
      </c>
      <c r="J229" s="4" t="s">
        <v>1775</v>
      </c>
      <c r="K229" s="4" t="s">
        <v>3599</v>
      </c>
      <c r="L229" s="73"/>
      <c r="M229" s="73"/>
      <c r="N229" s="73"/>
      <c r="O229" s="73"/>
      <c r="P229" s="73">
        <v>540000</v>
      </c>
      <c r="Q229" s="73"/>
      <c r="R229" s="73"/>
      <c r="S229" s="73"/>
      <c r="T229" s="73"/>
      <c r="U229" s="73"/>
      <c r="V229" s="73"/>
      <c r="W229" s="73"/>
      <c r="X229" s="1864">
        <f t="shared" si="6"/>
        <v>540000</v>
      </c>
      <c r="Y229" s="23">
        <f t="shared" si="7"/>
        <v>0</v>
      </c>
    </row>
    <row r="230" spans="1:25" ht="30" x14ac:dyDescent="0.25">
      <c r="A230" s="1"/>
      <c r="B230" s="1"/>
      <c r="C230" s="1"/>
      <c r="D230" s="1"/>
      <c r="E230" s="1"/>
      <c r="F230" s="1"/>
      <c r="G230" s="1">
        <v>90</v>
      </c>
      <c r="H230" s="4" t="s">
        <v>273</v>
      </c>
      <c r="I230" s="73">
        <v>145000</v>
      </c>
      <c r="J230" s="4" t="s">
        <v>1775</v>
      </c>
      <c r="K230" s="4" t="s">
        <v>3599</v>
      </c>
      <c r="L230" s="73"/>
      <c r="M230" s="73"/>
      <c r="N230" s="73"/>
      <c r="O230" s="73"/>
      <c r="P230" s="73">
        <v>145000</v>
      </c>
      <c r="Q230" s="73"/>
      <c r="R230" s="73"/>
      <c r="S230" s="73"/>
      <c r="T230" s="73"/>
      <c r="U230" s="73"/>
      <c r="V230" s="73"/>
      <c r="W230" s="73"/>
      <c r="X230" s="1864">
        <f t="shared" si="6"/>
        <v>145000</v>
      </c>
      <c r="Y230" s="23">
        <f t="shared" si="7"/>
        <v>0</v>
      </c>
    </row>
    <row r="231" spans="1:25" x14ac:dyDescent="0.25">
      <c r="A231" s="1"/>
      <c r="B231" s="1"/>
      <c r="C231" s="1"/>
      <c r="D231" s="1">
        <v>5</v>
      </c>
      <c r="E231" s="1">
        <v>2</v>
      </c>
      <c r="F231" s="1">
        <v>2</v>
      </c>
      <c r="G231" s="1"/>
      <c r="H231" s="4" t="s">
        <v>294</v>
      </c>
      <c r="I231" s="73"/>
      <c r="J231" s="4"/>
      <c r="K231" s="4" t="s">
        <v>3599</v>
      </c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1864">
        <f t="shared" si="6"/>
        <v>0</v>
      </c>
      <c r="Y231" s="23">
        <f t="shared" si="7"/>
        <v>0</v>
      </c>
    </row>
    <row r="232" spans="1:25" ht="28.9" customHeight="1" x14ac:dyDescent="0.25">
      <c r="A232" s="1"/>
      <c r="B232" s="1"/>
      <c r="C232" s="1"/>
      <c r="D232" s="1"/>
      <c r="E232" s="1"/>
      <c r="F232" s="1"/>
      <c r="G232" s="1489" t="s">
        <v>3389</v>
      </c>
      <c r="H232" s="4" t="s">
        <v>948</v>
      </c>
      <c r="I232" s="73">
        <v>8202000</v>
      </c>
      <c r="J232" s="4" t="s">
        <v>1775</v>
      </c>
      <c r="K232" s="4" t="s">
        <v>3599</v>
      </c>
      <c r="L232" s="73"/>
      <c r="M232" s="73"/>
      <c r="N232" s="73"/>
      <c r="O232" s="73"/>
      <c r="P232" s="73">
        <v>8202000</v>
      </c>
      <c r="Q232" s="73"/>
      <c r="R232" s="73"/>
      <c r="S232" s="73"/>
      <c r="T232" s="73"/>
      <c r="U232" s="73"/>
      <c r="V232" s="73"/>
      <c r="W232" s="73"/>
      <c r="X232" s="1864">
        <f t="shared" si="6"/>
        <v>8202000</v>
      </c>
      <c r="Y232" s="23">
        <f t="shared" si="7"/>
        <v>0</v>
      </c>
    </row>
    <row r="233" spans="1:25" ht="45" x14ac:dyDescent="0.25">
      <c r="A233" s="1"/>
      <c r="B233" s="1"/>
      <c r="C233" s="1"/>
      <c r="D233" s="1">
        <v>5</v>
      </c>
      <c r="E233" s="1">
        <v>2</v>
      </c>
      <c r="F233" s="1">
        <v>7</v>
      </c>
      <c r="G233" s="1"/>
      <c r="H233" s="4" t="s">
        <v>453</v>
      </c>
      <c r="I233" s="73"/>
      <c r="J233" s="4"/>
      <c r="K233" s="4" t="s">
        <v>3599</v>
      </c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1864">
        <f t="shared" si="6"/>
        <v>0</v>
      </c>
      <c r="Y233" s="23">
        <f t="shared" si="7"/>
        <v>0</v>
      </c>
    </row>
    <row r="234" spans="1:25" ht="30" x14ac:dyDescent="0.25">
      <c r="A234" s="1"/>
      <c r="B234" s="1"/>
      <c r="C234" s="1"/>
      <c r="D234" s="1"/>
      <c r="E234" s="1"/>
      <c r="F234" s="1"/>
      <c r="G234" s="1">
        <v>90</v>
      </c>
      <c r="H234" s="4" t="s">
        <v>905</v>
      </c>
      <c r="I234" s="73">
        <v>10605000</v>
      </c>
      <c r="J234" s="4" t="s">
        <v>1775</v>
      </c>
      <c r="K234" s="4" t="s">
        <v>3599</v>
      </c>
      <c r="L234" s="73"/>
      <c r="M234" s="73"/>
      <c r="N234" s="73"/>
      <c r="O234" s="73"/>
      <c r="P234" s="73">
        <v>10605000</v>
      </c>
      <c r="Q234" s="73"/>
      <c r="R234" s="73"/>
      <c r="S234" s="73"/>
      <c r="T234" s="73"/>
      <c r="U234" s="73"/>
      <c r="V234" s="73"/>
      <c r="W234" s="73"/>
      <c r="X234" s="1864">
        <f t="shared" si="6"/>
        <v>10605000</v>
      </c>
      <c r="Y234" s="23">
        <f t="shared" si="7"/>
        <v>0</v>
      </c>
    </row>
    <row r="235" spans="1:25" x14ac:dyDescent="0.25">
      <c r="A235" s="1"/>
      <c r="B235" s="1"/>
      <c r="C235" s="1"/>
      <c r="D235" s="1">
        <v>5</v>
      </c>
      <c r="E235" s="1">
        <v>2</v>
      </c>
      <c r="F235" s="1">
        <v>1</v>
      </c>
      <c r="G235" s="1"/>
      <c r="H235" s="4" t="s">
        <v>442</v>
      </c>
      <c r="I235" s="73"/>
      <c r="J235" s="4"/>
      <c r="K235" s="4" t="s">
        <v>3599</v>
      </c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1864">
        <f t="shared" si="6"/>
        <v>0</v>
      </c>
      <c r="Y235" s="23">
        <f t="shared" si="7"/>
        <v>0</v>
      </c>
    </row>
    <row r="236" spans="1:25" ht="30" x14ac:dyDescent="0.25">
      <c r="A236" s="1"/>
      <c r="B236" s="1"/>
      <c r="C236" s="1"/>
      <c r="D236" s="1"/>
      <c r="E236" s="1"/>
      <c r="F236" s="1"/>
      <c r="G236" s="1489" t="s">
        <v>3391</v>
      </c>
      <c r="H236" s="4" t="s">
        <v>1037</v>
      </c>
      <c r="I236" s="73">
        <v>1000000</v>
      </c>
      <c r="J236" s="4" t="s">
        <v>1775</v>
      </c>
      <c r="K236" s="4" t="s">
        <v>3599</v>
      </c>
      <c r="L236" s="73"/>
      <c r="M236" s="73"/>
      <c r="N236" s="73"/>
      <c r="O236" s="73"/>
      <c r="P236" s="73">
        <v>1000000</v>
      </c>
      <c r="Q236" s="73"/>
      <c r="R236" s="73"/>
      <c r="S236" s="73"/>
      <c r="T236" s="73"/>
      <c r="U236" s="73"/>
      <c r="V236" s="73"/>
      <c r="W236" s="73"/>
      <c r="X236" s="1864">
        <f t="shared" si="6"/>
        <v>1000000</v>
      </c>
      <c r="Y236" s="23">
        <f t="shared" si="7"/>
        <v>0</v>
      </c>
    </row>
    <row r="237" spans="1:25" ht="28.9" customHeight="1" x14ac:dyDescent="0.25">
      <c r="A237" s="1"/>
      <c r="B237" s="1"/>
      <c r="C237" s="1"/>
      <c r="D237" s="1"/>
      <c r="E237" s="1"/>
      <c r="F237" s="1"/>
      <c r="G237" s="1"/>
      <c r="H237" s="4" t="s">
        <v>2363</v>
      </c>
      <c r="I237" s="73"/>
      <c r="J237" s="4"/>
      <c r="K237" s="4" t="s">
        <v>3599</v>
      </c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1864">
        <f t="shared" si="6"/>
        <v>0</v>
      </c>
      <c r="Y237" s="23">
        <f t="shared" si="7"/>
        <v>0</v>
      </c>
    </row>
    <row r="238" spans="1:25" x14ac:dyDescent="0.25">
      <c r="A238" s="1"/>
      <c r="B238" s="1"/>
      <c r="C238" s="1"/>
      <c r="D238" s="1">
        <v>5</v>
      </c>
      <c r="E238" s="1">
        <v>2</v>
      </c>
      <c r="F238" s="1"/>
      <c r="G238" s="1"/>
      <c r="H238" s="4" t="s">
        <v>277</v>
      </c>
      <c r="I238" s="73"/>
      <c r="J238" s="4"/>
      <c r="K238" s="4" t="s">
        <v>3599</v>
      </c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1864">
        <f t="shared" si="6"/>
        <v>0</v>
      </c>
      <c r="Y238" s="23">
        <f t="shared" si="7"/>
        <v>0</v>
      </c>
    </row>
    <row r="239" spans="1:25" x14ac:dyDescent="0.25">
      <c r="A239" s="1"/>
      <c r="B239" s="1"/>
      <c r="C239" s="1"/>
      <c r="D239" s="1"/>
      <c r="E239" s="1"/>
      <c r="F239" s="1">
        <v>1</v>
      </c>
      <c r="G239" s="1"/>
      <c r="H239" s="4" t="s">
        <v>84</v>
      </c>
      <c r="I239" s="73"/>
      <c r="J239" s="4"/>
      <c r="K239" s="4" t="s">
        <v>3599</v>
      </c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1864">
        <f t="shared" si="6"/>
        <v>0</v>
      </c>
      <c r="Y239" s="23">
        <f t="shared" si="7"/>
        <v>0</v>
      </c>
    </row>
    <row r="240" spans="1:25" ht="30" x14ac:dyDescent="0.25">
      <c r="A240" s="1"/>
      <c r="B240" s="1"/>
      <c r="C240" s="1"/>
      <c r="D240" s="1"/>
      <c r="E240" s="1"/>
      <c r="F240" s="1"/>
      <c r="G240" s="1489" t="s">
        <v>3391</v>
      </c>
      <c r="H240" s="4" t="s">
        <v>931</v>
      </c>
      <c r="I240" s="73">
        <v>2300000</v>
      </c>
      <c r="J240" s="4" t="s">
        <v>1775</v>
      </c>
      <c r="K240" s="4" t="s">
        <v>3599</v>
      </c>
      <c r="L240" s="73"/>
      <c r="M240" s="73"/>
      <c r="N240" s="73"/>
      <c r="O240" s="73"/>
      <c r="P240" s="73">
        <v>2300000</v>
      </c>
      <c r="Q240" s="73"/>
      <c r="R240" s="73"/>
      <c r="S240" s="73"/>
      <c r="T240" s="73"/>
      <c r="U240" s="73"/>
      <c r="V240" s="73"/>
      <c r="W240" s="73"/>
      <c r="X240" s="1864">
        <f t="shared" si="6"/>
        <v>2300000</v>
      </c>
      <c r="Y240" s="23">
        <f t="shared" si="7"/>
        <v>0</v>
      </c>
    </row>
    <row r="241" spans="1:25" ht="28.9" customHeight="1" x14ac:dyDescent="0.25">
      <c r="A241" s="1"/>
      <c r="B241" s="1"/>
      <c r="C241" s="1"/>
      <c r="D241" s="1"/>
      <c r="E241" s="1"/>
      <c r="F241" s="1"/>
      <c r="G241" s="1489" t="s">
        <v>3392</v>
      </c>
      <c r="H241" s="4" t="s">
        <v>930</v>
      </c>
      <c r="I241" s="73">
        <v>2250000</v>
      </c>
      <c r="J241" s="4" t="s">
        <v>1775</v>
      </c>
      <c r="K241" s="4" t="s">
        <v>3599</v>
      </c>
      <c r="L241" s="73"/>
      <c r="M241" s="73"/>
      <c r="N241" s="73"/>
      <c r="O241" s="73"/>
      <c r="P241" s="73">
        <v>2250000</v>
      </c>
      <c r="Q241" s="73"/>
      <c r="R241" s="73"/>
      <c r="S241" s="73"/>
      <c r="T241" s="73"/>
      <c r="U241" s="73"/>
      <c r="V241" s="73"/>
      <c r="W241" s="73"/>
      <c r="X241" s="1864">
        <f t="shared" si="6"/>
        <v>2250000</v>
      </c>
      <c r="Y241" s="23">
        <f t="shared" si="7"/>
        <v>0</v>
      </c>
    </row>
    <row r="242" spans="1:25" ht="43.15" customHeight="1" x14ac:dyDescent="0.25">
      <c r="A242" s="1"/>
      <c r="B242" s="1"/>
      <c r="C242" s="1"/>
      <c r="D242" s="1">
        <v>5</v>
      </c>
      <c r="E242" s="1">
        <v>2</v>
      </c>
      <c r="F242" s="1">
        <v>2</v>
      </c>
      <c r="G242" s="1"/>
      <c r="H242" s="4" t="s">
        <v>478</v>
      </c>
      <c r="I242" s="73"/>
      <c r="J242" s="4"/>
      <c r="K242" s="4" t="s">
        <v>3599</v>
      </c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1864">
        <f t="shared" si="6"/>
        <v>0</v>
      </c>
      <c r="Y242" s="23">
        <f t="shared" si="7"/>
        <v>0</v>
      </c>
    </row>
    <row r="243" spans="1:25" ht="30" x14ac:dyDescent="0.25">
      <c r="A243" s="1"/>
      <c r="B243" s="1"/>
      <c r="C243" s="1"/>
      <c r="D243" s="1"/>
      <c r="E243" s="1"/>
      <c r="F243" s="1"/>
      <c r="G243" s="1489" t="s">
        <v>3389</v>
      </c>
      <c r="H243" s="4" t="s">
        <v>1038</v>
      </c>
      <c r="I243" s="73">
        <v>4500000</v>
      </c>
      <c r="J243" s="4" t="s">
        <v>1775</v>
      </c>
      <c r="K243" s="4" t="s">
        <v>3599</v>
      </c>
      <c r="L243" s="73"/>
      <c r="M243" s="73"/>
      <c r="N243" s="73"/>
      <c r="O243" s="73"/>
      <c r="P243" s="73">
        <v>4500000</v>
      </c>
      <c r="Q243" s="73"/>
      <c r="R243" s="73"/>
      <c r="S243" s="73"/>
      <c r="T243" s="73"/>
      <c r="U243" s="73"/>
      <c r="V243" s="73"/>
      <c r="W243" s="73"/>
      <c r="X243" s="1864">
        <f t="shared" si="6"/>
        <v>4500000</v>
      </c>
      <c r="Y243" s="23">
        <f t="shared" si="7"/>
        <v>0</v>
      </c>
    </row>
    <row r="244" spans="1:25" ht="30" x14ac:dyDescent="0.25">
      <c r="A244" s="1"/>
      <c r="B244" s="1"/>
      <c r="C244" s="1"/>
      <c r="D244" s="1"/>
      <c r="E244" s="1"/>
      <c r="F244" s="1"/>
      <c r="G244" s="1489" t="s">
        <v>3366</v>
      </c>
      <c r="H244" s="4" t="s">
        <v>968</v>
      </c>
      <c r="I244" s="73">
        <v>1150000</v>
      </c>
      <c r="J244" s="4" t="s">
        <v>1775</v>
      </c>
      <c r="K244" s="4" t="s">
        <v>3599</v>
      </c>
      <c r="L244" s="73"/>
      <c r="M244" s="73"/>
      <c r="N244" s="73"/>
      <c r="O244" s="73"/>
      <c r="P244" s="73">
        <v>1150000</v>
      </c>
      <c r="Q244" s="73"/>
      <c r="R244" s="73"/>
      <c r="S244" s="73"/>
      <c r="T244" s="73"/>
      <c r="U244" s="73"/>
      <c r="V244" s="73"/>
      <c r="W244" s="73"/>
      <c r="X244" s="1864">
        <f t="shared" si="6"/>
        <v>1150000</v>
      </c>
      <c r="Y244" s="23">
        <f t="shared" si="7"/>
        <v>0</v>
      </c>
    </row>
    <row r="245" spans="1:25" ht="28.9" customHeight="1" x14ac:dyDescent="0.25">
      <c r="A245" s="1"/>
      <c r="B245" s="1"/>
      <c r="C245" s="1"/>
      <c r="D245" s="1">
        <v>5</v>
      </c>
      <c r="E245" s="1">
        <v>2</v>
      </c>
      <c r="F245" s="1">
        <v>7</v>
      </c>
      <c r="G245" s="1"/>
      <c r="H245" s="4" t="s">
        <v>453</v>
      </c>
      <c r="I245" s="73"/>
      <c r="J245" s="4"/>
      <c r="K245" s="4" t="s">
        <v>3599</v>
      </c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1864">
        <f t="shared" si="6"/>
        <v>0</v>
      </c>
      <c r="Y245" s="23">
        <f t="shared" si="7"/>
        <v>0</v>
      </c>
    </row>
    <row r="246" spans="1:25" ht="28.9" customHeight="1" x14ac:dyDescent="0.25">
      <c r="A246" s="1"/>
      <c r="B246" s="1"/>
      <c r="C246" s="1"/>
      <c r="D246" s="1"/>
      <c r="E246" s="1"/>
      <c r="F246" s="1"/>
      <c r="G246" s="1">
        <v>91</v>
      </c>
      <c r="H246" s="4" t="s">
        <v>359</v>
      </c>
      <c r="I246" s="73">
        <v>900000</v>
      </c>
      <c r="J246" s="4" t="s">
        <v>1775</v>
      </c>
      <c r="K246" s="4" t="s">
        <v>3599</v>
      </c>
      <c r="L246" s="73"/>
      <c r="M246" s="73"/>
      <c r="N246" s="73"/>
      <c r="O246" s="73"/>
      <c r="P246" s="73">
        <v>900000</v>
      </c>
      <c r="Q246" s="73"/>
      <c r="R246" s="73"/>
      <c r="S246" s="73"/>
      <c r="T246" s="73"/>
      <c r="U246" s="73"/>
      <c r="V246" s="73"/>
      <c r="W246" s="73"/>
      <c r="X246" s="1864">
        <f t="shared" si="6"/>
        <v>900000</v>
      </c>
      <c r="Y246" s="23">
        <f t="shared" si="7"/>
        <v>0</v>
      </c>
    </row>
    <row r="247" spans="1:25" ht="75" x14ac:dyDescent="0.25">
      <c r="A247" s="865">
        <v>3</v>
      </c>
      <c r="B247" s="865">
        <v>3</v>
      </c>
      <c r="C247" s="1490" t="s">
        <v>3386</v>
      </c>
      <c r="D247" s="865"/>
      <c r="E247" s="865"/>
      <c r="F247" s="865"/>
      <c r="G247" s="865"/>
      <c r="H247" s="1061" t="s">
        <v>3191</v>
      </c>
      <c r="I247" s="1063">
        <v>44630000</v>
      </c>
      <c r="J247" s="1061" t="s">
        <v>1775</v>
      </c>
      <c r="K247" s="1061" t="s">
        <v>3599</v>
      </c>
      <c r="L247" s="1063"/>
      <c r="M247" s="1063"/>
      <c r="N247" s="1063"/>
      <c r="O247" s="1063"/>
      <c r="P247" s="1063"/>
      <c r="Q247" s="1063"/>
      <c r="R247" s="1063"/>
      <c r="S247" s="1063"/>
      <c r="T247" s="1063"/>
      <c r="U247" s="1063"/>
      <c r="V247" s="1063"/>
      <c r="W247" s="1063"/>
      <c r="X247" s="1866">
        <f t="shared" si="6"/>
        <v>0</v>
      </c>
      <c r="Y247" s="23">
        <f t="shared" si="7"/>
        <v>44630000</v>
      </c>
    </row>
    <row r="248" spans="1:25" x14ac:dyDescent="0.25">
      <c r="A248" s="1"/>
      <c r="B248" s="1"/>
      <c r="C248" s="1"/>
      <c r="D248" s="1">
        <v>5</v>
      </c>
      <c r="E248" s="1">
        <v>2</v>
      </c>
      <c r="F248" s="1"/>
      <c r="G248" s="1"/>
      <c r="H248" s="4" t="s">
        <v>277</v>
      </c>
      <c r="I248" s="73"/>
      <c r="J248" s="1"/>
      <c r="K248" s="4" t="s">
        <v>3599</v>
      </c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1864">
        <f t="shared" si="6"/>
        <v>0</v>
      </c>
      <c r="Y248" s="23">
        <f t="shared" si="7"/>
        <v>0</v>
      </c>
    </row>
    <row r="249" spans="1:25" ht="28.9" customHeight="1" x14ac:dyDescent="0.25">
      <c r="A249" s="1"/>
      <c r="B249" s="1"/>
      <c r="C249" s="1"/>
      <c r="D249" s="1"/>
      <c r="E249" s="1"/>
      <c r="F249" s="1">
        <v>1</v>
      </c>
      <c r="G249" s="1"/>
      <c r="H249" s="4" t="s">
        <v>84</v>
      </c>
      <c r="I249" s="73"/>
      <c r="J249" s="1"/>
      <c r="K249" s="4" t="s">
        <v>3599</v>
      </c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1864">
        <f t="shared" si="6"/>
        <v>0</v>
      </c>
      <c r="Y249" s="23">
        <f t="shared" si="7"/>
        <v>0</v>
      </c>
    </row>
    <row r="250" spans="1:25" ht="43.15" customHeight="1" x14ac:dyDescent="0.25">
      <c r="A250" s="1"/>
      <c r="B250" s="1"/>
      <c r="C250" s="1"/>
      <c r="D250" s="1"/>
      <c r="E250" s="1"/>
      <c r="F250" s="1"/>
      <c r="G250" s="1489" t="s">
        <v>3391</v>
      </c>
      <c r="H250" s="4" t="s">
        <v>931</v>
      </c>
      <c r="I250" s="73">
        <v>10280000</v>
      </c>
      <c r="J250" s="4" t="s">
        <v>1775</v>
      </c>
      <c r="K250" s="4" t="s">
        <v>3599</v>
      </c>
      <c r="L250" s="73"/>
      <c r="M250" s="73"/>
      <c r="N250" s="73"/>
      <c r="O250" s="73"/>
      <c r="P250" s="73">
        <v>10280000</v>
      </c>
      <c r="Q250" s="73"/>
      <c r="R250" s="73"/>
      <c r="S250" s="73"/>
      <c r="T250" s="73"/>
      <c r="U250" s="73"/>
      <c r="V250" s="73"/>
      <c r="W250" s="73"/>
      <c r="X250" s="1864">
        <f t="shared" si="6"/>
        <v>10280000</v>
      </c>
      <c r="Y250" s="23">
        <f t="shared" si="7"/>
        <v>0</v>
      </c>
    </row>
    <row r="251" spans="1:25" ht="30" x14ac:dyDescent="0.25">
      <c r="A251" s="1"/>
      <c r="B251" s="1"/>
      <c r="C251" s="1"/>
      <c r="D251" s="1"/>
      <c r="E251" s="1"/>
      <c r="F251" s="1"/>
      <c r="G251" s="1489" t="s">
        <v>3392</v>
      </c>
      <c r="H251" s="1" t="s">
        <v>930</v>
      </c>
      <c r="I251" s="73">
        <v>8500000</v>
      </c>
      <c r="J251" s="4" t="s">
        <v>1775</v>
      </c>
      <c r="K251" s="4" t="s">
        <v>3599</v>
      </c>
      <c r="L251" s="73"/>
      <c r="M251" s="73"/>
      <c r="N251" s="73"/>
      <c r="O251" s="73"/>
      <c r="P251" s="73">
        <v>8500000</v>
      </c>
      <c r="Q251" s="73"/>
      <c r="R251" s="73"/>
      <c r="S251" s="73"/>
      <c r="T251" s="73"/>
      <c r="U251" s="73"/>
      <c r="V251" s="73"/>
      <c r="W251" s="73"/>
      <c r="X251" s="1864">
        <f t="shared" si="6"/>
        <v>8500000</v>
      </c>
      <c r="Y251" s="23">
        <f t="shared" si="7"/>
        <v>0</v>
      </c>
    </row>
    <row r="252" spans="1:25" ht="28.9" customHeight="1" x14ac:dyDescent="0.25">
      <c r="A252" s="1"/>
      <c r="B252" s="1"/>
      <c r="C252" s="1"/>
      <c r="D252" s="1">
        <v>5</v>
      </c>
      <c r="E252" s="1">
        <v>2</v>
      </c>
      <c r="F252" s="1">
        <v>2</v>
      </c>
      <c r="G252" s="1"/>
      <c r="H252" s="4" t="s">
        <v>478</v>
      </c>
      <c r="I252" s="73"/>
      <c r="J252" s="1"/>
      <c r="K252" s="4" t="s">
        <v>3599</v>
      </c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1864">
        <f t="shared" si="6"/>
        <v>0</v>
      </c>
      <c r="Y252" s="23">
        <f t="shared" si="7"/>
        <v>0</v>
      </c>
    </row>
    <row r="253" spans="1:25" ht="28.9" customHeight="1" x14ac:dyDescent="0.25">
      <c r="A253" s="1"/>
      <c r="B253" s="1"/>
      <c r="C253" s="1"/>
      <c r="D253" s="1"/>
      <c r="E253" s="1"/>
      <c r="F253" s="1"/>
      <c r="G253" s="1489" t="s">
        <v>3389</v>
      </c>
      <c r="H253" s="4" t="s">
        <v>948</v>
      </c>
      <c r="I253" s="73">
        <v>23000000</v>
      </c>
      <c r="J253" s="4" t="s">
        <v>1775</v>
      </c>
      <c r="K253" s="4" t="s">
        <v>3599</v>
      </c>
      <c r="L253" s="73"/>
      <c r="M253" s="73"/>
      <c r="N253" s="73"/>
      <c r="O253" s="73"/>
      <c r="P253" s="73">
        <v>23000000</v>
      </c>
      <c r="Q253" s="73"/>
      <c r="R253" s="73"/>
      <c r="S253" s="73"/>
      <c r="T253" s="73"/>
      <c r="U253" s="73"/>
      <c r="V253" s="73"/>
      <c r="W253" s="73"/>
      <c r="X253" s="1864">
        <f t="shared" si="6"/>
        <v>23000000</v>
      </c>
      <c r="Y253" s="23">
        <f t="shared" si="7"/>
        <v>0</v>
      </c>
    </row>
    <row r="254" spans="1:25" ht="30" x14ac:dyDescent="0.25">
      <c r="A254" s="1"/>
      <c r="B254" s="1"/>
      <c r="C254" s="1"/>
      <c r="D254" s="1"/>
      <c r="E254" s="1"/>
      <c r="F254" s="1"/>
      <c r="G254" s="1489" t="s">
        <v>3366</v>
      </c>
      <c r="H254" s="4" t="s">
        <v>968</v>
      </c>
      <c r="I254" s="73">
        <v>1150000</v>
      </c>
      <c r="J254" s="4" t="s">
        <v>1775</v>
      </c>
      <c r="K254" s="4" t="s">
        <v>3599</v>
      </c>
      <c r="L254" s="73"/>
      <c r="M254" s="73"/>
      <c r="N254" s="73"/>
      <c r="O254" s="73"/>
      <c r="P254" s="73">
        <v>1150000</v>
      </c>
      <c r="Q254" s="73"/>
      <c r="R254" s="73"/>
      <c r="S254" s="73"/>
      <c r="T254" s="73"/>
      <c r="U254" s="73"/>
      <c r="V254" s="73"/>
      <c r="W254" s="73"/>
      <c r="X254" s="1864">
        <f t="shared" si="6"/>
        <v>1150000</v>
      </c>
      <c r="Y254" s="23">
        <f t="shared" si="7"/>
        <v>0</v>
      </c>
    </row>
    <row r="255" spans="1:25" ht="43.15" customHeight="1" x14ac:dyDescent="0.25">
      <c r="A255" s="1"/>
      <c r="B255" s="1"/>
      <c r="C255" s="1"/>
      <c r="D255" s="1">
        <v>5</v>
      </c>
      <c r="E255" s="1">
        <v>2</v>
      </c>
      <c r="F255" s="1">
        <v>7</v>
      </c>
      <c r="G255" s="1"/>
      <c r="H255" s="4" t="s">
        <v>453</v>
      </c>
      <c r="I255" s="73"/>
      <c r="J255" s="1"/>
      <c r="K255" s="4" t="s">
        <v>3599</v>
      </c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1864">
        <f t="shared" si="6"/>
        <v>0</v>
      </c>
      <c r="Y255" s="23">
        <f t="shared" si="7"/>
        <v>0</v>
      </c>
    </row>
    <row r="256" spans="1:25" ht="45" x14ac:dyDescent="0.25">
      <c r="A256" s="1"/>
      <c r="B256" s="1"/>
      <c r="C256" s="1"/>
      <c r="D256" s="1"/>
      <c r="E256" s="1"/>
      <c r="F256" s="1"/>
      <c r="G256" s="1">
        <v>91</v>
      </c>
      <c r="H256" s="4" t="s">
        <v>2374</v>
      </c>
      <c r="I256" s="73">
        <v>1700000</v>
      </c>
      <c r="J256" s="4" t="s">
        <v>1775</v>
      </c>
      <c r="K256" s="4" t="s">
        <v>3599</v>
      </c>
      <c r="L256" s="73"/>
      <c r="M256" s="73"/>
      <c r="N256" s="73"/>
      <c r="O256" s="73"/>
      <c r="P256" s="73">
        <v>1700000</v>
      </c>
      <c r="Q256" s="73"/>
      <c r="R256" s="73"/>
      <c r="S256" s="73"/>
      <c r="T256" s="73"/>
      <c r="U256" s="73"/>
      <c r="V256" s="73"/>
      <c r="W256" s="73"/>
      <c r="X256" s="1864">
        <f t="shared" si="6"/>
        <v>1700000</v>
      </c>
      <c r="Y256" s="23">
        <f t="shared" si="7"/>
        <v>0</v>
      </c>
    </row>
    <row r="257" spans="1:25" x14ac:dyDescent="0.25">
      <c r="A257" s="865">
        <v>3</v>
      </c>
      <c r="B257" s="865">
        <v>3</v>
      </c>
      <c r="C257" s="1490" t="s">
        <v>3391</v>
      </c>
      <c r="D257" s="865"/>
      <c r="E257" s="865"/>
      <c r="F257" s="865"/>
      <c r="G257" s="865"/>
      <c r="H257" s="1061" t="s">
        <v>1309</v>
      </c>
      <c r="I257" s="1063">
        <v>20600000</v>
      </c>
      <c r="J257" s="865" t="s">
        <v>1220</v>
      </c>
      <c r="K257" s="1061" t="s">
        <v>3599</v>
      </c>
      <c r="L257" s="1063"/>
      <c r="M257" s="1063"/>
      <c r="N257" s="1063"/>
      <c r="O257" s="1063"/>
      <c r="P257" s="1063"/>
      <c r="Q257" s="1063"/>
      <c r="R257" s="1063"/>
      <c r="S257" s="1063"/>
      <c r="T257" s="1063"/>
      <c r="U257" s="1063"/>
      <c r="V257" s="1063"/>
      <c r="W257" s="1063"/>
      <c r="X257" s="1866">
        <f t="shared" si="6"/>
        <v>0</v>
      </c>
      <c r="Y257" s="23">
        <f t="shared" si="7"/>
        <v>20600000</v>
      </c>
    </row>
    <row r="258" spans="1:25" ht="28.9" customHeight="1" x14ac:dyDescent="0.25">
      <c r="A258" s="1"/>
      <c r="B258" s="1"/>
      <c r="C258" s="1"/>
      <c r="D258" s="1">
        <v>5</v>
      </c>
      <c r="E258" s="1">
        <v>2</v>
      </c>
      <c r="F258" s="1"/>
      <c r="G258" s="1"/>
      <c r="H258" s="4" t="s">
        <v>277</v>
      </c>
      <c r="I258" s="73"/>
      <c r="J258" s="1"/>
      <c r="K258" s="4" t="s">
        <v>3599</v>
      </c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1864">
        <f t="shared" si="6"/>
        <v>0</v>
      </c>
      <c r="Y258" s="23">
        <f t="shared" si="7"/>
        <v>0</v>
      </c>
    </row>
    <row r="259" spans="1:25" x14ac:dyDescent="0.25">
      <c r="A259" s="1"/>
      <c r="B259" s="1"/>
      <c r="C259" s="1"/>
      <c r="D259" s="1"/>
      <c r="E259" s="1"/>
      <c r="F259" s="1">
        <v>1</v>
      </c>
      <c r="G259" s="1"/>
      <c r="H259" s="4" t="s">
        <v>84</v>
      </c>
      <c r="I259" s="73"/>
      <c r="J259" s="1"/>
      <c r="K259" s="4" t="s">
        <v>3599</v>
      </c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1864">
        <f t="shared" si="6"/>
        <v>0</v>
      </c>
      <c r="Y259" s="23">
        <f t="shared" si="7"/>
        <v>0</v>
      </c>
    </row>
    <row r="260" spans="1:25" ht="28.9" customHeight="1" x14ac:dyDescent="0.25">
      <c r="A260" s="1"/>
      <c r="B260" s="1"/>
      <c r="C260" s="1"/>
      <c r="D260" s="1"/>
      <c r="E260" s="1"/>
      <c r="F260" s="1"/>
      <c r="G260" s="1489" t="s">
        <v>3391</v>
      </c>
      <c r="H260" s="4" t="s">
        <v>307</v>
      </c>
      <c r="I260" s="73">
        <v>11700000</v>
      </c>
      <c r="J260" s="1" t="s">
        <v>1220</v>
      </c>
      <c r="K260" s="4" t="s">
        <v>3599</v>
      </c>
      <c r="L260" s="73"/>
      <c r="M260" s="73"/>
      <c r="N260" s="73"/>
      <c r="O260" s="73"/>
      <c r="P260" s="73"/>
      <c r="Q260" s="73"/>
      <c r="R260" s="73">
        <v>11700000</v>
      </c>
      <c r="S260" s="73"/>
      <c r="T260" s="73"/>
      <c r="U260" s="73"/>
      <c r="V260" s="73"/>
      <c r="W260" s="73"/>
      <c r="X260" s="1864">
        <f t="shared" si="6"/>
        <v>11700000</v>
      </c>
      <c r="Y260" s="23">
        <f t="shared" si="7"/>
        <v>0</v>
      </c>
    </row>
    <row r="261" spans="1:25" ht="28.9" customHeight="1" x14ac:dyDescent="0.25">
      <c r="A261" s="1"/>
      <c r="B261" s="1"/>
      <c r="C261" s="1"/>
      <c r="D261" s="1"/>
      <c r="E261" s="1"/>
      <c r="F261" s="1"/>
      <c r="G261" s="1489" t="s">
        <v>3393</v>
      </c>
      <c r="H261" s="4" t="s">
        <v>325</v>
      </c>
      <c r="I261" s="73">
        <v>200000</v>
      </c>
      <c r="J261" s="1" t="s">
        <v>1220</v>
      </c>
      <c r="K261" s="4" t="s">
        <v>3599</v>
      </c>
      <c r="L261" s="73"/>
      <c r="M261" s="73"/>
      <c r="N261" s="73"/>
      <c r="O261" s="73"/>
      <c r="P261" s="73"/>
      <c r="Q261" s="73"/>
      <c r="R261" s="73">
        <v>200000</v>
      </c>
      <c r="S261" s="73"/>
      <c r="T261" s="73"/>
      <c r="U261" s="73"/>
      <c r="V261" s="73"/>
      <c r="W261" s="73"/>
      <c r="X261" s="1864">
        <f t="shared" si="6"/>
        <v>200000</v>
      </c>
      <c r="Y261" s="23">
        <f t="shared" si="7"/>
        <v>0</v>
      </c>
    </row>
    <row r="262" spans="1:25" ht="28.9" customHeight="1" x14ac:dyDescent="0.25">
      <c r="A262" s="1"/>
      <c r="B262" s="1"/>
      <c r="C262" s="1"/>
      <c r="D262" s="1"/>
      <c r="E262" s="1"/>
      <c r="F262" s="1"/>
      <c r="G262" s="1489" t="s">
        <v>3394</v>
      </c>
      <c r="H262" s="1" t="s">
        <v>1539</v>
      </c>
      <c r="I262" s="73">
        <v>8400000</v>
      </c>
      <c r="J262" s="1" t="s">
        <v>1220</v>
      </c>
      <c r="K262" s="4" t="s">
        <v>3599</v>
      </c>
      <c r="L262" s="73"/>
      <c r="M262" s="73"/>
      <c r="N262" s="73"/>
      <c r="O262" s="73"/>
      <c r="P262" s="73"/>
      <c r="Q262" s="73"/>
      <c r="R262" s="73">
        <v>8400000</v>
      </c>
      <c r="S262" s="73"/>
      <c r="T262" s="73"/>
      <c r="U262" s="73"/>
      <c r="V262" s="73"/>
      <c r="W262" s="73"/>
      <c r="X262" s="1864">
        <f t="shared" si="6"/>
        <v>8400000</v>
      </c>
      <c r="Y262" s="23">
        <f t="shared" si="7"/>
        <v>0</v>
      </c>
    </row>
    <row r="263" spans="1:25" ht="28.9" customHeight="1" x14ac:dyDescent="0.25">
      <c r="A263" s="1"/>
      <c r="B263" s="1"/>
      <c r="C263" s="1"/>
      <c r="D263" s="1">
        <v>5</v>
      </c>
      <c r="E263" s="1">
        <v>2</v>
      </c>
      <c r="F263" s="1">
        <v>2</v>
      </c>
      <c r="G263" s="1"/>
      <c r="H263" s="4" t="s">
        <v>349</v>
      </c>
      <c r="I263" s="73"/>
      <c r="J263" s="1"/>
      <c r="K263" s="4" t="s">
        <v>3599</v>
      </c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1864">
        <f t="shared" si="6"/>
        <v>0</v>
      </c>
      <c r="Y263" s="23">
        <f t="shared" si="7"/>
        <v>0</v>
      </c>
    </row>
    <row r="264" spans="1:25" ht="30" x14ac:dyDescent="0.25">
      <c r="A264" s="1"/>
      <c r="B264" s="1"/>
      <c r="C264" s="1"/>
      <c r="D264" s="1"/>
      <c r="E264" s="1"/>
      <c r="F264" s="1"/>
      <c r="G264" s="1489" t="s">
        <v>3389</v>
      </c>
      <c r="H264" s="4" t="s">
        <v>1316</v>
      </c>
      <c r="I264" s="73">
        <v>300000</v>
      </c>
      <c r="J264" s="1" t="s">
        <v>1220</v>
      </c>
      <c r="K264" s="4" t="s">
        <v>3599</v>
      </c>
      <c r="L264" s="73"/>
      <c r="M264" s="73"/>
      <c r="N264" s="73"/>
      <c r="O264" s="73"/>
      <c r="P264" s="73"/>
      <c r="Q264" s="73"/>
      <c r="R264" s="73">
        <v>300000</v>
      </c>
      <c r="S264" s="73"/>
      <c r="T264" s="73"/>
      <c r="U264" s="73"/>
      <c r="V264" s="73"/>
      <c r="W264" s="73"/>
      <c r="X264" s="1864">
        <f t="shared" si="6"/>
        <v>300000</v>
      </c>
      <c r="Y264" s="23">
        <f t="shared" si="7"/>
        <v>0</v>
      </c>
    </row>
    <row r="265" spans="1:25" ht="45" x14ac:dyDescent="0.25">
      <c r="A265" s="865">
        <v>3</v>
      </c>
      <c r="B265" s="865">
        <v>3</v>
      </c>
      <c r="C265" s="1490" t="s">
        <v>3391</v>
      </c>
      <c r="D265" s="865"/>
      <c r="E265" s="865"/>
      <c r="F265" s="865"/>
      <c r="G265" s="865"/>
      <c r="H265" s="1061" t="s">
        <v>2645</v>
      </c>
      <c r="I265" s="1063">
        <v>9840000</v>
      </c>
      <c r="J265" s="865" t="s">
        <v>1220</v>
      </c>
      <c r="K265" s="1061" t="s">
        <v>3599</v>
      </c>
      <c r="L265" s="1063"/>
      <c r="M265" s="1063"/>
      <c r="N265" s="1063"/>
      <c r="O265" s="1063"/>
      <c r="P265" s="1063"/>
      <c r="Q265" s="1063"/>
      <c r="R265" s="1063"/>
      <c r="S265" s="1063"/>
      <c r="T265" s="1063"/>
      <c r="U265" s="1063"/>
      <c r="V265" s="1063"/>
      <c r="W265" s="1063"/>
      <c r="X265" s="1866">
        <f t="shared" si="6"/>
        <v>0</v>
      </c>
      <c r="Y265" s="23">
        <f t="shared" si="7"/>
        <v>9840000</v>
      </c>
    </row>
    <row r="266" spans="1:25" x14ac:dyDescent="0.25">
      <c r="A266" s="1"/>
      <c r="B266" s="1"/>
      <c r="C266" s="1"/>
      <c r="D266" s="1">
        <v>5</v>
      </c>
      <c r="E266" s="1">
        <v>2</v>
      </c>
      <c r="F266" s="1"/>
      <c r="G266" s="1"/>
      <c r="H266" s="4" t="s">
        <v>277</v>
      </c>
      <c r="I266" s="73"/>
      <c r="J266" s="1"/>
      <c r="K266" s="4" t="s">
        <v>3599</v>
      </c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1864">
        <f t="shared" si="6"/>
        <v>0</v>
      </c>
      <c r="Y266" s="23">
        <f t="shared" si="7"/>
        <v>0</v>
      </c>
    </row>
    <row r="267" spans="1:25" x14ac:dyDescent="0.25">
      <c r="A267" s="1"/>
      <c r="B267" s="1"/>
      <c r="C267" s="1"/>
      <c r="D267" s="1"/>
      <c r="E267" s="1"/>
      <c r="F267" s="1">
        <v>1</v>
      </c>
      <c r="G267" s="1"/>
      <c r="H267" s="4" t="s">
        <v>84</v>
      </c>
      <c r="I267" s="73"/>
      <c r="J267" s="1"/>
      <c r="K267" s="4" t="s">
        <v>3599</v>
      </c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1864">
        <f t="shared" si="6"/>
        <v>0</v>
      </c>
      <c r="Y267" s="23">
        <f t="shared" si="7"/>
        <v>0</v>
      </c>
    </row>
    <row r="268" spans="1:25" ht="30" x14ac:dyDescent="0.25">
      <c r="A268" s="1"/>
      <c r="B268" s="1"/>
      <c r="C268" s="1"/>
      <c r="D268" s="1"/>
      <c r="E268" s="1"/>
      <c r="F268" s="1"/>
      <c r="G268" s="1489" t="s">
        <v>3391</v>
      </c>
      <c r="H268" s="4" t="s">
        <v>307</v>
      </c>
      <c r="I268" s="73">
        <v>940000</v>
      </c>
      <c r="J268" s="1" t="s">
        <v>1220</v>
      </c>
      <c r="K268" s="4" t="s">
        <v>3599</v>
      </c>
      <c r="L268" s="73"/>
      <c r="M268" s="73"/>
      <c r="N268" s="73"/>
      <c r="O268" s="73"/>
      <c r="P268" s="73"/>
      <c r="Q268" s="73">
        <v>940000</v>
      </c>
      <c r="R268" s="73"/>
      <c r="S268" s="73"/>
      <c r="T268" s="73"/>
      <c r="U268" s="73"/>
      <c r="V268" s="73"/>
      <c r="W268" s="73"/>
      <c r="X268" s="1864">
        <f t="shared" si="6"/>
        <v>940000</v>
      </c>
      <c r="Y268" s="23">
        <f t="shared" si="7"/>
        <v>0</v>
      </c>
    </row>
    <row r="269" spans="1:25" ht="30" x14ac:dyDescent="0.25">
      <c r="A269" s="1"/>
      <c r="B269" s="1"/>
      <c r="C269" s="1"/>
      <c r="D269" s="1"/>
      <c r="E269" s="1"/>
      <c r="F269" s="1"/>
      <c r="G269" s="1489" t="s">
        <v>3393</v>
      </c>
      <c r="H269" s="4" t="s">
        <v>325</v>
      </c>
      <c r="I269" s="73">
        <v>200000</v>
      </c>
      <c r="J269" s="1" t="s">
        <v>1220</v>
      </c>
      <c r="K269" s="4" t="s">
        <v>3599</v>
      </c>
      <c r="L269" s="73"/>
      <c r="M269" s="73"/>
      <c r="N269" s="73"/>
      <c r="O269" s="73"/>
      <c r="P269" s="73"/>
      <c r="Q269" s="73">
        <v>200000</v>
      </c>
      <c r="R269" s="73"/>
      <c r="S269" s="73"/>
      <c r="T269" s="73"/>
      <c r="U269" s="73"/>
      <c r="V269" s="73"/>
      <c r="W269" s="73"/>
      <c r="X269" s="1864">
        <f t="shared" si="6"/>
        <v>200000</v>
      </c>
      <c r="Y269" s="23">
        <f t="shared" si="7"/>
        <v>0</v>
      </c>
    </row>
    <row r="270" spans="1:25" x14ac:dyDescent="0.25">
      <c r="A270" s="1"/>
      <c r="B270" s="1"/>
      <c r="C270" s="1"/>
      <c r="D270" s="1"/>
      <c r="E270" s="1"/>
      <c r="F270" s="1"/>
      <c r="G270" s="1489" t="s">
        <v>3394</v>
      </c>
      <c r="H270" s="1" t="s">
        <v>1539</v>
      </c>
      <c r="I270" s="73">
        <v>8400000</v>
      </c>
      <c r="J270" s="1" t="s">
        <v>1220</v>
      </c>
      <c r="K270" s="4" t="s">
        <v>3599</v>
      </c>
      <c r="L270" s="73"/>
      <c r="M270" s="73"/>
      <c r="N270" s="73"/>
      <c r="O270" s="73"/>
      <c r="P270" s="73"/>
      <c r="Q270" s="73">
        <v>8400000</v>
      </c>
      <c r="R270" s="73"/>
      <c r="S270" s="73"/>
      <c r="T270" s="73"/>
      <c r="U270" s="73"/>
      <c r="V270" s="73"/>
      <c r="W270" s="73"/>
      <c r="X270" s="1864">
        <f t="shared" si="6"/>
        <v>8400000</v>
      </c>
      <c r="Y270" s="23">
        <f t="shared" si="7"/>
        <v>0</v>
      </c>
    </row>
    <row r="271" spans="1:25" x14ac:dyDescent="0.25">
      <c r="A271" s="1"/>
      <c r="B271" s="1"/>
      <c r="C271" s="1"/>
      <c r="D271" s="1">
        <v>5</v>
      </c>
      <c r="E271" s="1">
        <v>2</v>
      </c>
      <c r="F271" s="1">
        <v>2</v>
      </c>
      <c r="G271" s="1"/>
      <c r="H271" s="4" t="s">
        <v>349</v>
      </c>
      <c r="I271" s="73"/>
      <c r="J271" s="1"/>
      <c r="K271" s="4" t="s">
        <v>3599</v>
      </c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1864">
        <f t="shared" ref="X271:X334" si="8">SUM(L271:W271)</f>
        <v>0</v>
      </c>
      <c r="Y271" s="23">
        <f t="shared" ref="Y271:Y334" si="9">I271-X271</f>
        <v>0</v>
      </c>
    </row>
    <row r="272" spans="1:25" ht="30" x14ac:dyDescent="0.25">
      <c r="A272" s="1"/>
      <c r="B272" s="1"/>
      <c r="C272" s="1"/>
      <c r="D272" s="1"/>
      <c r="E272" s="1"/>
      <c r="F272" s="1"/>
      <c r="G272" s="1489" t="s">
        <v>3389</v>
      </c>
      <c r="H272" s="4" t="s">
        <v>1316</v>
      </c>
      <c r="I272" s="73">
        <v>300000</v>
      </c>
      <c r="J272" s="1" t="s">
        <v>1220</v>
      </c>
      <c r="K272" s="4" t="s">
        <v>3599</v>
      </c>
      <c r="L272" s="73"/>
      <c r="M272" s="73"/>
      <c r="N272" s="73"/>
      <c r="O272" s="73"/>
      <c r="P272" s="73"/>
      <c r="Q272" s="73">
        <v>300000</v>
      </c>
      <c r="R272" s="73"/>
      <c r="S272" s="73"/>
      <c r="T272" s="73"/>
      <c r="U272" s="73"/>
      <c r="V272" s="73"/>
      <c r="W272" s="73"/>
      <c r="X272" s="1864">
        <f t="shared" si="8"/>
        <v>300000</v>
      </c>
      <c r="Y272" s="23">
        <f t="shared" si="9"/>
        <v>0</v>
      </c>
    </row>
    <row r="273" spans="1:25" ht="45" x14ac:dyDescent="0.25">
      <c r="A273" s="865">
        <v>3</v>
      </c>
      <c r="B273" s="865">
        <v>3</v>
      </c>
      <c r="C273" s="865">
        <v>90</v>
      </c>
      <c r="D273" s="865"/>
      <c r="E273" s="865"/>
      <c r="F273" s="865"/>
      <c r="G273" s="865"/>
      <c r="H273" s="1061" t="s">
        <v>902</v>
      </c>
      <c r="I273" s="1063">
        <v>420000000</v>
      </c>
      <c r="J273" s="1061" t="s">
        <v>1365</v>
      </c>
      <c r="K273" s="1061" t="s">
        <v>3599</v>
      </c>
      <c r="L273" s="1063"/>
      <c r="M273" s="1063"/>
      <c r="N273" s="1063"/>
      <c r="O273" s="1063"/>
      <c r="P273" s="1063"/>
      <c r="Q273" s="1063"/>
      <c r="R273" s="1063"/>
      <c r="S273" s="1063"/>
      <c r="T273" s="1063"/>
      <c r="U273" s="1063"/>
      <c r="V273" s="1063"/>
      <c r="W273" s="1063"/>
      <c r="X273" s="1866">
        <f t="shared" si="8"/>
        <v>0</v>
      </c>
      <c r="Y273" s="23">
        <f t="shared" si="9"/>
        <v>420000000</v>
      </c>
    </row>
    <row r="274" spans="1:25" ht="43.15" customHeight="1" x14ac:dyDescent="0.25">
      <c r="A274" s="1"/>
      <c r="B274" s="1"/>
      <c r="C274" s="1"/>
      <c r="D274" s="1">
        <v>5</v>
      </c>
      <c r="E274" s="1">
        <v>2</v>
      </c>
      <c r="F274" s="1"/>
      <c r="G274" s="1"/>
      <c r="H274" s="4" t="s">
        <v>304</v>
      </c>
      <c r="I274" s="73"/>
      <c r="J274" s="1"/>
      <c r="K274" s="4" t="s">
        <v>3599</v>
      </c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1864">
        <f t="shared" si="8"/>
        <v>0</v>
      </c>
      <c r="Y274" s="23">
        <f t="shared" si="9"/>
        <v>0</v>
      </c>
    </row>
    <row r="275" spans="1:25" ht="45" x14ac:dyDescent="0.25">
      <c r="A275" s="1"/>
      <c r="B275" s="1"/>
      <c r="C275" s="1"/>
      <c r="D275" s="1"/>
      <c r="E275" s="1"/>
      <c r="F275" s="1">
        <v>7</v>
      </c>
      <c r="G275" s="1"/>
      <c r="H275" s="4" t="s">
        <v>453</v>
      </c>
      <c r="I275" s="73"/>
      <c r="J275" s="1"/>
      <c r="K275" s="4" t="s">
        <v>3599</v>
      </c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1864">
        <f t="shared" si="8"/>
        <v>0</v>
      </c>
      <c r="Y275" s="23">
        <f t="shared" si="9"/>
        <v>0</v>
      </c>
    </row>
    <row r="276" spans="1:25" ht="30" x14ac:dyDescent="0.25">
      <c r="A276" s="1"/>
      <c r="B276" s="1"/>
      <c r="C276" s="1"/>
      <c r="D276" s="1"/>
      <c r="E276" s="1"/>
      <c r="F276" s="1"/>
      <c r="G276" s="1489" t="s">
        <v>3366</v>
      </c>
      <c r="H276" s="4" t="s">
        <v>890</v>
      </c>
      <c r="I276" s="73">
        <v>420000000</v>
      </c>
      <c r="J276" s="4" t="s">
        <v>1365</v>
      </c>
      <c r="K276" s="4" t="s">
        <v>3599</v>
      </c>
      <c r="L276" s="73"/>
      <c r="M276" s="73">
        <v>420000000</v>
      </c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1864">
        <f t="shared" si="8"/>
        <v>420000000</v>
      </c>
      <c r="Y276" s="23">
        <f t="shared" si="9"/>
        <v>0</v>
      </c>
    </row>
    <row r="277" spans="1:25" ht="28.9" customHeight="1" x14ac:dyDescent="0.25">
      <c r="A277" s="865">
        <v>3</v>
      </c>
      <c r="B277" s="865">
        <v>4</v>
      </c>
      <c r="C277" s="865"/>
      <c r="D277" s="865"/>
      <c r="E277" s="865"/>
      <c r="F277" s="865"/>
      <c r="G277" s="1490"/>
      <c r="H277" s="1061" t="s">
        <v>3425</v>
      </c>
      <c r="I277" s="1063"/>
      <c r="J277" s="1061"/>
      <c r="K277" s="1061" t="s">
        <v>3599</v>
      </c>
      <c r="L277" s="1063"/>
      <c r="M277" s="1063"/>
      <c r="N277" s="1063"/>
      <c r="O277" s="1063"/>
      <c r="P277" s="1063"/>
      <c r="Q277" s="1063"/>
      <c r="R277" s="1063"/>
      <c r="S277" s="1063"/>
      <c r="T277" s="1063"/>
      <c r="U277" s="1063"/>
      <c r="V277" s="1063"/>
      <c r="W277" s="1063"/>
      <c r="X277" s="1866">
        <f t="shared" si="8"/>
        <v>0</v>
      </c>
      <c r="Y277" s="23">
        <f t="shared" si="9"/>
        <v>0</v>
      </c>
    </row>
    <row r="278" spans="1:25" ht="28.9" customHeight="1" x14ac:dyDescent="0.25">
      <c r="A278" s="865">
        <v>3</v>
      </c>
      <c r="B278" s="865">
        <v>4</v>
      </c>
      <c r="C278" s="1490" t="s">
        <v>3386</v>
      </c>
      <c r="D278" s="865"/>
      <c r="E278" s="865"/>
      <c r="F278" s="865"/>
      <c r="G278" s="865"/>
      <c r="H278" s="1061" t="s">
        <v>912</v>
      </c>
      <c r="I278" s="1063">
        <v>31775000</v>
      </c>
      <c r="J278" s="865" t="s">
        <v>1506</v>
      </c>
      <c r="K278" s="1061" t="s">
        <v>3599</v>
      </c>
      <c r="L278" s="1063"/>
      <c r="M278" s="1063"/>
      <c r="N278" s="1063"/>
      <c r="O278" s="1063"/>
      <c r="P278" s="1063"/>
      <c r="Q278" s="1063"/>
      <c r="R278" s="1063"/>
      <c r="S278" s="1063"/>
      <c r="T278" s="1063"/>
      <c r="U278" s="1063"/>
      <c r="V278" s="1063"/>
      <c r="W278" s="1063"/>
      <c r="X278" s="1866">
        <f t="shared" si="8"/>
        <v>0</v>
      </c>
      <c r="Y278" s="23">
        <f t="shared" si="9"/>
        <v>31775000</v>
      </c>
    </row>
    <row r="279" spans="1:25" x14ac:dyDescent="0.25">
      <c r="A279" s="1"/>
      <c r="B279" s="1"/>
      <c r="C279" s="1"/>
      <c r="D279" s="1">
        <v>5</v>
      </c>
      <c r="E279" s="1">
        <v>2</v>
      </c>
      <c r="F279" s="1"/>
      <c r="G279" s="1"/>
      <c r="H279" s="4" t="s">
        <v>914</v>
      </c>
      <c r="I279" s="73"/>
      <c r="J279" s="1"/>
      <c r="K279" s="4" t="s">
        <v>3599</v>
      </c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1864">
        <f t="shared" si="8"/>
        <v>0</v>
      </c>
      <c r="Y279" s="23">
        <f t="shared" si="9"/>
        <v>0</v>
      </c>
    </row>
    <row r="280" spans="1:25" x14ac:dyDescent="0.25">
      <c r="A280" s="1"/>
      <c r="B280" s="1"/>
      <c r="C280" s="1"/>
      <c r="D280" s="1"/>
      <c r="E280" s="1"/>
      <c r="F280" s="1">
        <v>1</v>
      </c>
      <c r="G280" s="1"/>
      <c r="H280" s="4" t="s">
        <v>84</v>
      </c>
      <c r="I280" s="73"/>
      <c r="J280" s="1"/>
      <c r="K280" s="4" t="s">
        <v>3599</v>
      </c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1864">
        <f t="shared" si="8"/>
        <v>0</v>
      </c>
      <c r="Y280" s="23">
        <f t="shared" si="9"/>
        <v>0</v>
      </c>
    </row>
    <row r="281" spans="1:25" ht="30" x14ac:dyDescent="0.25">
      <c r="A281" s="1"/>
      <c r="B281" s="1"/>
      <c r="C281" s="1"/>
      <c r="D281" s="1"/>
      <c r="E281" s="1"/>
      <c r="F281" s="1"/>
      <c r="G281" s="1489" t="s">
        <v>3391</v>
      </c>
      <c r="H281" s="4" t="s">
        <v>307</v>
      </c>
      <c r="I281" s="73">
        <v>7200000</v>
      </c>
      <c r="J281" s="1" t="s">
        <v>1506</v>
      </c>
      <c r="K281" s="4" t="s">
        <v>3599</v>
      </c>
      <c r="L281" s="73"/>
      <c r="M281" s="73"/>
      <c r="N281" s="73"/>
      <c r="O281" s="73"/>
      <c r="P281" s="73"/>
      <c r="Q281" s="73"/>
      <c r="R281" s="73">
        <v>600000</v>
      </c>
      <c r="S281" s="73">
        <v>6600000</v>
      </c>
      <c r="T281" s="73"/>
      <c r="U281" s="73"/>
      <c r="V281" s="73"/>
      <c r="W281" s="73"/>
      <c r="X281" s="1864">
        <f t="shared" si="8"/>
        <v>7200000</v>
      </c>
      <c r="Y281" s="23">
        <f t="shared" si="9"/>
        <v>0</v>
      </c>
    </row>
    <row r="282" spans="1:25" ht="30" x14ac:dyDescent="0.25">
      <c r="A282" s="1"/>
      <c r="B282" s="1"/>
      <c r="C282" s="1"/>
      <c r="D282" s="1"/>
      <c r="E282" s="1"/>
      <c r="F282" s="1"/>
      <c r="G282" s="1489" t="s">
        <v>3393</v>
      </c>
      <c r="H282" s="4" t="s">
        <v>325</v>
      </c>
      <c r="I282" s="73">
        <v>90000</v>
      </c>
      <c r="J282" s="1" t="s">
        <v>1506</v>
      </c>
      <c r="K282" s="4" t="s">
        <v>3599</v>
      </c>
      <c r="L282" s="73"/>
      <c r="M282" s="73"/>
      <c r="N282" s="73"/>
      <c r="O282" s="73"/>
      <c r="P282" s="73"/>
      <c r="Q282" s="73"/>
      <c r="R282" s="73">
        <v>90000</v>
      </c>
      <c r="S282" s="73"/>
      <c r="T282" s="73"/>
      <c r="U282" s="73"/>
      <c r="V282" s="73"/>
      <c r="W282" s="73"/>
      <c r="X282" s="1864">
        <f t="shared" si="8"/>
        <v>90000</v>
      </c>
      <c r="Y282" s="23">
        <f t="shared" si="9"/>
        <v>0</v>
      </c>
    </row>
    <row r="283" spans="1:25" ht="30" x14ac:dyDescent="0.25">
      <c r="A283" s="1"/>
      <c r="B283" s="1"/>
      <c r="C283" s="1"/>
      <c r="D283" s="1"/>
      <c r="E283" s="1"/>
      <c r="F283" s="1"/>
      <c r="G283" s="1489"/>
      <c r="H283" s="4" t="s">
        <v>3545</v>
      </c>
      <c r="I283" s="73">
        <v>10200000</v>
      </c>
      <c r="J283" s="1" t="s">
        <v>1506</v>
      </c>
      <c r="K283" s="4" t="s">
        <v>3599</v>
      </c>
      <c r="L283" s="73"/>
      <c r="M283" s="73"/>
      <c r="N283" s="73"/>
      <c r="O283" s="73"/>
      <c r="P283" s="73"/>
      <c r="Q283" s="73"/>
      <c r="R283" s="73">
        <v>10200000</v>
      </c>
      <c r="S283" s="73"/>
      <c r="T283" s="73"/>
      <c r="U283" s="73"/>
      <c r="V283" s="73"/>
      <c r="W283" s="73"/>
      <c r="X283" s="1864">
        <f t="shared" si="8"/>
        <v>10200000</v>
      </c>
      <c r="Y283" s="23">
        <f t="shared" si="9"/>
        <v>0</v>
      </c>
    </row>
    <row r="284" spans="1:25" ht="14.45" customHeight="1" x14ac:dyDescent="0.25">
      <c r="A284" s="1"/>
      <c r="B284" s="1"/>
      <c r="C284" s="1"/>
      <c r="D284" s="1"/>
      <c r="E284" s="1"/>
      <c r="F284" s="1"/>
      <c r="G284" s="1">
        <v>90</v>
      </c>
      <c r="H284" s="4" t="s">
        <v>273</v>
      </c>
      <c r="I284" s="73">
        <v>285000</v>
      </c>
      <c r="J284" s="1" t="s">
        <v>1506</v>
      </c>
      <c r="K284" s="4" t="s">
        <v>3599</v>
      </c>
      <c r="L284" s="73"/>
      <c r="M284" s="73"/>
      <c r="N284" s="73"/>
      <c r="O284" s="73"/>
      <c r="P284" s="73"/>
      <c r="Q284" s="73"/>
      <c r="R284" s="73"/>
      <c r="S284" s="73">
        <v>285000</v>
      </c>
      <c r="T284" s="73"/>
      <c r="U284" s="73"/>
      <c r="V284" s="73"/>
      <c r="W284" s="73"/>
      <c r="X284" s="1864">
        <f t="shared" si="8"/>
        <v>285000</v>
      </c>
      <c r="Y284" s="23">
        <f t="shared" si="9"/>
        <v>0</v>
      </c>
    </row>
    <row r="285" spans="1:25" ht="28.9" customHeight="1" x14ac:dyDescent="0.25">
      <c r="A285" s="1"/>
      <c r="B285" s="1"/>
      <c r="C285" s="1"/>
      <c r="D285" s="1">
        <v>5</v>
      </c>
      <c r="E285" s="1">
        <v>2</v>
      </c>
      <c r="F285" s="1">
        <v>7</v>
      </c>
      <c r="G285" s="1"/>
      <c r="H285" s="4" t="s">
        <v>487</v>
      </c>
      <c r="I285" s="73"/>
      <c r="J285" s="1"/>
      <c r="K285" s="4" t="s">
        <v>3599</v>
      </c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1864">
        <f t="shared" si="8"/>
        <v>0</v>
      </c>
      <c r="Y285" s="23">
        <f t="shared" si="9"/>
        <v>0</v>
      </c>
    </row>
    <row r="286" spans="1:25" ht="43.15" customHeight="1" x14ac:dyDescent="0.25">
      <c r="A286" s="1"/>
      <c r="B286" s="1"/>
      <c r="C286" s="1"/>
      <c r="D286" s="1"/>
      <c r="E286" s="1"/>
      <c r="F286" s="1"/>
      <c r="G286" s="1489" t="s">
        <v>3366</v>
      </c>
      <c r="H286" s="4" t="s">
        <v>487</v>
      </c>
      <c r="I286" s="73">
        <v>14000000</v>
      </c>
      <c r="J286" s="1" t="s">
        <v>1506</v>
      </c>
      <c r="K286" s="4" t="s">
        <v>3599</v>
      </c>
      <c r="L286" s="73"/>
      <c r="M286" s="73"/>
      <c r="N286" s="73"/>
      <c r="O286" s="73"/>
      <c r="P286" s="73"/>
      <c r="Q286" s="73"/>
      <c r="R286" s="73"/>
      <c r="S286" s="73">
        <v>14000000</v>
      </c>
      <c r="T286" s="73"/>
      <c r="U286" s="73"/>
      <c r="V286" s="73"/>
      <c r="W286" s="73"/>
      <c r="X286" s="1864">
        <f t="shared" si="8"/>
        <v>14000000</v>
      </c>
      <c r="Y286" s="23">
        <f t="shared" si="9"/>
        <v>0</v>
      </c>
    </row>
    <row r="287" spans="1:25" ht="45" x14ac:dyDescent="0.25">
      <c r="A287" s="865">
        <v>3</v>
      </c>
      <c r="B287" s="865">
        <v>4</v>
      </c>
      <c r="C287" s="1490" t="s">
        <v>3386</v>
      </c>
      <c r="D287" s="865"/>
      <c r="E287" s="865"/>
      <c r="F287" s="865"/>
      <c r="G287" s="865"/>
      <c r="H287" s="1061" t="s">
        <v>1047</v>
      </c>
      <c r="I287" s="1063">
        <v>11598584.66</v>
      </c>
      <c r="J287" s="1061" t="s">
        <v>3297</v>
      </c>
      <c r="K287" s="1061" t="s">
        <v>3599</v>
      </c>
      <c r="L287" s="1063"/>
      <c r="M287" s="1063"/>
      <c r="N287" s="1063"/>
      <c r="O287" s="1063"/>
      <c r="P287" s="1063"/>
      <c r="Q287" s="1063"/>
      <c r="R287" s="1063"/>
      <c r="S287" s="1063"/>
      <c r="T287" s="1063"/>
      <c r="U287" s="1063"/>
      <c r="V287" s="1063"/>
      <c r="W287" s="1063"/>
      <c r="X287" s="1866">
        <f t="shared" si="8"/>
        <v>0</v>
      </c>
      <c r="Y287" s="23">
        <f t="shared" si="9"/>
        <v>11598584.66</v>
      </c>
    </row>
    <row r="288" spans="1:25" x14ac:dyDescent="0.25">
      <c r="A288" s="1"/>
      <c r="B288" s="1"/>
      <c r="C288" s="1"/>
      <c r="D288" s="1">
        <v>5</v>
      </c>
      <c r="E288" s="1">
        <v>2</v>
      </c>
      <c r="F288" s="1"/>
      <c r="G288" s="1"/>
      <c r="H288" s="1" t="s">
        <v>462</v>
      </c>
      <c r="I288" s="73"/>
      <c r="J288" s="1"/>
      <c r="K288" s="4" t="s">
        <v>3599</v>
      </c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1864">
        <f t="shared" si="8"/>
        <v>0</v>
      </c>
      <c r="Y288" s="23">
        <f t="shared" si="9"/>
        <v>0</v>
      </c>
    </row>
    <row r="289" spans="1:25" x14ac:dyDescent="0.25">
      <c r="A289" s="1"/>
      <c r="B289" s="1"/>
      <c r="C289" s="1"/>
      <c r="D289" s="1"/>
      <c r="E289" s="1"/>
      <c r="F289" s="1">
        <v>1</v>
      </c>
      <c r="G289" s="1"/>
      <c r="H289" s="4" t="s">
        <v>84</v>
      </c>
      <c r="I289" s="73"/>
      <c r="J289" s="1"/>
      <c r="K289" s="4" t="s">
        <v>3599</v>
      </c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1864">
        <f t="shared" si="8"/>
        <v>0</v>
      </c>
      <c r="Y289" s="23">
        <f t="shared" si="9"/>
        <v>0</v>
      </c>
    </row>
    <row r="290" spans="1:25" ht="45" x14ac:dyDescent="0.25">
      <c r="A290" s="1"/>
      <c r="B290" s="1"/>
      <c r="C290" s="1"/>
      <c r="D290" s="1"/>
      <c r="E290" s="1"/>
      <c r="F290" s="1"/>
      <c r="G290" s="1489" t="s">
        <v>3366</v>
      </c>
      <c r="H290" s="4" t="s">
        <v>3561</v>
      </c>
      <c r="I290" s="73">
        <v>140000</v>
      </c>
      <c r="J290" s="4" t="s">
        <v>3297</v>
      </c>
      <c r="K290" s="4" t="s">
        <v>3599</v>
      </c>
      <c r="L290" s="73"/>
      <c r="M290" s="73"/>
      <c r="N290" s="73"/>
      <c r="O290" s="73"/>
      <c r="P290" s="73"/>
      <c r="Q290" s="73"/>
      <c r="R290" s="73">
        <v>140000</v>
      </c>
      <c r="S290" s="73"/>
      <c r="T290" s="73"/>
      <c r="U290" s="73"/>
      <c r="V290" s="73"/>
      <c r="W290" s="73"/>
      <c r="X290" s="1864">
        <f t="shared" si="8"/>
        <v>140000</v>
      </c>
      <c r="Y290" s="23">
        <f t="shared" si="9"/>
        <v>0</v>
      </c>
    </row>
    <row r="291" spans="1:25" ht="45" x14ac:dyDescent="0.25">
      <c r="A291" s="1"/>
      <c r="B291" s="1"/>
      <c r="C291" s="1"/>
      <c r="D291" s="1"/>
      <c r="E291" s="1"/>
      <c r="F291" s="1"/>
      <c r="G291" s="1489" t="s">
        <v>3391</v>
      </c>
      <c r="H291" s="4" t="s">
        <v>307</v>
      </c>
      <c r="I291" s="73">
        <v>5400000</v>
      </c>
      <c r="J291" s="4" t="s">
        <v>3297</v>
      </c>
      <c r="K291" s="4" t="s">
        <v>3599</v>
      </c>
      <c r="L291" s="73"/>
      <c r="M291" s="73"/>
      <c r="N291" s="73"/>
      <c r="O291" s="73"/>
      <c r="P291" s="73"/>
      <c r="Q291" s="73"/>
      <c r="R291" s="73">
        <v>5400000</v>
      </c>
      <c r="S291" s="73"/>
      <c r="T291" s="73"/>
      <c r="U291" s="73"/>
      <c r="V291" s="73"/>
      <c r="W291" s="73"/>
      <c r="X291" s="1864">
        <f t="shared" si="8"/>
        <v>5400000</v>
      </c>
      <c r="Y291" s="23">
        <f t="shared" si="9"/>
        <v>0</v>
      </c>
    </row>
    <row r="292" spans="1:25" ht="45" x14ac:dyDescent="0.25">
      <c r="A292" s="1"/>
      <c r="B292" s="1"/>
      <c r="C292" s="1"/>
      <c r="D292" s="1"/>
      <c r="E292" s="1"/>
      <c r="F292" s="1"/>
      <c r="G292" s="1489" t="s">
        <v>3393</v>
      </c>
      <c r="H292" s="4" t="s">
        <v>325</v>
      </c>
      <c r="I292" s="73">
        <v>123584.66</v>
      </c>
      <c r="J292" s="4" t="s">
        <v>3297</v>
      </c>
      <c r="K292" s="4" t="s">
        <v>3599</v>
      </c>
      <c r="L292" s="73"/>
      <c r="M292" s="73"/>
      <c r="N292" s="73"/>
      <c r="O292" s="73"/>
      <c r="P292" s="73"/>
      <c r="Q292" s="73"/>
      <c r="R292" s="73">
        <v>123584.66</v>
      </c>
      <c r="S292" s="73"/>
      <c r="T292" s="73"/>
      <c r="U292" s="73"/>
      <c r="V292" s="73"/>
      <c r="W292" s="73"/>
      <c r="X292" s="1864">
        <f t="shared" si="8"/>
        <v>123584.66</v>
      </c>
      <c r="Y292" s="23">
        <f t="shared" si="9"/>
        <v>0</v>
      </c>
    </row>
    <row r="293" spans="1:25" ht="45" x14ac:dyDescent="0.25">
      <c r="A293" s="1"/>
      <c r="B293" s="1"/>
      <c r="C293" s="1"/>
      <c r="D293" s="1"/>
      <c r="E293" s="1"/>
      <c r="F293" s="1"/>
      <c r="G293" s="1489" t="s">
        <v>3394</v>
      </c>
      <c r="H293" s="4" t="s">
        <v>2583</v>
      </c>
      <c r="I293" s="73">
        <v>5270000</v>
      </c>
      <c r="J293" s="4" t="s">
        <v>3297</v>
      </c>
      <c r="K293" s="4" t="s">
        <v>3599</v>
      </c>
      <c r="L293" s="73"/>
      <c r="M293" s="73"/>
      <c r="N293" s="73"/>
      <c r="O293" s="73"/>
      <c r="P293" s="73"/>
      <c r="Q293" s="73"/>
      <c r="R293" s="73">
        <v>5270000</v>
      </c>
      <c r="S293" s="73"/>
      <c r="T293" s="73"/>
      <c r="U293" s="73"/>
      <c r="V293" s="73"/>
      <c r="W293" s="73"/>
      <c r="X293" s="1864">
        <f t="shared" si="8"/>
        <v>5270000</v>
      </c>
      <c r="Y293" s="23">
        <f t="shared" si="9"/>
        <v>0</v>
      </c>
    </row>
    <row r="294" spans="1:25" ht="14.45" customHeight="1" x14ac:dyDescent="0.25">
      <c r="A294" s="1"/>
      <c r="B294" s="1"/>
      <c r="C294" s="1"/>
      <c r="D294" s="1"/>
      <c r="E294" s="1"/>
      <c r="F294" s="1"/>
      <c r="G294" s="1">
        <v>90</v>
      </c>
      <c r="H294" s="4" t="s">
        <v>273</v>
      </c>
      <c r="I294" s="73">
        <v>65000</v>
      </c>
      <c r="J294" s="4" t="s">
        <v>3297</v>
      </c>
      <c r="K294" s="4" t="s">
        <v>3599</v>
      </c>
      <c r="L294" s="73"/>
      <c r="M294" s="73"/>
      <c r="N294" s="73"/>
      <c r="O294" s="73"/>
      <c r="P294" s="73"/>
      <c r="Q294" s="73"/>
      <c r="R294" s="73">
        <v>65000</v>
      </c>
      <c r="S294" s="73"/>
      <c r="T294" s="73"/>
      <c r="U294" s="73"/>
      <c r="V294" s="73"/>
      <c r="W294" s="73"/>
      <c r="X294" s="1864">
        <f t="shared" si="8"/>
        <v>65000</v>
      </c>
      <c r="Y294" s="23">
        <f t="shared" si="9"/>
        <v>0</v>
      </c>
    </row>
    <row r="295" spans="1:25" x14ac:dyDescent="0.25">
      <c r="A295" s="1"/>
      <c r="B295" s="1"/>
      <c r="C295" s="1"/>
      <c r="D295" s="1">
        <v>5</v>
      </c>
      <c r="E295" s="1">
        <v>2</v>
      </c>
      <c r="F295" s="1">
        <v>2</v>
      </c>
      <c r="G295" s="1"/>
      <c r="H295" s="4" t="s">
        <v>478</v>
      </c>
      <c r="I295" s="73"/>
      <c r="J295" s="1"/>
      <c r="K295" s="4" t="s">
        <v>3599</v>
      </c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1864">
        <f t="shared" si="8"/>
        <v>0</v>
      </c>
      <c r="Y295" s="23">
        <f t="shared" si="9"/>
        <v>0</v>
      </c>
    </row>
    <row r="296" spans="1:25" ht="45" x14ac:dyDescent="0.25">
      <c r="A296" s="1"/>
      <c r="B296" s="1"/>
      <c r="C296" s="1"/>
      <c r="D296" s="1"/>
      <c r="E296" s="1"/>
      <c r="F296" s="1"/>
      <c r="G296" s="1489" t="s">
        <v>3389</v>
      </c>
      <c r="H296" s="4" t="s">
        <v>842</v>
      </c>
      <c r="I296" s="73">
        <v>600000</v>
      </c>
      <c r="J296" s="4" t="s">
        <v>3297</v>
      </c>
      <c r="K296" s="4" t="s">
        <v>3599</v>
      </c>
      <c r="L296" s="73"/>
      <c r="M296" s="73"/>
      <c r="N296" s="73"/>
      <c r="O296" s="73"/>
      <c r="P296" s="73"/>
      <c r="Q296" s="73"/>
      <c r="R296" s="73">
        <v>600000</v>
      </c>
      <c r="S296" s="73"/>
      <c r="T296" s="73"/>
      <c r="U296" s="73"/>
      <c r="V296" s="73"/>
      <c r="W296" s="73"/>
      <c r="X296" s="1864">
        <f t="shared" si="8"/>
        <v>600000</v>
      </c>
      <c r="Y296" s="23">
        <f t="shared" si="9"/>
        <v>0</v>
      </c>
    </row>
    <row r="297" spans="1:25" ht="28.9" customHeight="1" x14ac:dyDescent="0.25">
      <c r="A297" s="865">
        <v>3</v>
      </c>
      <c r="B297" s="865">
        <v>4</v>
      </c>
      <c r="C297" s="1490" t="s">
        <v>3389</v>
      </c>
      <c r="D297" s="865"/>
      <c r="E297" s="865"/>
      <c r="F297" s="865"/>
      <c r="G297" s="865"/>
      <c r="H297" s="1061" t="s">
        <v>1534</v>
      </c>
      <c r="I297" s="1063">
        <v>68435000</v>
      </c>
      <c r="J297" s="865"/>
      <c r="K297" s="1061" t="s">
        <v>3599</v>
      </c>
      <c r="L297" s="1063"/>
      <c r="M297" s="1063"/>
      <c r="N297" s="1063"/>
      <c r="O297" s="1063"/>
      <c r="P297" s="1063"/>
      <c r="Q297" s="1063"/>
      <c r="R297" s="1063"/>
      <c r="S297" s="1063"/>
      <c r="T297" s="1063"/>
      <c r="U297" s="1063"/>
      <c r="V297" s="1063"/>
      <c r="W297" s="1063"/>
      <c r="X297" s="1866">
        <f t="shared" si="8"/>
        <v>0</v>
      </c>
      <c r="Y297" s="23">
        <f t="shared" si="9"/>
        <v>68435000</v>
      </c>
    </row>
    <row r="298" spans="1:25" ht="43.15" customHeight="1" x14ac:dyDescent="0.25">
      <c r="A298" s="1"/>
      <c r="B298" s="1"/>
      <c r="C298" s="1"/>
      <c r="D298" s="1">
        <v>5</v>
      </c>
      <c r="E298" s="1">
        <v>2</v>
      </c>
      <c r="F298" s="1"/>
      <c r="G298" s="1"/>
      <c r="H298" s="4" t="s">
        <v>277</v>
      </c>
      <c r="I298" s="73"/>
      <c r="J298" s="1"/>
      <c r="K298" s="4" t="s">
        <v>3599</v>
      </c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1864">
        <f t="shared" si="8"/>
        <v>0</v>
      </c>
      <c r="Y298" s="23">
        <f t="shared" si="9"/>
        <v>0</v>
      </c>
    </row>
    <row r="299" spans="1:25" x14ac:dyDescent="0.25">
      <c r="A299" s="1"/>
      <c r="B299" s="1"/>
      <c r="C299" s="1"/>
      <c r="D299" s="1"/>
      <c r="E299" s="1"/>
      <c r="F299" s="1">
        <v>1</v>
      </c>
      <c r="G299" s="1"/>
      <c r="H299" s="4" t="s">
        <v>84</v>
      </c>
      <c r="I299" s="73"/>
      <c r="J299" s="1"/>
      <c r="K299" s="4" t="s">
        <v>3599</v>
      </c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1864">
        <f t="shared" si="8"/>
        <v>0</v>
      </c>
      <c r="Y299" s="23">
        <f t="shared" si="9"/>
        <v>0</v>
      </c>
    </row>
    <row r="300" spans="1:25" ht="30" x14ac:dyDescent="0.25">
      <c r="A300" s="1"/>
      <c r="B300" s="1"/>
      <c r="C300" s="1"/>
      <c r="D300" s="1"/>
      <c r="E300" s="1"/>
      <c r="F300" s="1"/>
      <c r="G300" s="1489" t="s">
        <v>3366</v>
      </c>
      <c r="H300" s="4" t="s">
        <v>679</v>
      </c>
      <c r="I300" s="73">
        <v>1750000</v>
      </c>
      <c r="J300" s="1" t="s">
        <v>1220</v>
      </c>
      <c r="K300" s="4" t="s">
        <v>3599</v>
      </c>
      <c r="L300" s="73"/>
      <c r="M300" s="73">
        <v>1750000</v>
      </c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1864">
        <f t="shared" si="8"/>
        <v>1750000</v>
      </c>
      <c r="Y300" s="23">
        <f t="shared" si="9"/>
        <v>0</v>
      </c>
    </row>
    <row r="301" spans="1:25" ht="30" x14ac:dyDescent="0.25">
      <c r="A301" s="1"/>
      <c r="B301" s="1"/>
      <c r="C301" s="1"/>
      <c r="D301" s="1"/>
      <c r="E301" s="1"/>
      <c r="F301" s="1"/>
      <c r="G301" s="1489" t="s">
        <v>3391</v>
      </c>
      <c r="H301" s="4" t="s">
        <v>307</v>
      </c>
      <c r="I301" s="73">
        <v>800000</v>
      </c>
      <c r="J301" s="1" t="s">
        <v>1220</v>
      </c>
      <c r="K301" s="4" t="s">
        <v>3599</v>
      </c>
      <c r="L301" s="73"/>
      <c r="M301" s="73">
        <v>800000</v>
      </c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1864">
        <f t="shared" si="8"/>
        <v>800000</v>
      </c>
      <c r="Y301" s="23">
        <f t="shared" si="9"/>
        <v>0</v>
      </c>
    </row>
    <row r="302" spans="1:25" ht="45" x14ac:dyDescent="0.25">
      <c r="A302" s="1"/>
      <c r="B302" s="1"/>
      <c r="C302" s="1"/>
      <c r="D302" s="1"/>
      <c r="E302" s="1"/>
      <c r="F302" s="1"/>
      <c r="G302" s="1489" t="s">
        <v>3391</v>
      </c>
      <c r="H302" s="4" t="s">
        <v>307</v>
      </c>
      <c r="I302" s="73">
        <v>9600000</v>
      </c>
      <c r="J302" s="4" t="s">
        <v>3297</v>
      </c>
      <c r="K302" s="4" t="s">
        <v>3599</v>
      </c>
      <c r="L302" s="73"/>
      <c r="M302" s="73">
        <v>9600000</v>
      </c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1864">
        <f t="shared" si="8"/>
        <v>9600000</v>
      </c>
      <c r="Y302" s="23">
        <f t="shared" si="9"/>
        <v>0</v>
      </c>
    </row>
    <row r="303" spans="1:25" ht="30" x14ac:dyDescent="0.25">
      <c r="A303" s="1"/>
      <c r="B303" s="1"/>
      <c r="C303" s="1"/>
      <c r="D303" s="1"/>
      <c r="E303" s="1"/>
      <c r="F303" s="1"/>
      <c r="G303" s="1489" t="s">
        <v>3393</v>
      </c>
      <c r="H303" s="4" t="s">
        <v>325</v>
      </c>
      <c r="I303" s="73">
        <v>90000</v>
      </c>
      <c r="J303" s="1" t="s">
        <v>1220</v>
      </c>
      <c r="K303" s="4" t="s">
        <v>3599</v>
      </c>
      <c r="L303" s="73"/>
      <c r="M303" s="73">
        <v>90000</v>
      </c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1864">
        <f t="shared" si="8"/>
        <v>90000</v>
      </c>
      <c r="Y303" s="23">
        <f t="shared" si="9"/>
        <v>0</v>
      </c>
    </row>
    <row r="304" spans="1:25" ht="30" x14ac:dyDescent="0.25">
      <c r="A304" s="1"/>
      <c r="B304" s="1"/>
      <c r="C304" s="1"/>
      <c r="D304" s="1"/>
      <c r="E304" s="1"/>
      <c r="F304" s="1"/>
      <c r="G304" s="1489" t="s">
        <v>3394</v>
      </c>
      <c r="H304" s="4" t="s">
        <v>746</v>
      </c>
      <c r="I304" s="73">
        <v>35595000</v>
      </c>
      <c r="J304" s="1" t="s">
        <v>1220</v>
      </c>
      <c r="K304" s="4" t="s">
        <v>3599</v>
      </c>
      <c r="L304" s="73"/>
      <c r="M304" s="73">
        <v>35595000</v>
      </c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1864">
        <f t="shared" si="8"/>
        <v>35595000</v>
      </c>
      <c r="Y304" s="23">
        <f t="shared" si="9"/>
        <v>0</v>
      </c>
    </row>
    <row r="305" spans="1:25" x14ac:dyDescent="0.25">
      <c r="A305" s="1"/>
      <c r="B305" s="1"/>
      <c r="C305" s="1"/>
      <c r="D305" s="1">
        <v>5</v>
      </c>
      <c r="E305" s="1">
        <v>2</v>
      </c>
      <c r="F305" s="1">
        <v>2</v>
      </c>
      <c r="G305" s="1"/>
      <c r="H305" s="4" t="s">
        <v>349</v>
      </c>
      <c r="I305" s="73"/>
      <c r="J305" s="1"/>
      <c r="K305" s="4" t="s">
        <v>3599</v>
      </c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1864">
        <f t="shared" si="8"/>
        <v>0</v>
      </c>
      <c r="Y305" s="23">
        <f t="shared" si="9"/>
        <v>0</v>
      </c>
    </row>
    <row r="306" spans="1:25" ht="45" x14ac:dyDescent="0.25">
      <c r="A306" s="1"/>
      <c r="B306" s="1"/>
      <c r="C306" s="1"/>
      <c r="D306" s="1"/>
      <c r="E306" s="1"/>
      <c r="F306" s="1"/>
      <c r="G306" s="1489" t="s">
        <v>3390</v>
      </c>
      <c r="H306" s="4" t="s">
        <v>1536</v>
      </c>
      <c r="I306" s="73">
        <v>600000</v>
      </c>
      <c r="J306" s="1" t="s">
        <v>1220</v>
      </c>
      <c r="K306" s="4" t="s">
        <v>3599</v>
      </c>
      <c r="L306" s="73"/>
      <c r="M306" s="73">
        <v>600000</v>
      </c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1864">
        <f t="shared" si="8"/>
        <v>600000</v>
      </c>
      <c r="Y306" s="23">
        <f t="shared" si="9"/>
        <v>0</v>
      </c>
    </row>
    <row r="307" spans="1:25" x14ac:dyDescent="0.25">
      <c r="A307" s="1"/>
      <c r="B307" s="1"/>
      <c r="C307" s="1"/>
      <c r="D307" s="1">
        <v>5</v>
      </c>
      <c r="E307" s="1">
        <v>2</v>
      </c>
      <c r="F307" s="1">
        <v>4</v>
      </c>
      <c r="G307" s="1"/>
      <c r="H307" s="4" t="s">
        <v>442</v>
      </c>
      <c r="I307" s="73"/>
      <c r="J307" s="1"/>
      <c r="K307" s="4" t="s">
        <v>3599</v>
      </c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1864">
        <f t="shared" si="8"/>
        <v>0</v>
      </c>
      <c r="Y307" s="23">
        <f t="shared" si="9"/>
        <v>0</v>
      </c>
    </row>
    <row r="308" spans="1:25" ht="43.15" customHeight="1" x14ac:dyDescent="0.25">
      <c r="A308" s="1"/>
      <c r="B308" s="1"/>
      <c r="C308" s="1"/>
      <c r="D308" s="1"/>
      <c r="E308" s="1"/>
      <c r="F308" s="1"/>
      <c r="G308" s="1489" t="s">
        <v>3388</v>
      </c>
      <c r="H308" s="4" t="s">
        <v>3514</v>
      </c>
      <c r="I308" s="73">
        <v>20000000</v>
      </c>
      <c r="J308" s="1" t="s">
        <v>1223</v>
      </c>
      <c r="K308" s="4" t="s">
        <v>3599</v>
      </c>
      <c r="L308" s="73"/>
      <c r="M308" s="73">
        <v>20000000</v>
      </c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1864">
        <f t="shared" si="8"/>
        <v>20000000</v>
      </c>
      <c r="Y308" s="23">
        <f t="shared" si="9"/>
        <v>0</v>
      </c>
    </row>
    <row r="309" spans="1:25" ht="45" x14ac:dyDescent="0.25">
      <c r="A309" s="865">
        <v>3</v>
      </c>
      <c r="B309" s="865">
        <v>4</v>
      </c>
      <c r="C309" s="1490" t="s">
        <v>3389</v>
      </c>
      <c r="D309" s="865"/>
      <c r="E309" s="865"/>
      <c r="F309" s="865"/>
      <c r="G309" s="865"/>
      <c r="H309" s="1061" t="s">
        <v>955</v>
      </c>
      <c r="I309" s="1063">
        <v>11628000</v>
      </c>
      <c r="J309" s="1061"/>
      <c r="K309" s="1061" t="s">
        <v>3599</v>
      </c>
      <c r="L309" s="1063"/>
      <c r="M309" s="1063"/>
      <c r="N309" s="1063"/>
      <c r="O309" s="1063"/>
      <c r="P309" s="1063"/>
      <c r="Q309" s="1063"/>
      <c r="R309" s="1063"/>
      <c r="S309" s="1063"/>
      <c r="T309" s="1063"/>
      <c r="U309" s="1063"/>
      <c r="V309" s="1063"/>
      <c r="W309" s="1063"/>
      <c r="X309" s="1866">
        <f t="shared" si="8"/>
        <v>0</v>
      </c>
      <c r="Y309" s="23">
        <f t="shared" si="9"/>
        <v>11628000</v>
      </c>
    </row>
    <row r="310" spans="1:25" x14ac:dyDescent="0.25">
      <c r="A310" s="1"/>
      <c r="B310" s="1"/>
      <c r="C310" s="1"/>
      <c r="D310" s="1">
        <v>5</v>
      </c>
      <c r="E310" s="1">
        <v>2</v>
      </c>
      <c r="F310" s="1"/>
      <c r="G310" s="1"/>
      <c r="H310" s="4" t="s">
        <v>277</v>
      </c>
      <c r="I310" s="73"/>
      <c r="J310" s="1"/>
      <c r="K310" s="4" t="s">
        <v>3599</v>
      </c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1864">
        <f t="shared" si="8"/>
        <v>0</v>
      </c>
      <c r="Y310" s="23">
        <f t="shared" si="9"/>
        <v>0</v>
      </c>
    </row>
    <row r="311" spans="1:25" ht="28.9" customHeight="1" x14ac:dyDescent="0.25">
      <c r="A311" s="1"/>
      <c r="B311" s="1"/>
      <c r="C311" s="1"/>
      <c r="D311" s="1"/>
      <c r="E311" s="1"/>
      <c r="F311" s="1">
        <v>1</v>
      </c>
      <c r="G311" s="1"/>
      <c r="H311" s="4" t="s">
        <v>84</v>
      </c>
      <c r="I311" s="73"/>
      <c r="J311" s="1"/>
      <c r="K311" s="4" t="s">
        <v>3599</v>
      </c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1864">
        <f t="shared" si="8"/>
        <v>0</v>
      </c>
      <c r="Y311" s="23">
        <f t="shared" si="9"/>
        <v>0</v>
      </c>
    </row>
    <row r="312" spans="1:25" ht="45" x14ac:dyDescent="0.25">
      <c r="A312" s="1"/>
      <c r="B312" s="1"/>
      <c r="C312" s="1"/>
      <c r="D312" s="1"/>
      <c r="E312" s="1"/>
      <c r="F312" s="1"/>
      <c r="G312" s="1489" t="s">
        <v>3366</v>
      </c>
      <c r="H312" s="4" t="s">
        <v>278</v>
      </c>
      <c r="I312" s="73">
        <v>714000</v>
      </c>
      <c r="J312" s="4" t="s">
        <v>3297</v>
      </c>
      <c r="K312" s="4" t="s">
        <v>3599</v>
      </c>
      <c r="L312" s="73"/>
      <c r="M312" s="73"/>
      <c r="N312" s="73"/>
      <c r="O312" s="73"/>
      <c r="P312" s="73"/>
      <c r="Q312" s="73"/>
      <c r="R312" s="73">
        <v>714000</v>
      </c>
      <c r="S312" s="73"/>
      <c r="T312" s="73"/>
      <c r="U312" s="73"/>
      <c r="V312" s="73"/>
      <c r="W312" s="73"/>
      <c r="X312" s="1864">
        <f t="shared" si="8"/>
        <v>714000</v>
      </c>
      <c r="Y312" s="23">
        <f t="shared" si="9"/>
        <v>0</v>
      </c>
    </row>
    <row r="313" spans="1:25" ht="30" x14ac:dyDescent="0.25">
      <c r="A313" s="1"/>
      <c r="B313" s="1"/>
      <c r="C313" s="1"/>
      <c r="D313" s="1"/>
      <c r="E313" s="1"/>
      <c r="F313" s="1"/>
      <c r="G313" s="1489" t="s">
        <v>3390</v>
      </c>
      <c r="H313" s="4" t="s">
        <v>328</v>
      </c>
      <c r="I313" s="73">
        <v>4144000</v>
      </c>
      <c r="J313" s="4" t="s">
        <v>1775</v>
      </c>
      <c r="K313" s="4" t="s">
        <v>3599</v>
      </c>
      <c r="L313" s="73"/>
      <c r="M313" s="73"/>
      <c r="N313" s="73"/>
      <c r="O313" s="73"/>
      <c r="P313" s="73"/>
      <c r="Q313" s="73"/>
      <c r="R313" s="73">
        <v>4144000</v>
      </c>
      <c r="S313" s="73"/>
      <c r="T313" s="73"/>
      <c r="U313" s="73"/>
      <c r="V313" s="73"/>
      <c r="W313" s="73"/>
      <c r="X313" s="1864">
        <f t="shared" si="8"/>
        <v>4144000</v>
      </c>
      <c r="Y313" s="23">
        <f t="shared" si="9"/>
        <v>0</v>
      </c>
    </row>
    <row r="314" spans="1:25" ht="28.9" customHeight="1" x14ac:dyDescent="0.25">
      <c r="A314" s="1"/>
      <c r="B314" s="1"/>
      <c r="C314" s="1"/>
      <c r="D314" s="1"/>
      <c r="E314" s="1"/>
      <c r="F314" s="1"/>
      <c r="G314" s="1489" t="s">
        <v>3391</v>
      </c>
      <c r="H314" s="4" t="s">
        <v>307</v>
      </c>
      <c r="I314" s="73">
        <v>420000</v>
      </c>
      <c r="J314" s="4" t="s">
        <v>3297</v>
      </c>
      <c r="K314" s="4" t="s">
        <v>3599</v>
      </c>
      <c r="L314" s="73"/>
      <c r="M314" s="73"/>
      <c r="N314" s="73"/>
      <c r="O314" s="73"/>
      <c r="P314" s="73"/>
      <c r="Q314" s="73"/>
      <c r="R314" s="73">
        <v>420000</v>
      </c>
      <c r="S314" s="73"/>
      <c r="T314" s="73"/>
      <c r="U314" s="73"/>
      <c r="V314" s="73"/>
      <c r="W314" s="73"/>
      <c r="X314" s="1864">
        <f t="shared" si="8"/>
        <v>420000</v>
      </c>
      <c r="Y314" s="23">
        <f t="shared" si="9"/>
        <v>0</v>
      </c>
    </row>
    <row r="315" spans="1:25" ht="45" x14ac:dyDescent="0.25">
      <c r="A315" s="1"/>
      <c r="B315" s="1"/>
      <c r="C315" s="1"/>
      <c r="D315" s="1"/>
      <c r="E315" s="1"/>
      <c r="F315" s="1"/>
      <c r="G315" s="1489" t="s">
        <v>3393</v>
      </c>
      <c r="H315" s="4" t="s">
        <v>3516</v>
      </c>
      <c r="I315" s="73">
        <v>90000</v>
      </c>
      <c r="J315" s="4" t="s">
        <v>3297</v>
      </c>
      <c r="K315" s="4" t="s">
        <v>3599</v>
      </c>
      <c r="L315" s="73"/>
      <c r="M315" s="73"/>
      <c r="N315" s="73"/>
      <c r="O315" s="73"/>
      <c r="P315" s="73"/>
      <c r="Q315" s="73"/>
      <c r="R315" s="73">
        <v>90000</v>
      </c>
      <c r="S315" s="73"/>
      <c r="T315" s="73"/>
      <c r="U315" s="73"/>
      <c r="V315" s="73"/>
      <c r="W315" s="73"/>
      <c r="X315" s="1864">
        <f t="shared" si="8"/>
        <v>90000</v>
      </c>
      <c r="Y315" s="23">
        <f t="shared" si="9"/>
        <v>0</v>
      </c>
    </row>
    <row r="316" spans="1:25" ht="28.9" customHeight="1" x14ac:dyDescent="0.25">
      <c r="A316" s="1"/>
      <c r="B316" s="1"/>
      <c r="C316" s="1"/>
      <c r="D316" s="1"/>
      <c r="E316" s="1"/>
      <c r="F316" s="1"/>
      <c r="G316" s="1">
        <v>90</v>
      </c>
      <c r="H316" s="4" t="s">
        <v>273</v>
      </c>
      <c r="I316" s="73">
        <v>50000</v>
      </c>
      <c r="J316" s="4" t="s">
        <v>3297</v>
      </c>
      <c r="K316" s="4" t="s">
        <v>3599</v>
      </c>
      <c r="L316" s="73"/>
      <c r="M316" s="73"/>
      <c r="N316" s="73"/>
      <c r="O316" s="73"/>
      <c r="P316" s="73"/>
      <c r="Q316" s="73"/>
      <c r="R316" s="73">
        <v>50000</v>
      </c>
      <c r="S316" s="73"/>
      <c r="T316" s="73"/>
      <c r="U316" s="73"/>
      <c r="V316" s="73"/>
      <c r="W316" s="73"/>
      <c r="X316" s="1864">
        <f t="shared" si="8"/>
        <v>50000</v>
      </c>
      <c r="Y316" s="23">
        <f t="shared" si="9"/>
        <v>0</v>
      </c>
    </row>
    <row r="317" spans="1:25" ht="28.9" customHeight="1" x14ac:dyDescent="0.25">
      <c r="A317" s="1"/>
      <c r="B317" s="1"/>
      <c r="C317" s="1"/>
      <c r="D317" s="1">
        <v>5</v>
      </c>
      <c r="E317" s="1">
        <v>2</v>
      </c>
      <c r="F317" s="1">
        <v>2</v>
      </c>
      <c r="G317" s="1"/>
      <c r="H317" s="4" t="s">
        <v>294</v>
      </c>
      <c r="I317" s="73"/>
      <c r="J317" s="4"/>
      <c r="K317" s="4" t="s">
        <v>3599</v>
      </c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1864">
        <f t="shared" si="8"/>
        <v>0</v>
      </c>
      <c r="Y317" s="23">
        <f t="shared" si="9"/>
        <v>0</v>
      </c>
    </row>
    <row r="318" spans="1:25" ht="43.15" customHeight="1" x14ac:dyDescent="0.25">
      <c r="A318" s="1"/>
      <c r="B318" s="1"/>
      <c r="C318" s="1"/>
      <c r="D318" s="1"/>
      <c r="E318" s="1"/>
      <c r="F318" s="1"/>
      <c r="G318" s="1489" t="s">
        <v>3389</v>
      </c>
      <c r="H318" s="4" t="s">
        <v>411</v>
      </c>
      <c r="I318" s="73">
        <v>300000</v>
      </c>
      <c r="J318" s="4" t="s">
        <v>3297</v>
      </c>
      <c r="K318" s="4" t="s">
        <v>3599</v>
      </c>
      <c r="L318" s="73"/>
      <c r="M318" s="73"/>
      <c r="N318" s="73"/>
      <c r="O318" s="73"/>
      <c r="P318" s="73"/>
      <c r="Q318" s="73"/>
      <c r="R318" s="73">
        <v>300000</v>
      </c>
      <c r="S318" s="73"/>
      <c r="T318" s="73"/>
      <c r="U318" s="73"/>
      <c r="V318" s="73"/>
      <c r="W318" s="73"/>
      <c r="X318" s="1864">
        <f t="shared" si="8"/>
        <v>300000</v>
      </c>
      <c r="Y318" s="23">
        <f t="shared" si="9"/>
        <v>0</v>
      </c>
    </row>
    <row r="319" spans="1:25" ht="43.15" customHeight="1" x14ac:dyDescent="0.25">
      <c r="A319" s="1"/>
      <c r="B319" s="1"/>
      <c r="C319" s="1"/>
      <c r="D319" s="1"/>
      <c r="E319" s="1"/>
      <c r="F319" s="1"/>
      <c r="G319" s="1489" t="s">
        <v>3390</v>
      </c>
      <c r="H319" s="4" t="s">
        <v>333</v>
      </c>
      <c r="I319" s="73">
        <v>5910000</v>
      </c>
      <c r="J319" s="4" t="s">
        <v>3297</v>
      </c>
      <c r="K319" s="4" t="s">
        <v>3599</v>
      </c>
      <c r="L319" s="73"/>
      <c r="M319" s="73"/>
      <c r="N319" s="73"/>
      <c r="O319" s="73"/>
      <c r="P319" s="73"/>
      <c r="Q319" s="73"/>
      <c r="R319" s="73">
        <v>5910000</v>
      </c>
      <c r="S319" s="73"/>
      <c r="T319" s="73"/>
      <c r="U319" s="73"/>
      <c r="V319" s="73"/>
      <c r="W319" s="73"/>
      <c r="X319" s="1864">
        <f t="shared" si="8"/>
        <v>5910000</v>
      </c>
      <c r="Y319" s="23">
        <f t="shared" si="9"/>
        <v>0</v>
      </c>
    </row>
    <row r="320" spans="1:25" ht="30" x14ac:dyDescent="0.25">
      <c r="A320" s="1869">
        <v>4</v>
      </c>
      <c r="B320" s="1869"/>
      <c r="C320" s="1869"/>
      <c r="D320" s="1869"/>
      <c r="E320" s="1869"/>
      <c r="F320" s="1869"/>
      <c r="G320" s="1869"/>
      <c r="H320" s="1870" t="s">
        <v>3604</v>
      </c>
      <c r="I320" s="1871">
        <f>I321+I331+I342+I351+I362</f>
        <v>41993000</v>
      </c>
      <c r="J320" s="1869"/>
      <c r="K320" s="1870"/>
      <c r="L320" s="1871"/>
      <c r="M320" s="1871"/>
      <c r="N320" s="1871"/>
      <c r="O320" s="1871"/>
      <c r="P320" s="1871"/>
      <c r="Q320" s="1871"/>
      <c r="R320" s="1871"/>
      <c r="S320" s="1871"/>
      <c r="T320" s="1871"/>
      <c r="U320" s="1871"/>
      <c r="V320" s="1871"/>
      <c r="W320" s="1871"/>
      <c r="X320" s="1872">
        <f t="shared" si="8"/>
        <v>0</v>
      </c>
      <c r="Y320" s="23">
        <f t="shared" si="9"/>
        <v>41993000</v>
      </c>
    </row>
    <row r="321" spans="1:25" ht="45" x14ac:dyDescent="0.25">
      <c r="A321" s="865">
        <v>4</v>
      </c>
      <c r="B321" s="865">
        <v>3</v>
      </c>
      <c r="C321" s="1490" t="s">
        <v>3366</v>
      </c>
      <c r="D321" s="865"/>
      <c r="E321" s="865"/>
      <c r="F321" s="865"/>
      <c r="G321" s="865"/>
      <c r="H321" s="1061" t="s">
        <v>1567</v>
      </c>
      <c r="I321" s="1063">
        <v>1820000</v>
      </c>
      <c r="J321" s="1061" t="s">
        <v>3297</v>
      </c>
      <c r="K321" s="1061" t="s">
        <v>3599</v>
      </c>
      <c r="L321" s="1063"/>
      <c r="M321" s="1063"/>
      <c r="N321" s="1063"/>
      <c r="O321" s="1063"/>
      <c r="P321" s="1063"/>
      <c r="Q321" s="1063"/>
      <c r="R321" s="1063"/>
      <c r="S321" s="1063"/>
      <c r="T321" s="1063"/>
      <c r="U321" s="1063"/>
      <c r="V321" s="1063"/>
      <c r="W321" s="1063"/>
      <c r="X321" s="1866">
        <f t="shared" si="8"/>
        <v>0</v>
      </c>
      <c r="Y321" s="23">
        <f t="shared" si="9"/>
        <v>1820000</v>
      </c>
    </row>
    <row r="322" spans="1:25" ht="28.9" customHeight="1" x14ac:dyDescent="0.25">
      <c r="A322" s="1"/>
      <c r="B322" s="1"/>
      <c r="C322" s="1"/>
      <c r="D322" s="1">
        <v>5</v>
      </c>
      <c r="E322" s="1">
        <v>2</v>
      </c>
      <c r="F322" s="1"/>
      <c r="G322" s="1"/>
      <c r="H322" s="4" t="s">
        <v>277</v>
      </c>
      <c r="I322" s="73"/>
      <c r="J322" s="1"/>
      <c r="K322" s="4" t="s">
        <v>3599</v>
      </c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1864">
        <f t="shared" si="8"/>
        <v>0</v>
      </c>
      <c r="Y322" s="23">
        <f t="shared" si="9"/>
        <v>0</v>
      </c>
    </row>
    <row r="323" spans="1:25" x14ac:dyDescent="0.25">
      <c r="A323" s="1"/>
      <c r="B323" s="1"/>
      <c r="C323" s="1"/>
      <c r="D323" s="1"/>
      <c r="E323" s="1"/>
      <c r="F323" s="1">
        <v>1</v>
      </c>
      <c r="G323" s="1"/>
      <c r="H323" s="4" t="s">
        <v>84</v>
      </c>
      <c r="I323" s="73"/>
      <c r="J323" s="1"/>
      <c r="K323" s="4" t="s">
        <v>3599</v>
      </c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1864">
        <f t="shared" si="8"/>
        <v>0</v>
      </c>
      <c r="Y323" s="23">
        <f t="shared" si="9"/>
        <v>0</v>
      </c>
    </row>
    <row r="324" spans="1:25" ht="45" x14ac:dyDescent="0.25">
      <c r="A324" s="1"/>
      <c r="B324" s="1"/>
      <c r="C324" s="1"/>
      <c r="D324" s="1"/>
      <c r="E324" s="1"/>
      <c r="F324" s="1"/>
      <c r="G324" s="1489" t="s">
        <v>3366</v>
      </c>
      <c r="H324" s="4" t="s">
        <v>3559</v>
      </c>
      <c r="I324" s="73">
        <v>280000</v>
      </c>
      <c r="J324" s="4" t="s">
        <v>3297</v>
      </c>
      <c r="K324" s="4" t="s">
        <v>3599</v>
      </c>
      <c r="L324" s="73"/>
      <c r="M324" s="73"/>
      <c r="N324" s="73"/>
      <c r="O324" s="73"/>
      <c r="P324" s="73">
        <v>280000</v>
      </c>
      <c r="Q324" s="73"/>
      <c r="R324" s="73"/>
      <c r="S324" s="73"/>
      <c r="T324" s="73"/>
      <c r="U324" s="73"/>
      <c r="V324" s="73"/>
      <c r="W324" s="73"/>
      <c r="X324" s="1864">
        <f t="shared" si="8"/>
        <v>280000</v>
      </c>
      <c r="Y324" s="23">
        <f t="shared" si="9"/>
        <v>0</v>
      </c>
    </row>
    <row r="325" spans="1:25" ht="28.9" customHeight="1" x14ac:dyDescent="0.25">
      <c r="A325" s="1"/>
      <c r="B325" s="1"/>
      <c r="C325" s="1"/>
      <c r="D325" s="1"/>
      <c r="E325" s="1"/>
      <c r="F325" s="1"/>
      <c r="G325" s="1489" t="s">
        <v>3391</v>
      </c>
      <c r="H325" s="4" t="s">
        <v>307</v>
      </c>
      <c r="I325" s="73">
        <v>800000</v>
      </c>
      <c r="J325" s="4" t="s">
        <v>3297</v>
      </c>
      <c r="K325" s="4" t="s">
        <v>3599</v>
      </c>
      <c r="L325" s="73"/>
      <c r="M325" s="73"/>
      <c r="N325" s="73"/>
      <c r="O325" s="73"/>
      <c r="P325" s="73">
        <v>800000</v>
      </c>
      <c r="Q325" s="73"/>
      <c r="R325" s="73"/>
      <c r="S325" s="73"/>
      <c r="T325" s="73"/>
      <c r="U325" s="73"/>
      <c r="V325" s="73"/>
      <c r="W325" s="73"/>
      <c r="X325" s="1864">
        <f t="shared" si="8"/>
        <v>800000</v>
      </c>
      <c r="Y325" s="23">
        <f t="shared" si="9"/>
        <v>0</v>
      </c>
    </row>
    <row r="326" spans="1:25" ht="45" x14ac:dyDescent="0.25">
      <c r="A326" s="1"/>
      <c r="B326" s="1"/>
      <c r="C326" s="1"/>
      <c r="D326" s="1"/>
      <c r="E326" s="1"/>
      <c r="F326" s="1"/>
      <c r="G326" s="1489" t="s">
        <v>3393</v>
      </c>
      <c r="H326" s="4" t="s">
        <v>325</v>
      </c>
      <c r="I326" s="73">
        <v>90000</v>
      </c>
      <c r="J326" s="4" t="s">
        <v>3297</v>
      </c>
      <c r="K326" s="4" t="s">
        <v>3599</v>
      </c>
      <c r="L326" s="73"/>
      <c r="M326" s="73"/>
      <c r="N326" s="73"/>
      <c r="O326" s="73"/>
      <c r="P326" s="73">
        <v>90000</v>
      </c>
      <c r="Q326" s="73"/>
      <c r="R326" s="73"/>
      <c r="S326" s="73"/>
      <c r="T326" s="73"/>
      <c r="U326" s="73"/>
      <c r="V326" s="73"/>
      <c r="W326" s="73"/>
      <c r="X326" s="1864">
        <f t="shared" si="8"/>
        <v>90000</v>
      </c>
      <c r="Y326" s="23">
        <f t="shared" si="9"/>
        <v>0</v>
      </c>
    </row>
    <row r="327" spans="1:25" ht="28.9" customHeight="1" x14ac:dyDescent="0.25">
      <c r="A327" s="1"/>
      <c r="B327" s="1"/>
      <c r="C327" s="1"/>
      <c r="D327" s="1"/>
      <c r="E327" s="1"/>
      <c r="F327" s="1"/>
      <c r="G327" s="1489">
        <v>90</v>
      </c>
      <c r="H327" s="4" t="s">
        <v>3557</v>
      </c>
      <c r="I327" s="73">
        <v>50000</v>
      </c>
      <c r="J327" s="4" t="s">
        <v>3297</v>
      </c>
      <c r="K327" s="4" t="s">
        <v>3599</v>
      </c>
      <c r="L327" s="73"/>
      <c r="M327" s="73"/>
      <c r="N327" s="73"/>
      <c r="O327" s="73"/>
      <c r="P327" s="73">
        <v>50000</v>
      </c>
      <c r="Q327" s="73"/>
      <c r="R327" s="73"/>
      <c r="S327" s="73"/>
      <c r="T327" s="73"/>
      <c r="U327" s="73"/>
      <c r="V327" s="73"/>
      <c r="W327" s="73"/>
      <c r="X327" s="1864">
        <f t="shared" si="8"/>
        <v>50000</v>
      </c>
      <c r="Y327" s="23">
        <f t="shared" si="9"/>
        <v>0</v>
      </c>
    </row>
    <row r="328" spans="1:25" ht="72" customHeight="1" x14ac:dyDescent="0.25">
      <c r="A328" s="1"/>
      <c r="B328" s="1"/>
      <c r="C328" s="1"/>
      <c r="D328" s="1">
        <v>5</v>
      </c>
      <c r="E328" s="1">
        <v>2</v>
      </c>
      <c r="F328" s="1">
        <v>2</v>
      </c>
      <c r="G328" s="1"/>
      <c r="H328" s="1" t="s">
        <v>294</v>
      </c>
      <c r="I328" s="73"/>
      <c r="J328" s="1"/>
      <c r="K328" s="4" t="s">
        <v>3599</v>
      </c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1864">
        <f t="shared" si="8"/>
        <v>0</v>
      </c>
      <c r="Y328" s="23">
        <f t="shared" si="9"/>
        <v>0</v>
      </c>
    </row>
    <row r="329" spans="1:25" ht="45" x14ac:dyDescent="0.25">
      <c r="A329" s="1"/>
      <c r="B329" s="1"/>
      <c r="C329" s="1"/>
      <c r="D329" s="1"/>
      <c r="E329" s="1"/>
      <c r="F329" s="1"/>
      <c r="G329" s="1489" t="s">
        <v>3389</v>
      </c>
      <c r="H329" s="4" t="s">
        <v>656</v>
      </c>
      <c r="I329" s="73">
        <v>600000</v>
      </c>
      <c r="J329" s="4" t="s">
        <v>3297</v>
      </c>
      <c r="K329" s="4" t="s">
        <v>3599</v>
      </c>
      <c r="L329" s="73"/>
      <c r="M329" s="73"/>
      <c r="N329" s="73"/>
      <c r="O329" s="73"/>
      <c r="P329" s="73">
        <v>600000</v>
      </c>
      <c r="Q329" s="73"/>
      <c r="R329" s="73"/>
      <c r="S329" s="73"/>
      <c r="T329" s="73"/>
      <c r="U329" s="73"/>
      <c r="V329" s="73"/>
      <c r="W329" s="73"/>
      <c r="X329" s="1864">
        <f t="shared" si="8"/>
        <v>600000</v>
      </c>
      <c r="Y329" s="23">
        <f t="shared" si="9"/>
        <v>0</v>
      </c>
    </row>
    <row r="330" spans="1:25" ht="30" x14ac:dyDescent="0.25">
      <c r="A330" s="865">
        <v>4</v>
      </c>
      <c r="B330" s="865">
        <v>4</v>
      </c>
      <c r="C330" s="865"/>
      <c r="D330" s="865"/>
      <c r="E330" s="865"/>
      <c r="F330" s="865"/>
      <c r="G330" s="1490"/>
      <c r="H330" s="1061" t="s">
        <v>3427</v>
      </c>
      <c r="I330" s="1063"/>
      <c r="J330" s="865"/>
      <c r="K330" s="1061" t="s">
        <v>3599</v>
      </c>
      <c r="L330" s="1063"/>
      <c r="M330" s="1063"/>
      <c r="N330" s="1063"/>
      <c r="O330" s="1063"/>
      <c r="P330" s="1063"/>
      <c r="Q330" s="1063"/>
      <c r="R330" s="1063"/>
      <c r="S330" s="1063"/>
      <c r="T330" s="1063"/>
      <c r="U330" s="1063"/>
      <c r="V330" s="1063"/>
      <c r="W330" s="1063"/>
      <c r="X330" s="1866">
        <f t="shared" si="8"/>
        <v>0</v>
      </c>
      <c r="Y330" s="23">
        <f t="shared" si="9"/>
        <v>0</v>
      </c>
    </row>
    <row r="331" spans="1:25" ht="28.9" customHeight="1" x14ac:dyDescent="0.25">
      <c r="A331" s="865">
        <v>4</v>
      </c>
      <c r="B331" s="865">
        <v>4</v>
      </c>
      <c r="C331" s="1490" t="s">
        <v>3366</v>
      </c>
      <c r="D331" s="865"/>
      <c r="E331" s="865"/>
      <c r="F331" s="865"/>
      <c r="G331" s="865"/>
      <c r="H331" s="1061" t="s">
        <v>2466</v>
      </c>
      <c r="I331" s="1063">
        <v>9688000</v>
      </c>
      <c r="J331" s="865" t="s">
        <v>1220</v>
      </c>
      <c r="K331" s="1061" t="s">
        <v>3599</v>
      </c>
      <c r="L331" s="1063"/>
      <c r="M331" s="1063"/>
      <c r="N331" s="1063"/>
      <c r="O331" s="1063"/>
      <c r="P331" s="1063"/>
      <c r="Q331" s="1063"/>
      <c r="R331" s="1063"/>
      <c r="S331" s="1063"/>
      <c r="T331" s="1063"/>
      <c r="U331" s="1063"/>
      <c r="V331" s="1063"/>
      <c r="W331" s="1063"/>
      <c r="X331" s="1866">
        <f t="shared" si="8"/>
        <v>0</v>
      </c>
      <c r="Y331" s="23">
        <f t="shared" si="9"/>
        <v>9688000</v>
      </c>
    </row>
    <row r="332" spans="1:25" x14ac:dyDescent="0.25">
      <c r="A332" s="1"/>
      <c r="B332" s="1"/>
      <c r="C332" s="1"/>
      <c r="D332" s="1">
        <v>5</v>
      </c>
      <c r="E332" s="1">
        <v>2</v>
      </c>
      <c r="F332" s="1"/>
      <c r="G332" s="1"/>
      <c r="H332" s="4" t="s">
        <v>277</v>
      </c>
      <c r="I332" s="73"/>
      <c r="J332" s="1"/>
      <c r="K332" s="4" t="s">
        <v>3599</v>
      </c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1864">
        <f t="shared" si="8"/>
        <v>0</v>
      </c>
      <c r="Y332" s="23">
        <f t="shared" si="9"/>
        <v>0</v>
      </c>
    </row>
    <row r="333" spans="1:25" x14ac:dyDescent="0.25">
      <c r="A333" s="1"/>
      <c r="B333" s="1"/>
      <c r="C333" s="1"/>
      <c r="D333" s="1"/>
      <c r="E333" s="1"/>
      <c r="F333" s="1">
        <v>1</v>
      </c>
      <c r="G333" s="1"/>
      <c r="H333" s="4" t="s">
        <v>84</v>
      </c>
      <c r="I333" s="73"/>
      <c r="J333" s="1"/>
      <c r="K333" s="4" t="s">
        <v>3599</v>
      </c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1864">
        <f t="shared" si="8"/>
        <v>0</v>
      </c>
      <c r="Y333" s="23">
        <f t="shared" si="9"/>
        <v>0</v>
      </c>
    </row>
    <row r="334" spans="1:25" ht="30" x14ac:dyDescent="0.25">
      <c r="A334" s="1"/>
      <c r="B334" s="1"/>
      <c r="C334" s="1"/>
      <c r="D334" s="1"/>
      <c r="E334" s="1"/>
      <c r="F334" s="1"/>
      <c r="G334" s="1489" t="s">
        <v>3366</v>
      </c>
      <c r="H334" s="4" t="s">
        <v>278</v>
      </c>
      <c r="I334" s="73">
        <v>900000</v>
      </c>
      <c r="J334" s="1" t="s">
        <v>1220</v>
      </c>
      <c r="K334" s="4" t="s">
        <v>3599</v>
      </c>
      <c r="L334" s="73"/>
      <c r="M334" s="73"/>
      <c r="N334" s="73"/>
      <c r="O334" s="73"/>
      <c r="P334" s="73"/>
      <c r="Q334" s="73">
        <v>900000</v>
      </c>
      <c r="R334" s="73"/>
      <c r="S334" s="73"/>
      <c r="T334" s="73"/>
      <c r="U334" s="73"/>
      <c r="V334" s="73"/>
      <c r="W334" s="73"/>
      <c r="X334" s="1864">
        <f t="shared" si="8"/>
        <v>900000</v>
      </c>
      <c r="Y334" s="23">
        <f t="shared" si="9"/>
        <v>0</v>
      </c>
    </row>
    <row r="335" spans="1:25" ht="43.15" customHeight="1" x14ac:dyDescent="0.25">
      <c r="A335" s="1"/>
      <c r="B335" s="1"/>
      <c r="C335" s="1"/>
      <c r="D335" s="1"/>
      <c r="E335" s="1"/>
      <c r="F335" s="1"/>
      <c r="G335" s="1489" t="s">
        <v>3391</v>
      </c>
      <c r="H335" s="4" t="s">
        <v>307</v>
      </c>
      <c r="I335" s="73">
        <v>1860000</v>
      </c>
      <c r="J335" s="1" t="s">
        <v>1220</v>
      </c>
      <c r="K335" s="4" t="s">
        <v>3599</v>
      </c>
      <c r="L335" s="73"/>
      <c r="M335" s="73"/>
      <c r="N335" s="73"/>
      <c r="O335" s="73"/>
      <c r="P335" s="73"/>
      <c r="Q335" s="73">
        <v>1860000</v>
      </c>
      <c r="R335" s="73"/>
      <c r="S335" s="73"/>
      <c r="T335" s="73"/>
      <c r="U335" s="73"/>
      <c r="V335" s="73"/>
      <c r="W335" s="73"/>
      <c r="X335" s="1864">
        <f t="shared" ref="X335:X367" si="10">SUM(L335:W335)</f>
        <v>1860000</v>
      </c>
      <c r="Y335" s="23">
        <f t="shared" ref="Y335:Y367" si="11">I335-X335</f>
        <v>0</v>
      </c>
    </row>
    <row r="336" spans="1:25" ht="30" x14ac:dyDescent="0.25">
      <c r="A336" s="1"/>
      <c r="B336" s="1"/>
      <c r="C336" s="1"/>
      <c r="D336" s="1"/>
      <c r="E336" s="1"/>
      <c r="F336" s="1"/>
      <c r="G336" s="1489" t="s">
        <v>3393</v>
      </c>
      <c r="H336" s="4" t="s">
        <v>325</v>
      </c>
      <c r="I336" s="73">
        <v>90000</v>
      </c>
      <c r="J336" s="1" t="s">
        <v>1220</v>
      </c>
      <c r="K336" s="4" t="s">
        <v>3599</v>
      </c>
      <c r="L336" s="73"/>
      <c r="M336" s="73"/>
      <c r="N336" s="73"/>
      <c r="O336" s="73"/>
      <c r="P336" s="73"/>
      <c r="Q336" s="73">
        <v>90000</v>
      </c>
      <c r="R336" s="73"/>
      <c r="S336" s="73"/>
      <c r="T336" s="73"/>
      <c r="U336" s="73"/>
      <c r="V336" s="73"/>
      <c r="W336" s="73"/>
      <c r="X336" s="1864">
        <f t="shared" si="10"/>
        <v>90000</v>
      </c>
      <c r="Y336" s="23">
        <f t="shared" si="11"/>
        <v>0</v>
      </c>
    </row>
    <row r="337" spans="1:25" ht="14.45" customHeight="1" x14ac:dyDescent="0.25">
      <c r="A337" s="1"/>
      <c r="B337" s="1"/>
      <c r="C337" s="1"/>
      <c r="D337" s="1"/>
      <c r="E337" s="1"/>
      <c r="F337" s="1"/>
      <c r="G337" s="1">
        <v>90</v>
      </c>
      <c r="H337" s="4" t="s">
        <v>2431</v>
      </c>
      <c r="I337" s="73">
        <v>195000</v>
      </c>
      <c r="J337" s="1" t="s">
        <v>1220</v>
      </c>
      <c r="K337" s="4" t="s">
        <v>3599</v>
      </c>
      <c r="L337" s="73"/>
      <c r="M337" s="73"/>
      <c r="N337" s="73"/>
      <c r="O337" s="73"/>
      <c r="P337" s="73"/>
      <c r="Q337" s="73">
        <v>195000</v>
      </c>
      <c r="R337" s="73"/>
      <c r="S337" s="73"/>
      <c r="T337" s="73"/>
      <c r="U337" s="73"/>
      <c r="V337" s="73"/>
      <c r="W337" s="73"/>
      <c r="X337" s="1864">
        <f t="shared" si="10"/>
        <v>195000</v>
      </c>
      <c r="Y337" s="23">
        <f t="shared" si="11"/>
        <v>0</v>
      </c>
    </row>
    <row r="338" spans="1:25" x14ac:dyDescent="0.25">
      <c r="A338" s="1"/>
      <c r="B338" s="1"/>
      <c r="C338" s="1"/>
      <c r="D338" s="1">
        <v>5</v>
      </c>
      <c r="E338" s="1">
        <v>2</v>
      </c>
      <c r="F338" s="1">
        <v>2</v>
      </c>
      <c r="G338" s="1"/>
      <c r="H338" s="4" t="s">
        <v>294</v>
      </c>
      <c r="I338" s="73"/>
      <c r="J338" s="1"/>
      <c r="K338" s="4" t="s">
        <v>3599</v>
      </c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1864">
        <f t="shared" si="10"/>
        <v>0</v>
      </c>
      <c r="Y338" s="23">
        <f t="shared" si="11"/>
        <v>0</v>
      </c>
    </row>
    <row r="339" spans="1:25" ht="72" customHeight="1" x14ac:dyDescent="0.25">
      <c r="A339" s="1"/>
      <c r="B339" s="1"/>
      <c r="C339" s="1"/>
      <c r="D339" s="1"/>
      <c r="E339" s="1"/>
      <c r="F339" s="1"/>
      <c r="G339" s="1489" t="s">
        <v>3389</v>
      </c>
      <c r="H339" s="4" t="s">
        <v>656</v>
      </c>
      <c r="I339" s="73">
        <v>1800000</v>
      </c>
      <c r="J339" s="1" t="s">
        <v>1220</v>
      </c>
      <c r="K339" s="4" t="s">
        <v>3599</v>
      </c>
      <c r="L339" s="73"/>
      <c r="M339" s="73"/>
      <c r="N339" s="73"/>
      <c r="O339" s="73"/>
      <c r="P339" s="73"/>
      <c r="Q339" s="73">
        <v>1800000</v>
      </c>
      <c r="R339" s="73"/>
      <c r="S339" s="73"/>
      <c r="T339" s="73"/>
      <c r="U339" s="73"/>
      <c r="V339" s="73"/>
      <c r="W339" s="73"/>
      <c r="X339" s="1864">
        <f t="shared" si="10"/>
        <v>1800000</v>
      </c>
      <c r="Y339" s="23">
        <f t="shared" si="11"/>
        <v>0</v>
      </c>
    </row>
    <row r="340" spans="1:25" ht="45" x14ac:dyDescent="0.25">
      <c r="A340" s="1"/>
      <c r="B340" s="1"/>
      <c r="C340" s="1"/>
      <c r="D340" s="1">
        <v>5</v>
      </c>
      <c r="E340" s="1">
        <v>2</v>
      </c>
      <c r="F340" s="1">
        <v>7</v>
      </c>
      <c r="G340" s="1"/>
      <c r="H340" s="4" t="s">
        <v>2425</v>
      </c>
      <c r="I340" s="73"/>
      <c r="J340" s="1"/>
      <c r="K340" s="4" t="s">
        <v>3599</v>
      </c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1864">
        <f t="shared" si="10"/>
        <v>0</v>
      </c>
      <c r="Y340" s="23">
        <f t="shared" si="11"/>
        <v>0</v>
      </c>
    </row>
    <row r="341" spans="1:25" ht="45" x14ac:dyDescent="0.25">
      <c r="A341" s="1"/>
      <c r="B341" s="1"/>
      <c r="C341" s="1"/>
      <c r="D341" s="1"/>
      <c r="E341" s="1"/>
      <c r="F341" s="1"/>
      <c r="G341" s="1489" t="s">
        <v>3366</v>
      </c>
      <c r="H341" s="4" t="s">
        <v>2427</v>
      </c>
      <c r="I341" s="73">
        <v>4843000</v>
      </c>
      <c r="J341" s="1" t="s">
        <v>1220</v>
      </c>
      <c r="K341" s="4" t="s">
        <v>3599</v>
      </c>
      <c r="L341" s="73"/>
      <c r="M341" s="73"/>
      <c r="N341" s="73"/>
      <c r="O341" s="73"/>
      <c r="P341" s="73"/>
      <c r="Q341" s="73">
        <v>4843000</v>
      </c>
      <c r="R341" s="73"/>
      <c r="S341" s="73"/>
      <c r="T341" s="73"/>
      <c r="U341" s="73"/>
      <c r="V341" s="73"/>
      <c r="W341" s="73"/>
      <c r="X341" s="1864">
        <f t="shared" si="10"/>
        <v>4843000</v>
      </c>
      <c r="Y341" s="23">
        <f t="shared" si="11"/>
        <v>0</v>
      </c>
    </row>
    <row r="342" spans="1:25" ht="28.9" customHeight="1" x14ac:dyDescent="0.25">
      <c r="A342" s="865">
        <v>4</v>
      </c>
      <c r="B342" s="865">
        <v>4</v>
      </c>
      <c r="C342" s="1490" t="s">
        <v>3366</v>
      </c>
      <c r="D342" s="865"/>
      <c r="E342" s="865"/>
      <c r="F342" s="865"/>
      <c r="G342" s="865"/>
      <c r="H342" s="1061" t="s">
        <v>3104</v>
      </c>
      <c r="I342" s="1063">
        <v>1915000</v>
      </c>
      <c r="J342" s="865" t="s">
        <v>1220</v>
      </c>
      <c r="K342" s="1061" t="s">
        <v>3599</v>
      </c>
      <c r="L342" s="1063"/>
      <c r="M342" s="1063"/>
      <c r="N342" s="1063"/>
      <c r="O342" s="1063"/>
      <c r="P342" s="1063"/>
      <c r="Q342" s="1063"/>
      <c r="R342" s="1063"/>
      <c r="S342" s="1063"/>
      <c r="T342" s="1063"/>
      <c r="U342" s="1063"/>
      <c r="V342" s="1063"/>
      <c r="W342" s="1063"/>
      <c r="X342" s="1866">
        <f t="shared" si="10"/>
        <v>0</v>
      </c>
      <c r="Y342" s="23">
        <f t="shared" si="11"/>
        <v>1915000</v>
      </c>
    </row>
    <row r="343" spans="1:25" x14ac:dyDescent="0.25">
      <c r="A343" s="1"/>
      <c r="B343" s="1"/>
      <c r="C343" s="1"/>
      <c r="D343" s="1">
        <v>5</v>
      </c>
      <c r="E343" s="1">
        <v>2</v>
      </c>
      <c r="F343" s="1"/>
      <c r="G343" s="1"/>
      <c r="H343" s="4" t="s">
        <v>277</v>
      </c>
      <c r="I343" s="73"/>
      <c r="J343" s="1"/>
      <c r="K343" s="4" t="s">
        <v>3599</v>
      </c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1864">
        <f t="shared" si="10"/>
        <v>0</v>
      </c>
      <c r="Y343" s="23">
        <f t="shared" si="11"/>
        <v>0</v>
      </c>
    </row>
    <row r="344" spans="1:25" x14ac:dyDescent="0.25">
      <c r="A344" s="1"/>
      <c r="B344" s="1"/>
      <c r="C344" s="1"/>
      <c r="D344" s="1"/>
      <c r="E344" s="1"/>
      <c r="F344" s="1">
        <v>1</v>
      </c>
      <c r="G344" s="1"/>
      <c r="H344" s="4" t="s">
        <v>84</v>
      </c>
      <c r="I344" s="73"/>
      <c r="J344" s="1"/>
      <c r="K344" s="4" t="s">
        <v>3599</v>
      </c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1864">
        <f t="shared" si="10"/>
        <v>0</v>
      </c>
      <c r="Y344" s="23">
        <f t="shared" si="11"/>
        <v>0</v>
      </c>
    </row>
    <row r="345" spans="1:25" ht="43.15" customHeight="1" x14ac:dyDescent="0.25">
      <c r="A345" s="1"/>
      <c r="B345" s="1"/>
      <c r="C345" s="1"/>
      <c r="D345" s="1"/>
      <c r="E345" s="1"/>
      <c r="F345" s="1"/>
      <c r="G345" s="1489" t="s">
        <v>3366</v>
      </c>
      <c r="H345" s="4" t="s">
        <v>278</v>
      </c>
      <c r="I345" s="73">
        <v>420000</v>
      </c>
      <c r="J345" s="1" t="s">
        <v>1220</v>
      </c>
      <c r="K345" s="4" t="s">
        <v>3599</v>
      </c>
      <c r="L345" s="73">
        <v>420000</v>
      </c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1864">
        <f t="shared" si="10"/>
        <v>420000</v>
      </c>
      <c r="Y345" s="23">
        <f t="shared" si="11"/>
        <v>0</v>
      </c>
    </row>
    <row r="346" spans="1:25" ht="30" x14ac:dyDescent="0.25">
      <c r="A346" s="1"/>
      <c r="B346" s="1"/>
      <c r="C346" s="1"/>
      <c r="D346" s="1"/>
      <c r="E346" s="1"/>
      <c r="F346" s="1"/>
      <c r="G346" s="1489" t="s">
        <v>3391</v>
      </c>
      <c r="H346" s="4" t="s">
        <v>307</v>
      </c>
      <c r="I346" s="73">
        <v>740000</v>
      </c>
      <c r="J346" s="1" t="s">
        <v>1220</v>
      </c>
      <c r="K346" s="4" t="s">
        <v>3599</v>
      </c>
      <c r="L346" s="73">
        <v>740000</v>
      </c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1864">
        <f t="shared" si="10"/>
        <v>740000</v>
      </c>
      <c r="Y346" s="23">
        <f t="shared" si="11"/>
        <v>0</v>
      </c>
    </row>
    <row r="347" spans="1:25" ht="30" x14ac:dyDescent="0.25">
      <c r="A347" s="1"/>
      <c r="B347" s="1"/>
      <c r="C347" s="1"/>
      <c r="D347" s="1"/>
      <c r="E347" s="1"/>
      <c r="F347" s="1"/>
      <c r="G347" s="1489" t="s">
        <v>3393</v>
      </c>
      <c r="H347" s="4" t="s">
        <v>325</v>
      </c>
      <c r="I347" s="73">
        <v>90000</v>
      </c>
      <c r="J347" s="1" t="s">
        <v>1220</v>
      </c>
      <c r="K347" s="4" t="s">
        <v>3599</v>
      </c>
      <c r="L347" s="73">
        <v>90000</v>
      </c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1864">
        <f t="shared" si="10"/>
        <v>90000</v>
      </c>
      <c r="Y347" s="23">
        <f t="shared" si="11"/>
        <v>0</v>
      </c>
    </row>
    <row r="348" spans="1:25" ht="30" x14ac:dyDescent="0.25">
      <c r="A348" s="1"/>
      <c r="B348" s="1"/>
      <c r="C348" s="1"/>
      <c r="D348" s="1"/>
      <c r="E348" s="1"/>
      <c r="F348" s="1"/>
      <c r="G348" s="1489">
        <v>90</v>
      </c>
      <c r="H348" s="4" t="s">
        <v>2431</v>
      </c>
      <c r="I348" s="73">
        <v>65000</v>
      </c>
      <c r="J348" s="1" t="s">
        <v>1220</v>
      </c>
      <c r="K348" s="4" t="s">
        <v>3599</v>
      </c>
      <c r="L348" s="73">
        <v>65000</v>
      </c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1864">
        <f t="shared" si="10"/>
        <v>65000</v>
      </c>
      <c r="Y348" s="23">
        <f t="shared" si="11"/>
        <v>0</v>
      </c>
    </row>
    <row r="349" spans="1:25" x14ac:dyDescent="0.25">
      <c r="A349" s="1"/>
      <c r="B349" s="1"/>
      <c r="C349" s="1"/>
      <c r="D349" s="1">
        <v>5</v>
      </c>
      <c r="E349" s="1">
        <v>2</v>
      </c>
      <c r="F349" s="1">
        <v>2</v>
      </c>
      <c r="G349" s="1"/>
      <c r="H349" s="4" t="s">
        <v>294</v>
      </c>
      <c r="I349" s="73"/>
      <c r="J349" s="1"/>
      <c r="K349" s="4" t="s">
        <v>3599</v>
      </c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1864">
        <f t="shared" si="10"/>
        <v>0</v>
      </c>
      <c r="Y349" s="23">
        <f t="shared" si="11"/>
        <v>0</v>
      </c>
    </row>
    <row r="350" spans="1:25" ht="45" x14ac:dyDescent="0.25">
      <c r="A350" s="1"/>
      <c r="B350" s="1"/>
      <c r="C350" s="1"/>
      <c r="D350" s="1"/>
      <c r="E350" s="1"/>
      <c r="F350" s="1"/>
      <c r="G350" s="1489" t="s">
        <v>3389</v>
      </c>
      <c r="H350" s="4" t="s">
        <v>656</v>
      </c>
      <c r="I350" s="73">
        <v>600000</v>
      </c>
      <c r="J350" s="1" t="s">
        <v>1220</v>
      </c>
      <c r="K350" s="4" t="s">
        <v>3599</v>
      </c>
      <c r="L350" s="73">
        <v>600000</v>
      </c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1864">
        <f t="shared" si="10"/>
        <v>600000</v>
      </c>
      <c r="Y350" s="23">
        <f t="shared" si="11"/>
        <v>0</v>
      </c>
    </row>
    <row r="351" spans="1:25" ht="75" x14ac:dyDescent="0.25">
      <c r="A351" s="865">
        <v>4</v>
      </c>
      <c r="B351" s="865">
        <v>4</v>
      </c>
      <c r="C351" s="1490" t="s">
        <v>3386</v>
      </c>
      <c r="D351" s="865"/>
      <c r="E351" s="865"/>
      <c r="F351" s="865"/>
      <c r="G351" s="865"/>
      <c r="H351" s="1061" t="s">
        <v>468</v>
      </c>
      <c r="I351" s="1063">
        <v>13855000</v>
      </c>
      <c r="J351" s="865" t="s">
        <v>1223</v>
      </c>
      <c r="K351" s="1061" t="s">
        <v>3599</v>
      </c>
      <c r="L351" s="1063"/>
      <c r="M351" s="1063"/>
      <c r="N351" s="1063"/>
      <c r="O351" s="1063"/>
      <c r="P351" s="1063"/>
      <c r="Q351" s="1063"/>
      <c r="R351" s="1063"/>
      <c r="S351" s="1063"/>
      <c r="T351" s="1063"/>
      <c r="U351" s="1063"/>
      <c r="V351" s="1063"/>
      <c r="W351" s="1063"/>
      <c r="X351" s="1866">
        <f t="shared" si="10"/>
        <v>0</v>
      </c>
      <c r="Y351" s="23">
        <f t="shared" si="11"/>
        <v>13855000</v>
      </c>
    </row>
    <row r="352" spans="1:25" x14ac:dyDescent="0.25">
      <c r="A352" s="1"/>
      <c r="B352" s="1"/>
      <c r="C352" s="1"/>
      <c r="D352" s="1">
        <v>5</v>
      </c>
      <c r="E352" s="1">
        <v>2</v>
      </c>
      <c r="F352" s="1"/>
      <c r="G352" s="1"/>
      <c r="H352" s="4" t="s">
        <v>462</v>
      </c>
      <c r="I352" s="73"/>
      <c r="J352" s="1"/>
      <c r="K352" s="4" t="s">
        <v>3599</v>
      </c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1864">
        <f t="shared" si="10"/>
        <v>0</v>
      </c>
      <c r="Y352" s="23">
        <f t="shared" si="11"/>
        <v>0</v>
      </c>
    </row>
    <row r="353" spans="1:25" x14ac:dyDescent="0.25">
      <c r="A353" s="1"/>
      <c r="B353" s="1"/>
      <c r="C353" s="1"/>
      <c r="D353" s="1"/>
      <c r="E353" s="1"/>
      <c r="F353" s="1">
        <v>1</v>
      </c>
      <c r="G353" s="1"/>
      <c r="H353" s="4" t="s">
        <v>84</v>
      </c>
      <c r="I353" s="73"/>
      <c r="J353" s="1"/>
      <c r="K353" s="4" t="s">
        <v>3599</v>
      </c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1864">
        <f t="shared" si="10"/>
        <v>0</v>
      </c>
      <c r="Y353" s="23">
        <f t="shared" si="11"/>
        <v>0</v>
      </c>
    </row>
    <row r="354" spans="1:25" ht="30" x14ac:dyDescent="0.25">
      <c r="A354" s="1"/>
      <c r="B354" s="1"/>
      <c r="C354" s="1"/>
      <c r="D354" s="1"/>
      <c r="E354" s="1"/>
      <c r="F354" s="1"/>
      <c r="G354" s="1489" t="s">
        <v>3391</v>
      </c>
      <c r="H354" s="4" t="s">
        <v>307</v>
      </c>
      <c r="I354" s="73">
        <v>600000</v>
      </c>
      <c r="J354" s="1" t="s">
        <v>1223</v>
      </c>
      <c r="K354" s="4" t="s">
        <v>3599</v>
      </c>
      <c r="L354" s="73"/>
      <c r="M354" s="73"/>
      <c r="N354" s="73"/>
      <c r="O354" s="73"/>
      <c r="P354" s="73"/>
      <c r="Q354" s="73"/>
      <c r="R354" s="73"/>
      <c r="S354" s="73">
        <v>600000</v>
      </c>
      <c r="T354" s="73"/>
      <c r="U354" s="73"/>
      <c r="V354" s="73"/>
      <c r="W354" s="73"/>
      <c r="X354" s="1864">
        <f t="shared" si="10"/>
        <v>600000</v>
      </c>
      <c r="Y354" s="23">
        <f t="shared" si="11"/>
        <v>0</v>
      </c>
    </row>
    <row r="355" spans="1:25" ht="30" x14ac:dyDescent="0.25">
      <c r="A355" s="1"/>
      <c r="B355" s="1"/>
      <c r="C355" s="1"/>
      <c r="D355" s="1"/>
      <c r="E355" s="1"/>
      <c r="F355" s="1"/>
      <c r="G355" s="1489" t="s">
        <v>3393</v>
      </c>
      <c r="H355" s="4" t="s">
        <v>325</v>
      </c>
      <c r="I355" s="73">
        <v>90000</v>
      </c>
      <c r="J355" s="1" t="s">
        <v>1223</v>
      </c>
      <c r="K355" s="4" t="s">
        <v>3599</v>
      </c>
      <c r="L355" s="73"/>
      <c r="M355" s="73"/>
      <c r="N355" s="73"/>
      <c r="O355" s="73"/>
      <c r="P355" s="73"/>
      <c r="Q355" s="73"/>
      <c r="R355" s="73"/>
      <c r="S355" s="73">
        <v>90000</v>
      </c>
      <c r="T355" s="73"/>
      <c r="U355" s="73"/>
      <c r="V355" s="73"/>
      <c r="W355" s="73"/>
      <c r="X355" s="1864">
        <f t="shared" si="10"/>
        <v>90000</v>
      </c>
      <c r="Y355" s="23">
        <f t="shared" si="11"/>
        <v>0</v>
      </c>
    </row>
    <row r="356" spans="1:25" ht="30" x14ac:dyDescent="0.25">
      <c r="A356" s="1"/>
      <c r="B356" s="1"/>
      <c r="C356" s="1"/>
      <c r="D356" s="1"/>
      <c r="E356" s="1"/>
      <c r="F356" s="1"/>
      <c r="G356" s="1">
        <v>90</v>
      </c>
      <c r="H356" s="4" t="s">
        <v>421</v>
      </c>
      <c r="I356" s="73">
        <v>65000</v>
      </c>
      <c r="J356" s="1" t="s">
        <v>1223</v>
      </c>
      <c r="K356" s="4" t="s">
        <v>3599</v>
      </c>
      <c r="L356" s="73"/>
      <c r="M356" s="73"/>
      <c r="N356" s="73"/>
      <c r="O356" s="73"/>
      <c r="P356" s="73"/>
      <c r="Q356" s="73"/>
      <c r="R356" s="73"/>
      <c r="S356" s="73">
        <v>65000</v>
      </c>
      <c r="T356" s="73"/>
      <c r="U356" s="73"/>
      <c r="V356" s="73"/>
      <c r="W356" s="73"/>
      <c r="X356" s="1864">
        <f t="shared" si="10"/>
        <v>65000</v>
      </c>
      <c r="Y356" s="23">
        <f t="shared" si="11"/>
        <v>0</v>
      </c>
    </row>
    <row r="357" spans="1:25" x14ac:dyDescent="0.25">
      <c r="A357" s="1"/>
      <c r="B357" s="1"/>
      <c r="C357" s="1"/>
      <c r="D357" s="1">
        <v>5</v>
      </c>
      <c r="E357" s="1">
        <v>2</v>
      </c>
      <c r="F357" s="1">
        <v>2</v>
      </c>
      <c r="G357" s="1"/>
      <c r="H357" s="4" t="s">
        <v>478</v>
      </c>
      <c r="I357" s="73"/>
      <c r="J357" s="1"/>
      <c r="K357" s="4" t="s">
        <v>3599</v>
      </c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1864">
        <f t="shared" si="10"/>
        <v>0</v>
      </c>
      <c r="Y357" s="23">
        <f t="shared" si="11"/>
        <v>0</v>
      </c>
    </row>
    <row r="358" spans="1:25" ht="45" x14ac:dyDescent="0.25">
      <c r="A358" s="1"/>
      <c r="B358" s="1"/>
      <c r="C358" s="1"/>
      <c r="D358" s="1"/>
      <c r="E358" s="1"/>
      <c r="F358" s="1"/>
      <c r="G358" s="1489" t="s">
        <v>3389</v>
      </c>
      <c r="H358" s="4" t="s">
        <v>411</v>
      </c>
      <c r="I358" s="73">
        <v>600000</v>
      </c>
      <c r="J358" s="1" t="s">
        <v>1223</v>
      </c>
      <c r="K358" s="4" t="s">
        <v>3599</v>
      </c>
      <c r="L358" s="73"/>
      <c r="M358" s="73"/>
      <c r="N358" s="73"/>
      <c r="O358" s="73"/>
      <c r="P358" s="73"/>
      <c r="Q358" s="73"/>
      <c r="R358" s="73"/>
      <c r="S358" s="73">
        <v>600000</v>
      </c>
      <c r="T358" s="73"/>
      <c r="U358" s="73"/>
      <c r="V358" s="73"/>
      <c r="W358" s="73"/>
      <c r="X358" s="1864">
        <f t="shared" si="10"/>
        <v>600000</v>
      </c>
      <c r="Y358" s="23">
        <f t="shared" si="11"/>
        <v>0</v>
      </c>
    </row>
    <row r="359" spans="1:25" x14ac:dyDescent="0.25">
      <c r="A359" s="1"/>
      <c r="B359" s="1"/>
      <c r="C359" s="1"/>
      <c r="D359" s="1">
        <v>5</v>
      </c>
      <c r="E359" s="1">
        <v>2</v>
      </c>
      <c r="F359" s="1">
        <v>4</v>
      </c>
      <c r="G359" s="1"/>
      <c r="H359" s="4" t="s">
        <v>442</v>
      </c>
      <c r="I359" s="73"/>
      <c r="J359" s="1"/>
      <c r="K359" s="4" t="s">
        <v>3599</v>
      </c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1864">
        <f t="shared" si="10"/>
        <v>0</v>
      </c>
      <c r="Y359" s="23">
        <f t="shared" si="11"/>
        <v>0</v>
      </c>
    </row>
    <row r="360" spans="1:25" x14ac:dyDescent="0.25">
      <c r="A360" s="1"/>
      <c r="B360" s="1"/>
      <c r="C360" s="1"/>
      <c r="D360" s="1"/>
      <c r="E360" s="1"/>
      <c r="F360" s="1"/>
      <c r="G360" s="1489" t="s">
        <v>3366</v>
      </c>
      <c r="H360" s="4" t="s">
        <v>2262</v>
      </c>
      <c r="I360" s="73">
        <v>12500000</v>
      </c>
      <c r="J360" s="1" t="s">
        <v>1223</v>
      </c>
      <c r="K360" s="4" t="s">
        <v>3599</v>
      </c>
      <c r="L360" s="73"/>
      <c r="M360" s="73"/>
      <c r="N360" s="73"/>
      <c r="O360" s="73"/>
      <c r="P360" s="73"/>
      <c r="Q360" s="73"/>
      <c r="R360" s="73"/>
      <c r="S360" s="73">
        <v>12500000</v>
      </c>
      <c r="T360" s="73"/>
      <c r="U360" s="73"/>
      <c r="V360" s="73"/>
      <c r="W360" s="73"/>
      <c r="X360" s="1864">
        <f t="shared" si="10"/>
        <v>12500000</v>
      </c>
      <c r="Y360" s="23">
        <f t="shared" si="11"/>
        <v>0</v>
      </c>
    </row>
    <row r="361" spans="1:25" x14ac:dyDescent="0.25">
      <c r="A361" s="865">
        <v>4</v>
      </c>
      <c r="B361" s="865">
        <v>6</v>
      </c>
      <c r="C361" s="865"/>
      <c r="D361" s="865"/>
      <c r="E361" s="865"/>
      <c r="F361" s="865"/>
      <c r="G361" s="1490"/>
      <c r="H361" s="1061" t="s">
        <v>3428</v>
      </c>
      <c r="I361" s="1063"/>
      <c r="J361" s="865"/>
      <c r="K361" s="1061" t="s">
        <v>3599</v>
      </c>
      <c r="L361" s="1063"/>
      <c r="M361" s="1063"/>
      <c r="N361" s="1063"/>
      <c r="O361" s="1063"/>
      <c r="P361" s="1063"/>
      <c r="Q361" s="1063"/>
      <c r="R361" s="1063"/>
      <c r="S361" s="1063"/>
      <c r="T361" s="1063"/>
      <c r="U361" s="1063"/>
      <c r="V361" s="1063"/>
      <c r="W361" s="1063"/>
      <c r="X361" s="1866">
        <f t="shared" si="10"/>
        <v>0</v>
      </c>
      <c r="Y361" s="23">
        <f t="shared" si="11"/>
        <v>0</v>
      </c>
    </row>
    <row r="362" spans="1:25" ht="75" x14ac:dyDescent="0.25">
      <c r="A362" s="865">
        <v>4</v>
      </c>
      <c r="B362" s="865">
        <v>6</v>
      </c>
      <c r="C362" s="1490" t="s">
        <v>3386</v>
      </c>
      <c r="D362" s="865"/>
      <c r="E362" s="865"/>
      <c r="F362" s="865"/>
      <c r="G362" s="865"/>
      <c r="H362" s="1061" t="s">
        <v>3319</v>
      </c>
      <c r="I362" s="1063">
        <v>14715000</v>
      </c>
      <c r="J362" s="865" t="s">
        <v>1410</v>
      </c>
      <c r="K362" s="1061" t="s">
        <v>3599</v>
      </c>
      <c r="L362" s="1063"/>
      <c r="M362" s="1063"/>
      <c r="N362" s="1063"/>
      <c r="O362" s="1063"/>
      <c r="P362" s="1063"/>
      <c r="Q362" s="1063"/>
      <c r="R362" s="1063"/>
      <c r="S362" s="1063"/>
      <c r="T362" s="1063"/>
      <c r="U362" s="1063"/>
      <c r="V362" s="1063"/>
      <c r="W362" s="1063"/>
      <c r="X362" s="1866">
        <f t="shared" si="10"/>
        <v>0</v>
      </c>
      <c r="Y362" s="23">
        <f t="shared" si="11"/>
        <v>14715000</v>
      </c>
    </row>
    <row r="363" spans="1:25" x14ac:dyDescent="0.25">
      <c r="A363" s="1"/>
      <c r="B363" s="1"/>
      <c r="C363" s="1"/>
      <c r="D363" s="1">
        <v>5</v>
      </c>
      <c r="E363" s="1">
        <v>2</v>
      </c>
      <c r="F363" s="1"/>
      <c r="G363" s="1"/>
      <c r="H363" s="4" t="s">
        <v>462</v>
      </c>
      <c r="I363" s="73"/>
      <c r="J363" s="1"/>
      <c r="K363" s="4" t="s">
        <v>3599</v>
      </c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1864">
        <f t="shared" si="10"/>
        <v>0</v>
      </c>
      <c r="Y363" s="23">
        <f t="shared" si="11"/>
        <v>0</v>
      </c>
    </row>
    <row r="364" spans="1:25" x14ac:dyDescent="0.25">
      <c r="A364" s="1"/>
      <c r="B364" s="1"/>
      <c r="C364" s="1"/>
      <c r="D364" s="1"/>
      <c r="E364" s="1"/>
      <c r="F364" s="1">
        <v>1</v>
      </c>
      <c r="G364" s="1"/>
      <c r="H364" s="4" t="s">
        <v>84</v>
      </c>
      <c r="I364" s="73"/>
      <c r="J364" s="1"/>
      <c r="K364" s="4" t="s">
        <v>3599</v>
      </c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1864">
        <f t="shared" si="10"/>
        <v>0</v>
      </c>
      <c r="Y364" s="23">
        <f t="shared" si="11"/>
        <v>0</v>
      </c>
    </row>
    <row r="365" spans="1:25" ht="30" x14ac:dyDescent="0.25">
      <c r="A365" s="1"/>
      <c r="B365" s="1"/>
      <c r="C365" s="1"/>
      <c r="D365" s="1"/>
      <c r="E365" s="1"/>
      <c r="F365" s="1"/>
      <c r="G365" s="1489" t="s">
        <v>3391</v>
      </c>
      <c r="H365" s="4" t="s">
        <v>307</v>
      </c>
      <c r="I365" s="73">
        <v>13800000</v>
      </c>
      <c r="J365" s="1" t="s">
        <v>1410</v>
      </c>
      <c r="K365" s="4" t="s">
        <v>3599</v>
      </c>
      <c r="L365" s="73"/>
      <c r="M365" s="73"/>
      <c r="N365" s="73"/>
      <c r="O365" s="73"/>
      <c r="P365" s="73"/>
      <c r="Q365" s="73"/>
      <c r="R365" s="73">
        <v>13800000</v>
      </c>
      <c r="S365" s="73"/>
      <c r="T365" s="73"/>
      <c r="U365" s="73"/>
      <c r="V365" s="73"/>
      <c r="W365" s="73"/>
      <c r="X365" s="1864">
        <f t="shared" si="10"/>
        <v>13800000</v>
      </c>
      <c r="Y365" s="23">
        <f t="shared" si="11"/>
        <v>0</v>
      </c>
    </row>
    <row r="366" spans="1:25" ht="30" x14ac:dyDescent="0.25">
      <c r="A366" s="1"/>
      <c r="B366" s="1"/>
      <c r="C366" s="1"/>
      <c r="D366" s="1"/>
      <c r="E366" s="1"/>
      <c r="F366" s="1"/>
      <c r="G366" s="1489" t="s">
        <v>3393</v>
      </c>
      <c r="H366" s="4" t="s">
        <v>325</v>
      </c>
      <c r="I366" s="73">
        <v>90000</v>
      </c>
      <c r="J366" s="1" t="s">
        <v>1410</v>
      </c>
      <c r="K366" s="4" t="s">
        <v>3599</v>
      </c>
      <c r="L366" s="73"/>
      <c r="M366" s="73"/>
      <c r="N366" s="73"/>
      <c r="O366" s="73"/>
      <c r="P366" s="73"/>
      <c r="Q366" s="73"/>
      <c r="R366" s="73">
        <v>90000</v>
      </c>
      <c r="S366" s="73"/>
      <c r="T366" s="73"/>
      <c r="U366" s="73"/>
      <c r="V366" s="73"/>
      <c r="W366" s="73"/>
      <c r="X366" s="1864">
        <f t="shared" si="10"/>
        <v>90000</v>
      </c>
      <c r="Y366" s="23">
        <f t="shared" si="11"/>
        <v>0</v>
      </c>
    </row>
    <row r="367" spans="1:25" ht="30" x14ac:dyDescent="0.25">
      <c r="A367" s="1"/>
      <c r="B367" s="1"/>
      <c r="C367" s="1"/>
      <c r="D367" s="1"/>
      <c r="E367" s="1"/>
      <c r="F367" s="1"/>
      <c r="G367" s="1">
        <v>90</v>
      </c>
      <c r="H367" s="4" t="s">
        <v>421</v>
      </c>
      <c r="I367" s="73">
        <v>825000</v>
      </c>
      <c r="J367" s="1" t="s">
        <v>1410</v>
      </c>
      <c r="K367" s="4" t="s">
        <v>3599</v>
      </c>
      <c r="L367" s="73"/>
      <c r="M367" s="73"/>
      <c r="N367" s="73"/>
      <c r="O367" s="73"/>
      <c r="P367" s="73"/>
      <c r="Q367" s="73"/>
      <c r="R367" s="73">
        <v>825000</v>
      </c>
      <c r="S367" s="73"/>
      <c r="T367" s="73"/>
      <c r="U367" s="73"/>
      <c r="V367" s="73"/>
      <c r="W367" s="73"/>
      <c r="X367" s="1864">
        <f t="shared" si="10"/>
        <v>825000</v>
      </c>
      <c r="Y367" s="23">
        <f t="shared" si="11"/>
        <v>0</v>
      </c>
    </row>
    <row r="368" spans="1:25" x14ac:dyDescent="0.25">
      <c r="V368" s="2243" t="s">
        <v>3609</v>
      </c>
      <c r="W368" s="2243"/>
    </row>
    <row r="372" spans="22:23" x14ac:dyDescent="0.25">
      <c r="V372" s="2213" t="s">
        <v>3610</v>
      </c>
      <c r="W372" s="2213"/>
    </row>
  </sheetData>
  <autoFilter ref="A12:Y367" xr:uid="{BE820AFC-2A39-408E-A340-E54152C4C2F9}"/>
  <mergeCells count="17">
    <mergeCell ref="L9:W9"/>
    <mergeCell ref="X9:X10"/>
    <mergeCell ref="D7:I7"/>
    <mergeCell ref="A9:G10"/>
    <mergeCell ref="H9:H10"/>
    <mergeCell ref="I9:I10"/>
    <mergeCell ref="J9:J10"/>
    <mergeCell ref="A1:X1"/>
    <mergeCell ref="A2:X2"/>
    <mergeCell ref="D4:I4"/>
    <mergeCell ref="D5:I5"/>
    <mergeCell ref="D6:I6"/>
    <mergeCell ref="A11:C11"/>
    <mergeCell ref="D11:G11"/>
    <mergeCell ref="V368:W368"/>
    <mergeCell ref="V372:W372"/>
    <mergeCell ref="J11:W11"/>
  </mergeCells>
  <pageMargins left="0.5" right="0.5" top="1" bottom="0.75" header="0.3" footer="0.3"/>
  <pageSetup paperSize="5" scale="55" orientation="landscape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63A3B-8659-4486-B9DE-DB0C157B2DF0}">
  <dimension ref="A1:Y81"/>
  <sheetViews>
    <sheetView topLeftCell="I1" zoomScale="80" zoomScaleNormal="80" workbookViewId="0">
      <selection activeCell="W17" sqref="W17"/>
    </sheetView>
  </sheetViews>
  <sheetFormatPr defaultRowHeight="15" x14ac:dyDescent="0.25"/>
  <cols>
    <col min="1" max="3" width="3.28515625" customWidth="1"/>
    <col min="4" max="4" width="2.5703125" customWidth="1"/>
    <col min="5" max="7" width="3.28515625" customWidth="1"/>
    <col min="8" max="8" width="28" customWidth="1"/>
    <col min="9" max="9" width="18.5703125" customWidth="1"/>
    <col min="10" max="10" width="9" customWidth="1"/>
    <col min="11" max="11" width="13" customWidth="1"/>
    <col min="12" max="23" width="13.85546875" bestFit="1" customWidth="1"/>
    <col min="24" max="24" width="14.85546875" bestFit="1" customWidth="1"/>
    <col min="25" max="25" width="19.7109375" customWidth="1"/>
    <col min="26" max="26" width="24.42578125" customWidth="1"/>
    <col min="27" max="27" width="15.5703125" customWidth="1"/>
  </cols>
  <sheetData>
    <row r="1" spans="1:25" ht="28.5" x14ac:dyDescent="0.25">
      <c r="A1" s="2222" t="s">
        <v>3653</v>
      </c>
      <c r="B1" s="2222"/>
      <c r="C1" s="2222"/>
      <c r="D1" s="2222"/>
      <c r="E1" s="2222"/>
      <c r="F1" s="2222"/>
      <c r="G1" s="2222"/>
      <c r="H1" s="2222"/>
      <c r="I1" s="2222"/>
      <c r="J1" s="2222"/>
      <c r="K1" s="2222"/>
      <c r="L1" s="2222"/>
      <c r="M1" s="2222"/>
      <c r="N1" s="2222"/>
      <c r="O1" s="2222"/>
      <c r="P1" s="2222"/>
      <c r="Q1" s="2222"/>
      <c r="R1" s="2222"/>
      <c r="S1" s="2222"/>
      <c r="T1" s="2222"/>
      <c r="U1" s="2222"/>
      <c r="V1" s="2222"/>
      <c r="W1" s="2222"/>
      <c r="X1" s="2222"/>
    </row>
    <row r="2" spans="1:25" ht="28.5" x14ac:dyDescent="0.25">
      <c r="A2" s="2222" t="s">
        <v>1737</v>
      </c>
      <c r="B2" s="2222"/>
      <c r="C2" s="2222"/>
      <c r="D2" s="2222"/>
      <c r="E2" s="2222"/>
      <c r="F2" s="2222"/>
      <c r="G2" s="2222"/>
      <c r="H2" s="2222"/>
      <c r="I2" s="2222"/>
      <c r="J2" s="2222"/>
      <c r="K2" s="2222"/>
      <c r="L2" s="2222"/>
      <c r="M2" s="2222"/>
      <c r="N2" s="2222"/>
      <c r="O2" s="2222"/>
      <c r="P2" s="2222"/>
      <c r="Q2" s="2222"/>
      <c r="R2" s="2222"/>
      <c r="S2" s="2222"/>
      <c r="T2" s="2222"/>
      <c r="U2" s="2222"/>
      <c r="V2" s="2222"/>
      <c r="W2" s="2222"/>
      <c r="X2" s="2222"/>
    </row>
    <row r="3" spans="1:25" x14ac:dyDescent="0.25">
      <c r="F3" s="5"/>
    </row>
    <row r="4" spans="1:25" x14ac:dyDescent="0.25">
      <c r="A4" t="s">
        <v>977</v>
      </c>
      <c r="C4" t="s">
        <v>62</v>
      </c>
      <c r="D4" s="2221" t="s">
        <v>1</v>
      </c>
      <c r="E4" s="2221"/>
      <c r="F4" s="2221"/>
      <c r="G4" s="2221"/>
      <c r="H4" s="2221"/>
      <c r="I4" s="2221"/>
    </row>
    <row r="5" spans="1:25" x14ac:dyDescent="0.25">
      <c r="A5" t="s">
        <v>979</v>
      </c>
      <c r="C5" t="s">
        <v>62</v>
      </c>
      <c r="D5" s="2221" t="s">
        <v>3613</v>
      </c>
      <c r="E5" s="2221"/>
      <c r="F5" s="2221"/>
      <c r="G5" s="2221"/>
      <c r="H5" s="2221"/>
      <c r="I5" s="2221"/>
    </row>
    <row r="6" spans="1:25" x14ac:dyDescent="0.25">
      <c r="A6" t="s">
        <v>1189</v>
      </c>
      <c r="C6" t="s">
        <v>62</v>
      </c>
      <c r="D6" s="2221" t="s">
        <v>3614</v>
      </c>
      <c r="E6" s="2221"/>
      <c r="F6" s="2221"/>
      <c r="G6" s="2221"/>
      <c r="H6" s="2221"/>
      <c r="I6" s="2221"/>
    </row>
    <row r="7" spans="1:25" x14ac:dyDescent="0.25">
      <c r="A7" t="s">
        <v>983</v>
      </c>
      <c r="C7" t="s">
        <v>62</v>
      </c>
      <c r="D7" s="2221" t="s">
        <v>3615</v>
      </c>
      <c r="E7" s="2221"/>
      <c r="F7" s="2221"/>
      <c r="G7" s="2221"/>
      <c r="H7" s="2221"/>
      <c r="I7" s="2221"/>
    </row>
    <row r="8" spans="1:25" x14ac:dyDescent="0.25">
      <c r="F8" s="5"/>
    </row>
    <row r="9" spans="1:25" ht="14.45" customHeight="1" x14ac:dyDescent="0.25">
      <c r="A9" s="2231" t="s">
        <v>3359</v>
      </c>
      <c r="B9" s="2231"/>
      <c r="C9" s="2231"/>
      <c r="D9" s="2231"/>
      <c r="E9" s="2231"/>
      <c r="F9" s="2231"/>
      <c r="G9" s="2231"/>
      <c r="H9" s="2216" t="s">
        <v>3579</v>
      </c>
      <c r="I9" s="2232" t="s">
        <v>3361</v>
      </c>
      <c r="J9" s="2234" t="s">
        <v>3362</v>
      </c>
      <c r="K9" s="1863" t="s">
        <v>3580</v>
      </c>
      <c r="L9" s="2236" t="s">
        <v>3581</v>
      </c>
      <c r="M9" s="2237"/>
      <c r="N9" s="2237"/>
      <c r="O9" s="2237"/>
      <c r="P9" s="2237"/>
      <c r="Q9" s="2237"/>
      <c r="R9" s="2237"/>
      <c r="S9" s="2237"/>
      <c r="T9" s="2237"/>
      <c r="U9" s="2237"/>
      <c r="V9" s="2237"/>
      <c r="W9" s="2238"/>
      <c r="X9" s="2239" t="s">
        <v>26</v>
      </c>
    </row>
    <row r="10" spans="1:25" ht="28.9" customHeight="1" x14ac:dyDescent="0.25">
      <c r="A10" s="2231"/>
      <c r="B10" s="2231"/>
      <c r="C10" s="2231"/>
      <c r="D10" s="2231"/>
      <c r="E10" s="2231"/>
      <c r="F10" s="2231"/>
      <c r="G10" s="2231"/>
      <c r="H10" s="2216"/>
      <c r="I10" s="2233"/>
      <c r="J10" s="2235"/>
      <c r="K10" s="1863" t="s">
        <v>3582</v>
      </c>
      <c r="L10" s="1861" t="s">
        <v>3583</v>
      </c>
      <c r="M10" s="1861" t="s">
        <v>3584</v>
      </c>
      <c r="N10" s="1861" t="s">
        <v>3585</v>
      </c>
      <c r="O10" s="1861" t="s">
        <v>3586</v>
      </c>
      <c r="P10" s="1861" t="s">
        <v>3587</v>
      </c>
      <c r="Q10" s="1861" t="s">
        <v>3588</v>
      </c>
      <c r="R10" s="1861" t="s">
        <v>3589</v>
      </c>
      <c r="S10" s="1861" t="s">
        <v>3590</v>
      </c>
      <c r="T10" s="1861" t="s">
        <v>3591</v>
      </c>
      <c r="U10" s="1861" t="s">
        <v>3592</v>
      </c>
      <c r="V10" s="1861" t="s">
        <v>3593</v>
      </c>
      <c r="W10" s="1861" t="s">
        <v>3594</v>
      </c>
      <c r="X10" s="2240"/>
    </row>
    <row r="11" spans="1:25" x14ac:dyDescent="0.25">
      <c r="A11" s="2225">
        <v>1</v>
      </c>
      <c r="B11" s="2225"/>
      <c r="C11" s="2225"/>
      <c r="D11" s="2225">
        <v>2</v>
      </c>
      <c r="E11" s="2225"/>
      <c r="F11" s="2225"/>
      <c r="G11" s="2225"/>
      <c r="H11" s="1548">
        <v>3</v>
      </c>
      <c r="I11" s="890">
        <v>4</v>
      </c>
      <c r="J11" s="2226">
        <v>5</v>
      </c>
      <c r="K11" s="2227"/>
      <c r="L11" s="2227"/>
      <c r="M11" s="2227"/>
      <c r="N11" s="2227"/>
      <c r="O11" s="2227"/>
      <c r="P11" s="2227"/>
      <c r="Q11" s="2227"/>
      <c r="R11" s="2227"/>
      <c r="S11" s="2227"/>
      <c r="T11" s="2227"/>
      <c r="U11" s="2227"/>
      <c r="V11" s="2227"/>
      <c r="W11" s="2228"/>
      <c r="X11" s="1862">
        <v>6</v>
      </c>
    </row>
    <row r="12" spans="1:25" x14ac:dyDescent="0.25">
      <c r="A12" s="25" t="s">
        <v>998</v>
      </c>
      <c r="B12" s="25" t="s">
        <v>999</v>
      </c>
      <c r="C12" s="25" t="s">
        <v>1000</v>
      </c>
      <c r="D12" s="25" t="s">
        <v>998</v>
      </c>
      <c r="E12" s="25" t="s">
        <v>999</v>
      </c>
      <c r="F12" s="25" t="s">
        <v>1000</v>
      </c>
      <c r="G12" s="25" t="s">
        <v>1001</v>
      </c>
      <c r="H12" s="1"/>
      <c r="I12" s="73"/>
      <c r="J12" s="4"/>
      <c r="K12" s="4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1"/>
    </row>
    <row r="13" spans="1:25" ht="30" x14ac:dyDescent="0.25">
      <c r="A13" s="1868">
        <v>1</v>
      </c>
      <c r="B13" s="1869"/>
      <c r="C13" s="1869"/>
      <c r="D13" s="1869"/>
      <c r="E13" s="1869"/>
      <c r="F13" s="1869"/>
      <c r="G13" s="1869"/>
      <c r="H13" s="1870" t="s">
        <v>3</v>
      </c>
      <c r="I13" s="1871">
        <f>I14+I21+I27</f>
        <v>47960000</v>
      </c>
      <c r="J13" s="1869"/>
      <c r="K13" s="1870"/>
      <c r="L13" s="1871"/>
      <c r="M13" s="1871"/>
      <c r="N13" s="1871"/>
      <c r="O13" s="1871"/>
      <c r="P13" s="1871"/>
      <c r="Q13" s="1871"/>
      <c r="R13" s="1871"/>
      <c r="S13" s="1871"/>
      <c r="T13" s="1871"/>
      <c r="U13" s="1871"/>
      <c r="V13" s="1871"/>
      <c r="W13" s="1871"/>
      <c r="X13" s="1872">
        <f>SUM(L13:W13)</f>
        <v>0</v>
      </c>
    </row>
    <row r="14" spans="1:25" ht="45" x14ac:dyDescent="0.25">
      <c r="A14" s="865">
        <v>1</v>
      </c>
      <c r="B14" s="865">
        <v>3</v>
      </c>
      <c r="C14" s="865">
        <v>92</v>
      </c>
      <c r="D14" s="865"/>
      <c r="E14" s="865"/>
      <c r="F14" s="865"/>
      <c r="G14" s="865"/>
      <c r="H14" s="1061" t="s">
        <v>2326</v>
      </c>
      <c r="I14" s="1063">
        <v>5800000</v>
      </c>
      <c r="J14" s="1061" t="s">
        <v>1220</v>
      </c>
      <c r="K14" s="1061" t="s">
        <v>3598</v>
      </c>
      <c r="L14" s="1063"/>
      <c r="M14" s="1063"/>
      <c r="N14" s="1063"/>
      <c r="O14" s="1063"/>
      <c r="P14" s="1063"/>
      <c r="Q14" s="1063"/>
      <c r="R14" s="1063"/>
      <c r="S14" s="1063"/>
      <c r="T14" s="1063"/>
      <c r="U14" s="1063"/>
      <c r="V14" s="1063"/>
      <c r="W14" s="1063"/>
      <c r="X14" s="1866">
        <f t="shared" ref="X14:X76" si="0">SUM(L14:W14)</f>
        <v>0</v>
      </c>
      <c r="Y14" s="23">
        <f>I14-X14</f>
        <v>5800000</v>
      </c>
    </row>
    <row r="15" spans="1:25" ht="28.9" customHeight="1" x14ac:dyDescent="0.25">
      <c r="A15" s="1"/>
      <c r="B15" s="1"/>
      <c r="C15" s="1"/>
      <c r="D15" s="1"/>
      <c r="E15" s="1"/>
      <c r="F15" s="1"/>
      <c r="G15" s="1"/>
      <c r="H15" s="4" t="s">
        <v>321</v>
      </c>
      <c r="I15" s="73"/>
      <c r="J15" s="4"/>
      <c r="K15" s="4" t="s">
        <v>3598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1864">
        <f t="shared" si="0"/>
        <v>0</v>
      </c>
      <c r="Y15" s="23">
        <f t="shared" ref="Y15:Y76" si="1">I15-X15</f>
        <v>0</v>
      </c>
    </row>
    <row r="16" spans="1:25" ht="14.45" customHeight="1" x14ac:dyDescent="0.25">
      <c r="A16" s="1"/>
      <c r="B16" s="1"/>
      <c r="C16" s="1"/>
      <c r="D16" s="1">
        <v>5</v>
      </c>
      <c r="E16" s="1">
        <v>2</v>
      </c>
      <c r="F16" s="1"/>
      <c r="G16" s="1"/>
      <c r="H16" s="4" t="s">
        <v>277</v>
      </c>
      <c r="I16" s="73"/>
      <c r="J16" s="4"/>
      <c r="K16" s="4" t="s">
        <v>3598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1864">
        <f t="shared" si="0"/>
        <v>0</v>
      </c>
      <c r="Y16" s="23">
        <f t="shared" si="1"/>
        <v>0</v>
      </c>
    </row>
    <row r="17" spans="1:25" ht="28.9" customHeight="1" x14ac:dyDescent="0.25">
      <c r="A17" s="1"/>
      <c r="B17" s="1"/>
      <c r="C17" s="1"/>
      <c r="D17" s="1"/>
      <c r="E17" s="1"/>
      <c r="F17" s="1">
        <v>1</v>
      </c>
      <c r="G17" s="1"/>
      <c r="H17" s="4" t="s">
        <v>84</v>
      </c>
      <c r="I17" s="73"/>
      <c r="J17" s="4"/>
      <c r="K17" s="4" t="s">
        <v>3598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1864">
        <f t="shared" si="0"/>
        <v>0</v>
      </c>
      <c r="Y17" s="23">
        <f t="shared" si="1"/>
        <v>0</v>
      </c>
    </row>
    <row r="18" spans="1:25" ht="43.15" customHeight="1" x14ac:dyDescent="0.25">
      <c r="A18" s="1"/>
      <c r="B18" s="1"/>
      <c r="C18" s="1"/>
      <c r="D18" s="1"/>
      <c r="E18" s="1"/>
      <c r="F18" s="1"/>
      <c r="G18" s="1489" t="s">
        <v>3391</v>
      </c>
      <c r="H18" s="4" t="s">
        <v>307</v>
      </c>
      <c r="I18" s="73">
        <v>400000</v>
      </c>
      <c r="J18" s="4" t="s">
        <v>1220</v>
      </c>
      <c r="K18" s="4" t="s">
        <v>3598</v>
      </c>
      <c r="L18" s="73">
        <v>400000</v>
      </c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1864">
        <f t="shared" si="0"/>
        <v>400000</v>
      </c>
      <c r="Y18" s="23">
        <f t="shared" si="1"/>
        <v>0</v>
      </c>
    </row>
    <row r="19" spans="1:25" ht="30" x14ac:dyDescent="0.25">
      <c r="A19" s="1"/>
      <c r="B19" s="1"/>
      <c r="C19" s="1"/>
      <c r="D19" s="1">
        <v>5</v>
      </c>
      <c r="E19" s="1">
        <v>2</v>
      </c>
      <c r="F19" s="1">
        <v>2</v>
      </c>
      <c r="G19" s="1"/>
      <c r="H19" s="4" t="s">
        <v>330</v>
      </c>
      <c r="I19" s="73"/>
      <c r="J19" s="4"/>
      <c r="K19" s="4" t="s">
        <v>3598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1864">
        <f t="shared" si="0"/>
        <v>0</v>
      </c>
      <c r="Y19" s="23">
        <f t="shared" si="1"/>
        <v>0</v>
      </c>
    </row>
    <row r="20" spans="1:25" ht="30" x14ac:dyDescent="0.25">
      <c r="A20" s="1"/>
      <c r="B20" s="1"/>
      <c r="C20" s="1"/>
      <c r="D20" s="1"/>
      <c r="E20" s="1"/>
      <c r="F20" s="1"/>
      <c r="G20" s="1489" t="s">
        <v>3390</v>
      </c>
      <c r="H20" s="4" t="s">
        <v>333</v>
      </c>
      <c r="I20" s="73">
        <v>5400000</v>
      </c>
      <c r="J20" s="4" t="s">
        <v>1220</v>
      </c>
      <c r="K20" s="4" t="s">
        <v>3598</v>
      </c>
      <c r="L20" s="73">
        <v>5400000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1864">
        <f t="shared" si="0"/>
        <v>5400000</v>
      </c>
      <c r="Y20" s="23">
        <f t="shared" si="1"/>
        <v>0</v>
      </c>
    </row>
    <row r="21" spans="1:25" ht="28.9" customHeight="1" x14ac:dyDescent="0.25">
      <c r="A21" s="865">
        <v>1</v>
      </c>
      <c r="B21" s="865">
        <v>3</v>
      </c>
      <c r="C21" s="1490" t="s">
        <v>3386</v>
      </c>
      <c r="D21" s="865"/>
      <c r="E21" s="865"/>
      <c r="F21" s="865"/>
      <c r="G21" s="865"/>
      <c r="H21" s="1061" t="s">
        <v>1782</v>
      </c>
      <c r="I21" s="1063">
        <v>1900000</v>
      </c>
      <c r="J21" s="1061" t="s">
        <v>1220</v>
      </c>
      <c r="K21" s="1061" t="s">
        <v>3598</v>
      </c>
      <c r="L21" s="1063"/>
      <c r="M21" s="1063"/>
      <c r="N21" s="1063"/>
      <c r="O21" s="1063"/>
      <c r="P21" s="1063"/>
      <c r="Q21" s="1063"/>
      <c r="R21" s="1063"/>
      <c r="S21" s="1063"/>
      <c r="T21" s="1063"/>
      <c r="U21" s="1063"/>
      <c r="V21" s="1063"/>
      <c r="W21" s="1063"/>
      <c r="X21" s="1866">
        <f t="shared" si="0"/>
        <v>0</v>
      </c>
      <c r="Y21" s="23">
        <f t="shared" si="1"/>
        <v>1900000</v>
      </c>
    </row>
    <row r="22" spans="1:25" ht="14.45" customHeight="1" x14ac:dyDescent="0.25">
      <c r="A22" s="1"/>
      <c r="B22" s="1"/>
      <c r="C22" s="1"/>
      <c r="D22" s="1">
        <v>5</v>
      </c>
      <c r="E22" s="1">
        <v>2</v>
      </c>
      <c r="F22" s="1"/>
      <c r="G22" s="1"/>
      <c r="H22" s="4" t="s">
        <v>277</v>
      </c>
      <c r="I22" s="73"/>
      <c r="J22" s="1"/>
      <c r="K22" s="4" t="s">
        <v>3598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1864">
        <f t="shared" si="0"/>
        <v>0</v>
      </c>
      <c r="Y22" s="23">
        <f t="shared" si="1"/>
        <v>0</v>
      </c>
    </row>
    <row r="23" spans="1:25" ht="28.9" customHeight="1" x14ac:dyDescent="0.25">
      <c r="A23" s="1"/>
      <c r="B23" s="1"/>
      <c r="C23" s="1"/>
      <c r="D23" s="1"/>
      <c r="E23" s="1"/>
      <c r="F23" s="1">
        <v>1</v>
      </c>
      <c r="G23" s="1"/>
      <c r="H23" s="4" t="s">
        <v>84</v>
      </c>
      <c r="I23" s="73"/>
      <c r="J23" s="1"/>
      <c r="K23" s="4" t="s">
        <v>3598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1864">
        <f t="shared" si="0"/>
        <v>0</v>
      </c>
      <c r="Y23" s="23">
        <f t="shared" si="1"/>
        <v>0</v>
      </c>
    </row>
    <row r="24" spans="1:25" ht="57.6" customHeight="1" x14ac:dyDescent="0.25">
      <c r="A24" s="1"/>
      <c r="B24" s="1"/>
      <c r="C24" s="1"/>
      <c r="D24" s="1"/>
      <c r="E24" s="1"/>
      <c r="F24" s="1"/>
      <c r="G24" s="1489" t="s">
        <v>3391</v>
      </c>
      <c r="H24" s="4" t="s">
        <v>307</v>
      </c>
      <c r="I24" s="73">
        <v>400000</v>
      </c>
      <c r="J24" s="4" t="s">
        <v>1220</v>
      </c>
      <c r="K24" s="4" t="s">
        <v>3598</v>
      </c>
      <c r="L24" s="73">
        <v>400000</v>
      </c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1864">
        <f t="shared" si="0"/>
        <v>400000</v>
      </c>
      <c r="Y24" s="23">
        <f t="shared" si="1"/>
        <v>0</v>
      </c>
    </row>
    <row r="25" spans="1:25" ht="30" x14ac:dyDescent="0.25">
      <c r="A25" s="1"/>
      <c r="B25" s="1"/>
      <c r="C25" s="1"/>
      <c r="D25" s="1">
        <v>5</v>
      </c>
      <c r="E25" s="1">
        <v>2</v>
      </c>
      <c r="F25" s="1">
        <v>2</v>
      </c>
      <c r="G25" s="1"/>
      <c r="H25" s="4" t="s">
        <v>330</v>
      </c>
      <c r="I25" s="73"/>
      <c r="J25" s="4"/>
      <c r="K25" s="4" t="s">
        <v>3598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1864">
        <f t="shared" si="0"/>
        <v>0</v>
      </c>
      <c r="Y25" s="23">
        <f t="shared" si="1"/>
        <v>0</v>
      </c>
    </row>
    <row r="26" spans="1:25" ht="30" x14ac:dyDescent="0.25">
      <c r="A26" s="1"/>
      <c r="B26" s="1"/>
      <c r="C26" s="1"/>
      <c r="D26" s="1"/>
      <c r="E26" s="1"/>
      <c r="F26" s="1"/>
      <c r="G26" s="1489" t="s">
        <v>3390</v>
      </c>
      <c r="H26" s="4" t="s">
        <v>333</v>
      </c>
      <c r="I26" s="73">
        <v>1500000</v>
      </c>
      <c r="J26" s="4" t="s">
        <v>1220</v>
      </c>
      <c r="K26" s="4" t="s">
        <v>3598</v>
      </c>
      <c r="L26" s="73">
        <v>1500000</v>
      </c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1864">
        <f t="shared" si="0"/>
        <v>1500000</v>
      </c>
      <c r="Y26" s="23">
        <f t="shared" si="1"/>
        <v>0</v>
      </c>
    </row>
    <row r="27" spans="1:25" ht="43.15" customHeight="1" x14ac:dyDescent="0.25">
      <c r="A27" s="865">
        <v>1</v>
      </c>
      <c r="B27" s="865">
        <v>3</v>
      </c>
      <c r="C27" s="865">
        <v>90</v>
      </c>
      <c r="D27" s="865"/>
      <c r="E27" s="865"/>
      <c r="F27" s="865"/>
      <c r="G27" s="865"/>
      <c r="H27" s="1061" t="s">
        <v>302</v>
      </c>
      <c r="I27" s="1063">
        <v>40260000</v>
      </c>
      <c r="J27" s="865" t="s">
        <v>1506</v>
      </c>
      <c r="K27" s="1061" t="s">
        <v>3598</v>
      </c>
      <c r="L27" s="1063"/>
      <c r="M27" s="1063"/>
      <c r="N27" s="1063"/>
      <c r="O27" s="1063"/>
      <c r="P27" s="1063"/>
      <c r="Q27" s="1063"/>
      <c r="R27" s="1063"/>
      <c r="S27" s="1063"/>
      <c r="T27" s="1063"/>
      <c r="U27" s="1063"/>
      <c r="V27" s="1063"/>
      <c r="W27" s="1063"/>
      <c r="X27" s="1866">
        <f t="shared" si="0"/>
        <v>0</v>
      </c>
      <c r="Y27" s="23">
        <f t="shared" si="1"/>
        <v>40260000</v>
      </c>
    </row>
    <row r="28" spans="1:25" ht="28.9" customHeight="1" x14ac:dyDescent="0.25">
      <c r="A28" s="1"/>
      <c r="B28" s="1"/>
      <c r="C28" s="1"/>
      <c r="D28" s="1">
        <v>5</v>
      </c>
      <c r="E28" s="1">
        <v>2</v>
      </c>
      <c r="F28" s="1"/>
      <c r="G28" s="1"/>
      <c r="H28" s="4" t="s">
        <v>304</v>
      </c>
      <c r="I28" s="73"/>
      <c r="J28" s="1"/>
      <c r="K28" s="4" t="s">
        <v>3598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1864">
        <f t="shared" si="0"/>
        <v>0</v>
      </c>
      <c r="Y28" s="23">
        <f t="shared" si="1"/>
        <v>0</v>
      </c>
    </row>
    <row r="29" spans="1:25" ht="30" x14ac:dyDescent="0.25">
      <c r="A29" s="1"/>
      <c r="B29" s="1"/>
      <c r="C29" s="1"/>
      <c r="D29" s="1"/>
      <c r="E29" s="1"/>
      <c r="F29" s="1">
        <v>1</v>
      </c>
      <c r="G29" s="1"/>
      <c r="H29" s="4" t="s">
        <v>84</v>
      </c>
      <c r="I29" s="73"/>
      <c r="J29" s="1"/>
      <c r="K29" s="4" t="s">
        <v>3598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1864">
        <f t="shared" si="0"/>
        <v>0</v>
      </c>
      <c r="Y29" s="23">
        <f t="shared" si="1"/>
        <v>0</v>
      </c>
    </row>
    <row r="30" spans="1:25" ht="45" x14ac:dyDescent="0.25">
      <c r="A30" s="1"/>
      <c r="B30" s="1"/>
      <c r="C30" s="1"/>
      <c r="D30" s="1"/>
      <c r="E30" s="1"/>
      <c r="F30" s="1"/>
      <c r="G30" s="1489" t="s">
        <v>3390</v>
      </c>
      <c r="H30" s="4" t="s">
        <v>280</v>
      </c>
      <c r="I30" s="73">
        <v>700000</v>
      </c>
      <c r="J30" s="1" t="s">
        <v>1506</v>
      </c>
      <c r="K30" s="4" t="s">
        <v>3598</v>
      </c>
      <c r="L30" s="73"/>
      <c r="M30" s="73"/>
      <c r="N30" s="73"/>
      <c r="O30" s="73"/>
      <c r="P30" s="73"/>
      <c r="Q30" s="73">
        <v>350000</v>
      </c>
      <c r="R30" s="73"/>
      <c r="S30" s="73"/>
      <c r="T30" s="73"/>
      <c r="U30" s="73"/>
      <c r="V30" s="73">
        <v>350000</v>
      </c>
      <c r="W30" s="73"/>
      <c r="X30" s="1864">
        <f t="shared" si="0"/>
        <v>700000</v>
      </c>
      <c r="Y30" s="23">
        <f t="shared" si="1"/>
        <v>0</v>
      </c>
    </row>
    <row r="31" spans="1:25" ht="43.15" customHeight="1" x14ac:dyDescent="0.25">
      <c r="A31" s="1"/>
      <c r="B31" s="1"/>
      <c r="C31" s="1"/>
      <c r="D31" s="1"/>
      <c r="E31" s="1"/>
      <c r="F31" s="1"/>
      <c r="G31" s="1489" t="s">
        <v>3391</v>
      </c>
      <c r="H31" s="4" t="s">
        <v>307</v>
      </c>
      <c r="I31" s="73">
        <v>12360000</v>
      </c>
      <c r="J31" s="1" t="s">
        <v>1506</v>
      </c>
      <c r="K31" s="4" t="s">
        <v>3598</v>
      </c>
      <c r="L31" s="73"/>
      <c r="M31" s="73"/>
      <c r="N31" s="73"/>
      <c r="O31" s="73"/>
      <c r="P31" s="73"/>
      <c r="Q31" s="73">
        <v>6180000</v>
      </c>
      <c r="R31" s="73"/>
      <c r="S31" s="73"/>
      <c r="T31" s="73"/>
      <c r="U31" s="73"/>
      <c r="V31" s="73">
        <v>6180000</v>
      </c>
      <c r="W31" s="73"/>
      <c r="X31" s="1864">
        <f t="shared" si="0"/>
        <v>12360000</v>
      </c>
      <c r="Y31" s="23">
        <f t="shared" si="1"/>
        <v>0</v>
      </c>
    </row>
    <row r="32" spans="1:25" ht="43.15" customHeight="1" x14ac:dyDescent="0.25">
      <c r="A32" s="1"/>
      <c r="B32" s="1"/>
      <c r="C32" s="1"/>
      <c r="D32" s="1">
        <v>5</v>
      </c>
      <c r="E32" s="1">
        <v>2</v>
      </c>
      <c r="F32" s="1">
        <v>2</v>
      </c>
      <c r="G32" s="1"/>
      <c r="H32" s="1" t="s">
        <v>294</v>
      </c>
      <c r="I32" s="73"/>
      <c r="J32" s="1"/>
      <c r="K32" s="4" t="s">
        <v>3598</v>
      </c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1864">
        <f t="shared" si="0"/>
        <v>0</v>
      </c>
      <c r="Y32" s="23">
        <f t="shared" si="1"/>
        <v>0</v>
      </c>
    </row>
    <row r="33" spans="1:25" ht="30" x14ac:dyDescent="0.25">
      <c r="A33" s="1"/>
      <c r="B33" s="1"/>
      <c r="C33" s="1"/>
      <c r="D33" s="1"/>
      <c r="E33" s="1"/>
      <c r="F33" s="1"/>
      <c r="G33" s="1489" t="s">
        <v>3390</v>
      </c>
      <c r="H33" s="4" t="s">
        <v>315</v>
      </c>
      <c r="I33" s="73">
        <v>27200000</v>
      </c>
      <c r="J33" s="1" t="s">
        <v>1506</v>
      </c>
      <c r="K33" s="4" t="s">
        <v>3598</v>
      </c>
      <c r="L33" s="73"/>
      <c r="M33" s="73"/>
      <c r="N33" s="73"/>
      <c r="O33" s="73"/>
      <c r="P33" s="73"/>
      <c r="Q33" s="73">
        <v>13600000</v>
      </c>
      <c r="R33" s="73"/>
      <c r="S33" s="73"/>
      <c r="T33" s="73"/>
      <c r="U33" s="73"/>
      <c r="V33" s="73">
        <v>13600000</v>
      </c>
      <c r="W33" s="73"/>
      <c r="X33" s="1864">
        <f t="shared" si="0"/>
        <v>27200000</v>
      </c>
      <c r="Y33" s="23">
        <f t="shared" si="1"/>
        <v>0</v>
      </c>
    </row>
    <row r="34" spans="1:25" ht="30" x14ac:dyDescent="0.25">
      <c r="A34" s="1869">
        <v>3</v>
      </c>
      <c r="B34" s="1869"/>
      <c r="C34" s="1869"/>
      <c r="D34" s="1869"/>
      <c r="E34" s="1869"/>
      <c r="F34" s="1869"/>
      <c r="G34" s="1869"/>
      <c r="H34" s="1870" t="s">
        <v>2054</v>
      </c>
      <c r="I34" s="1871">
        <f>I35+I43+I51+I61</f>
        <v>369951132.18000001</v>
      </c>
      <c r="J34" s="1869"/>
      <c r="K34" s="1870"/>
      <c r="L34" s="1871"/>
      <c r="M34" s="1871"/>
      <c r="N34" s="1871"/>
      <c r="O34" s="1871"/>
      <c r="P34" s="1871"/>
      <c r="Q34" s="1871"/>
      <c r="R34" s="1871"/>
      <c r="S34" s="1871"/>
      <c r="T34" s="1871"/>
      <c r="U34" s="1871"/>
      <c r="V34" s="1871"/>
      <c r="W34" s="1871"/>
      <c r="X34" s="1872">
        <f t="shared" si="0"/>
        <v>0</v>
      </c>
      <c r="Y34" s="23">
        <f t="shared" si="1"/>
        <v>369951132.18000001</v>
      </c>
    </row>
    <row r="35" spans="1:25" ht="71.45" customHeight="1" x14ac:dyDescent="0.25">
      <c r="A35" s="865">
        <v>3</v>
      </c>
      <c r="B35" s="865">
        <v>1</v>
      </c>
      <c r="C35" s="1490" t="s">
        <v>3388</v>
      </c>
      <c r="D35" s="865"/>
      <c r="E35" s="865"/>
      <c r="F35" s="865"/>
      <c r="G35" s="865"/>
      <c r="H35" s="1061" t="s">
        <v>829</v>
      </c>
      <c r="I35" s="1063">
        <v>7825000</v>
      </c>
      <c r="J35" s="1061" t="s">
        <v>1220</v>
      </c>
      <c r="K35" s="1061" t="s">
        <v>3598</v>
      </c>
      <c r="L35" s="1063"/>
      <c r="M35" s="1063"/>
      <c r="N35" s="1063"/>
      <c r="O35" s="1063"/>
      <c r="P35" s="1063"/>
      <c r="Q35" s="1063"/>
      <c r="R35" s="1063"/>
      <c r="S35" s="1063"/>
      <c r="T35" s="1063"/>
      <c r="U35" s="1063"/>
      <c r="V35" s="1063"/>
      <c r="W35" s="1063"/>
      <c r="X35" s="1866">
        <f t="shared" si="0"/>
        <v>0</v>
      </c>
      <c r="Y35" s="23">
        <f t="shared" si="1"/>
        <v>7825000</v>
      </c>
    </row>
    <row r="36" spans="1:25" ht="30" x14ac:dyDescent="0.25">
      <c r="A36" s="1"/>
      <c r="B36" s="1"/>
      <c r="C36" s="1"/>
      <c r="D36" s="1">
        <v>5</v>
      </c>
      <c r="E36" s="1">
        <v>2</v>
      </c>
      <c r="F36" s="1"/>
      <c r="G36" s="1"/>
      <c r="H36" s="4" t="s">
        <v>304</v>
      </c>
      <c r="I36" s="98"/>
      <c r="J36" s="4"/>
      <c r="K36" s="4" t="s">
        <v>3598</v>
      </c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1864">
        <f t="shared" si="0"/>
        <v>0</v>
      </c>
      <c r="Y36" s="23">
        <f t="shared" si="1"/>
        <v>0</v>
      </c>
    </row>
    <row r="37" spans="1:25" ht="28.9" customHeight="1" x14ac:dyDescent="0.25">
      <c r="A37" s="1"/>
      <c r="B37" s="1"/>
      <c r="C37" s="1"/>
      <c r="D37" s="1"/>
      <c r="E37" s="1"/>
      <c r="F37" s="1">
        <v>1</v>
      </c>
      <c r="G37" s="1"/>
      <c r="H37" s="4" t="s">
        <v>84</v>
      </c>
      <c r="I37" s="73"/>
      <c r="J37" s="4"/>
      <c r="K37" s="4" t="s">
        <v>3598</v>
      </c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1864">
        <f t="shared" si="0"/>
        <v>0</v>
      </c>
      <c r="Y37" s="23">
        <f t="shared" si="1"/>
        <v>0</v>
      </c>
    </row>
    <row r="38" spans="1:25" ht="30" x14ac:dyDescent="0.25">
      <c r="A38" s="1"/>
      <c r="B38" s="1"/>
      <c r="C38" s="1"/>
      <c r="D38" s="1"/>
      <c r="E38" s="1"/>
      <c r="F38" s="1"/>
      <c r="G38" s="1489" t="s">
        <v>3391</v>
      </c>
      <c r="H38" s="4" t="s">
        <v>307</v>
      </c>
      <c r="I38" s="73">
        <v>4460000</v>
      </c>
      <c r="J38" s="4" t="s">
        <v>1220</v>
      </c>
      <c r="K38" s="4" t="s">
        <v>3598</v>
      </c>
      <c r="L38" s="73"/>
      <c r="M38" s="73"/>
      <c r="N38" s="73">
        <v>4460000</v>
      </c>
      <c r="O38" s="73"/>
      <c r="P38" s="73"/>
      <c r="Q38" s="73"/>
      <c r="R38" s="73"/>
      <c r="S38" s="73"/>
      <c r="T38" s="73"/>
      <c r="U38" s="73"/>
      <c r="V38" s="73"/>
      <c r="W38" s="73"/>
      <c r="X38" s="1864">
        <f t="shared" si="0"/>
        <v>4460000</v>
      </c>
      <c r="Y38" s="23">
        <f t="shared" si="1"/>
        <v>0</v>
      </c>
    </row>
    <row r="39" spans="1:25" ht="28.9" customHeight="1" x14ac:dyDescent="0.25">
      <c r="A39" s="1"/>
      <c r="B39" s="1"/>
      <c r="C39" s="1"/>
      <c r="D39" s="1"/>
      <c r="E39" s="1"/>
      <c r="F39" s="1"/>
      <c r="G39" s="1489" t="s">
        <v>3392</v>
      </c>
      <c r="H39" s="1" t="s">
        <v>310</v>
      </c>
      <c r="I39" s="73"/>
      <c r="J39" s="4"/>
      <c r="K39" s="4" t="s">
        <v>3598</v>
      </c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1864">
        <f t="shared" si="0"/>
        <v>0</v>
      </c>
      <c r="Y39" s="23">
        <f t="shared" si="1"/>
        <v>0</v>
      </c>
    </row>
    <row r="40" spans="1:25" ht="57.6" customHeight="1" x14ac:dyDescent="0.25">
      <c r="A40" s="1"/>
      <c r="B40" s="1"/>
      <c r="C40" s="1"/>
      <c r="D40" s="1"/>
      <c r="E40" s="1"/>
      <c r="F40" s="1"/>
      <c r="G40" s="1">
        <v>90</v>
      </c>
      <c r="H40" s="4" t="s">
        <v>273</v>
      </c>
      <c r="I40" s="73">
        <v>65000</v>
      </c>
      <c r="J40" s="4" t="s">
        <v>1220</v>
      </c>
      <c r="K40" s="4" t="s">
        <v>3598</v>
      </c>
      <c r="L40" s="73"/>
      <c r="M40" s="73"/>
      <c r="N40" s="73">
        <v>65000</v>
      </c>
      <c r="O40" s="73"/>
      <c r="P40" s="73"/>
      <c r="Q40" s="73"/>
      <c r="R40" s="73"/>
      <c r="S40" s="73"/>
      <c r="T40" s="73"/>
      <c r="U40" s="73"/>
      <c r="V40" s="73"/>
      <c r="W40" s="73"/>
      <c r="X40" s="1864">
        <f t="shared" si="0"/>
        <v>65000</v>
      </c>
      <c r="Y40" s="23">
        <f t="shared" si="1"/>
        <v>0</v>
      </c>
    </row>
    <row r="41" spans="1:25" ht="30" x14ac:dyDescent="0.25">
      <c r="A41" s="1"/>
      <c r="B41" s="1"/>
      <c r="C41" s="1"/>
      <c r="D41" s="1">
        <v>5</v>
      </c>
      <c r="E41" s="1">
        <v>2</v>
      </c>
      <c r="F41" s="1">
        <v>2</v>
      </c>
      <c r="G41" s="1"/>
      <c r="H41" s="4" t="s">
        <v>294</v>
      </c>
      <c r="I41" s="73"/>
      <c r="J41" s="4"/>
      <c r="K41" s="4" t="s">
        <v>3598</v>
      </c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1864">
        <f t="shared" si="0"/>
        <v>0</v>
      </c>
      <c r="Y41" s="23">
        <f t="shared" si="1"/>
        <v>0</v>
      </c>
    </row>
    <row r="42" spans="1:25" ht="30" x14ac:dyDescent="0.25">
      <c r="A42" s="1"/>
      <c r="B42" s="1"/>
      <c r="C42" s="1"/>
      <c r="D42" s="1"/>
      <c r="E42" s="1"/>
      <c r="F42" s="1"/>
      <c r="G42" s="1489" t="s">
        <v>3390</v>
      </c>
      <c r="H42" s="4" t="s">
        <v>3503</v>
      </c>
      <c r="I42" s="73">
        <v>3300000</v>
      </c>
      <c r="J42" s="4" t="s">
        <v>1220</v>
      </c>
      <c r="K42" s="4" t="s">
        <v>3598</v>
      </c>
      <c r="L42" s="73"/>
      <c r="M42" s="73"/>
      <c r="N42" s="73">
        <v>3300000</v>
      </c>
      <c r="O42" s="73"/>
      <c r="P42" s="73"/>
      <c r="Q42" s="73"/>
      <c r="R42" s="73"/>
      <c r="S42" s="73"/>
      <c r="T42" s="73"/>
      <c r="U42" s="73"/>
      <c r="V42" s="73"/>
      <c r="W42" s="73"/>
      <c r="X42" s="1864">
        <f t="shared" si="0"/>
        <v>3300000</v>
      </c>
      <c r="Y42" s="23">
        <f t="shared" si="1"/>
        <v>0</v>
      </c>
    </row>
    <row r="43" spans="1:25" ht="60" x14ac:dyDescent="0.25">
      <c r="A43" s="865">
        <v>3</v>
      </c>
      <c r="B43" s="865">
        <v>1</v>
      </c>
      <c r="C43" s="1490" t="s">
        <v>3388</v>
      </c>
      <c r="D43" s="865"/>
      <c r="E43" s="865"/>
      <c r="F43" s="865"/>
      <c r="G43" s="865"/>
      <c r="H43" s="1061" t="s">
        <v>836</v>
      </c>
      <c r="I43" s="1063">
        <v>9720132.1799999997</v>
      </c>
      <c r="J43" s="1061" t="s">
        <v>2253</v>
      </c>
      <c r="K43" s="1061" t="s">
        <v>3598</v>
      </c>
      <c r="L43" s="1063"/>
      <c r="M43" s="1063"/>
      <c r="N43" s="1063"/>
      <c r="O43" s="1063"/>
      <c r="P43" s="1063"/>
      <c r="Q43" s="1063"/>
      <c r="R43" s="1063"/>
      <c r="S43" s="1063"/>
      <c r="T43" s="1063"/>
      <c r="U43" s="1063"/>
      <c r="V43" s="1063"/>
      <c r="W43" s="1063"/>
      <c r="X43" s="1866">
        <f t="shared" si="0"/>
        <v>0</v>
      </c>
      <c r="Y43" s="23">
        <f t="shared" si="1"/>
        <v>9720132.1799999997</v>
      </c>
    </row>
    <row r="44" spans="1:25" ht="30" x14ac:dyDescent="0.25">
      <c r="A44" s="1"/>
      <c r="B44" s="1"/>
      <c r="C44" s="1"/>
      <c r="D44" s="1">
        <v>5</v>
      </c>
      <c r="E44" s="1">
        <v>2</v>
      </c>
      <c r="F44" s="1"/>
      <c r="G44" s="1"/>
      <c r="H44" s="4" t="s">
        <v>304</v>
      </c>
      <c r="I44" s="98"/>
      <c r="J44" s="1"/>
      <c r="K44" s="4" t="s">
        <v>3598</v>
      </c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1864">
        <f t="shared" si="0"/>
        <v>0</v>
      </c>
      <c r="Y44" s="23">
        <f t="shared" si="1"/>
        <v>0</v>
      </c>
    </row>
    <row r="45" spans="1:25" ht="28.9" customHeight="1" x14ac:dyDescent="0.25">
      <c r="A45" s="1"/>
      <c r="B45" s="1"/>
      <c r="C45" s="1"/>
      <c r="D45" s="1"/>
      <c r="E45" s="1"/>
      <c r="F45" s="1">
        <v>1</v>
      </c>
      <c r="G45" s="1"/>
      <c r="H45" s="4" t="s">
        <v>84</v>
      </c>
      <c r="I45" s="73"/>
      <c r="J45" s="1"/>
      <c r="K45" s="4" t="s">
        <v>3598</v>
      </c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1864">
        <f t="shared" si="0"/>
        <v>0</v>
      </c>
      <c r="Y45" s="23">
        <f t="shared" si="1"/>
        <v>0</v>
      </c>
    </row>
    <row r="46" spans="1:25" ht="30" x14ac:dyDescent="0.25">
      <c r="A46" s="1"/>
      <c r="B46" s="1"/>
      <c r="C46" s="1"/>
      <c r="D46" s="1"/>
      <c r="E46" s="1"/>
      <c r="F46" s="1"/>
      <c r="G46" s="1489" t="s">
        <v>3391</v>
      </c>
      <c r="H46" s="4" t="s">
        <v>307</v>
      </c>
      <c r="I46" s="73">
        <v>4500000</v>
      </c>
      <c r="J46" s="4" t="s">
        <v>2253</v>
      </c>
      <c r="K46" s="4" t="s">
        <v>3598</v>
      </c>
      <c r="L46" s="73">
        <v>4500000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1864">
        <f t="shared" si="0"/>
        <v>4500000</v>
      </c>
      <c r="Y46" s="23">
        <f t="shared" si="1"/>
        <v>0</v>
      </c>
    </row>
    <row r="47" spans="1:25" ht="43.15" customHeight="1" x14ac:dyDescent="0.25">
      <c r="A47" s="1"/>
      <c r="B47" s="1"/>
      <c r="C47" s="1"/>
      <c r="D47" s="1"/>
      <c r="E47" s="1"/>
      <c r="F47" s="1"/>
      <c r="G47" s="1489"/>
      <c r="H47" s="4" t="s">
        <v>3555</v>
      </c>
      <c r="I47" s="73">
        <v>255132.1799999997</v>
      </c>
      <c r="J47" s="4" t="s">
        <v>2253</v>
      </c>
      <c r="K47" s="4" t="s">
        <v>3598</v>
      </c>
      <c r="L47" s="73">
        <v>255132.1799999997</v>
      </c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1864">
        <f t="shared" si="0"/>
        <v>255132.1799999997</v>
      </c>
      <c r="Y47" s="23">
        <f t="shared" si="1"/>
        <v>0</v>
      </c>
    </row>
    <row r="48" spans="1:25" ht="57.6" customHeight="1" x14ac:dyDescent="0.25">
      <c r="A48" s="1"/>
      <c r="B48" s="1"/>
      <c r="C48" s="1"/>
      <c r="D48" s="1"/>
      <c r="E48" s="1"/>
      <c r="F48" s="1"/>
      <c r="G48" s="1">
        <v>90</v>
      </c>
      <c r="H48" s="4" t="s">
        <v>273</v>
      </c>
      <c r="I48" s="73">
        <v>65000</v>
      </c>
      <c r="J48" s="4" t="s">
        <v>2253</v>
      </c>
      <c r="K48" s="4" t="s">
        <v>3598</v>
      </c>
      <c r="L48" s="73">
        <v>65000</v>
      </c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1864">
        <f t="shared" si="0"/>
        <v>65000</v>
      </c>
      <c r="Y48" s="23">
        <f t="shared" si="1"/>
        <v>0</v>
      </c>
    </row>
    <row r="49" spans="1:25" ht="30" x14ac:dyDescent="0.25">
      <c r="A49" s="1"/>
      <c r="B49" s="1"/>
      <c r="C49" s="1"/>
      <c r="D49" s="1">
        <v>5</v>
      </c>
      <c r="E49" s="1">
        <v>2</v>
      </c>
      <c r="F49" s="1">
        <v>2</v>
      </c>
      <c r="G49" s="1"/>
      <c r="H49" s="4" t="s">
        <v>294</v>
      </c>
      <c r="I49" s="73"/>
      <c r="J49" s="4"/>
      <c r="K49" s="4" t="s">
        <v>3598</v>
      </c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1864">
        <f t="shared" si="0"/>
        <v>0</v>
      </c>
      <c r="Y49" s="23">
        <f t="shared" si="1"/>
        <v>0</v>
      </c>
    </row>
    <row r="50" spans="1:25" ht="45" x14ac:dyDescent="0.25">
      <c r="A50" s="1"/>
      <c r="B50" s="1"/>
      <c r="C50" s="1"/>
      <c r="D50" s="1"/>
      <c r="E50" s="1"/>
      <c r="F50" s="1"/>
      <c r="G50" s="1489" t="s">
        <v>3390</v>
      </c>
      <c r="H50" s="4" t="s">
        <v>3504</v>
      </c>
      <c r="I50" s="73">
        <v>4900000</v>
      </c>
      <c r="J50" s="4" t="s">
        <v>2253</v>
      </c>
      <c r="K50" s="4" t="s">
        <v>3598</v>
      </c>
      <c r="L50" s="73">
        <v>4900000</v>
      </c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1864">
        <f t="shared" si="0"/>
        <v>4900000</v>
      </c>
      <c r="Y50" s="23">
        <f t="shared" si="1"/>
        <v>0</v>
      </c>
    </row>
    <row r="51" spans="1:25" ht="66" customHeight="1" x14ac:dyDescent="0.25">
      <c r="A51" s="865">
        <v>3</v>
      </c>
      <c r="B51" s="865">
        <v>1</v>
      </c>
      <c r="C51" s="1490" t="s">
        <v>3388</v>
      </c>
      <c r="D51" s="865"/>
      <c r="E51" s="865"/>
      <c r="F51" s="865"/>
      <c r="G51" s="865"/>
      <c r="H51" s="1061" t="s">
        <v>1240</v>
      </c>
      <c r="I51" s="1063">
        <f>SUM(I52:I60)</f>
        <v>317636000</v>
      </c>
      <c r="J51" s="865"/>
      <c r="K51" s="1061" t="s">
        <v>3598</v>
      </c>
      <c r="L51" s="1063"/>
      <c r="M51" s="1063"/>
      <c r="N51" s="1063"/>
      <c r="O51" s="1063"/>
      <c r="P51" s="1063"/>
      <c r="Q51" s="1063"/>
      <c r="R51" s="1063"/>
      <c r="S51" s="1063"/>
      <c r="T51" s="1063"/>
      <c r="U51" s="1063"/>
      <c r="V51" s="1063"/>
      <c r="W51" s="1063"/>
      <c r="X51" s="1866">
        <f t="shared" si="0"/>
        <v>0</v>
      </c>
      <c r="Y51" s="23">
        <f t="shared" si="1"/>
        <v>317636000</v>
      </c>
    </row>
    <row r="52" spans="1:25" ht="43.15" customHeight="1" x14ac:dyDescent="0.25">
      <c r="A52" s="1"/>
      <c r="B52" s="1"/>
      <c r="C52" s="1"/>
      <c r="D52" s="1">
        <v>5</v>
      </c>
      <c r="E52" s="1">
        <v>2</v>
      </c>
      <c r="F52" s="1"/>
      <c r="G52" s="1"/>
      <c r="H52" s="4" t="s">
        <v>462</v>
      </c>
      <c r="I52" s="73"/>
      <c r="J52" s="1"/>
      <c r="K52" s="4" t="s">
        <v>3598</v>
      </c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1864">
        <f t="shared" si="0"/>
        <v>0</v>
      </c>
      <c r="Y52" s="23">
        <f t="shared" si="1"/>
        <v>0</v>
      </c>
    </row>
    <row r="53" spans="1:25" ht="14.45" customHeight="1" x14ac:dyDescent="0.25">
      <c r="A53" s="1"/>
      <c r="B53" s="1"/>
      <c r="C53" s="1"/>
      <c r="D53" s="1"/>
      <c r="E53" s="1"/>
      <c r="F53" s="1">
        <v>1</v>
      </c>
      <c r="G53" s="1"/>
      <c r="H53" s="4" t="s">
        <v>84</v>
      </c>
      <c r="I53" s="73"/>
      <c r="J53" s="1"/>
      <c r="K53" s="4" t="s">
        <v>3598</v>
      </c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1864">
        <f t="shared" si="0"/>
        <v>0</v>
      </c>
      <c r="Y53" s="23">
        <f t="shared" si="1"/>
        <v>0</v>
      </c>
    </row>
    <row r="54" spans="1:25" ht="28.9" customHeight="1" x14ac:dyDescent="0.25">
      <c r="A54" s="1"/>
      <c r="B54" s="1"/>
      <c r="C54" s="1"/>
      <c r="D54" s="1"/>
      <c r="E54" s="1"/>
      <c r="F54" s="1"/>
      <c r="G54" s="1489" t="s">
        <v>3390</v>
      </c>
      <c r="H54" s="4" t="s">
        <v>795</v>
      </c>
      <c r="I54" s="73">
        <v>186000</v>
      </c>
      <c r="J54" s="1" t="s">
        <v>1220</v>
      </c>
      <c r="K54" s="4" t="s">
        <v>3598</v>
      </c>
      <c r="L54" s="73">
        <v>186000</v>
      </c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1864">
        <f t="shared" si="0"/>
        <v>186000</v>
      </c>
      <c r="Y54" s="23">
        <f t="shared" si="1"/>
        <v>0</v>
      </c>
    </row>
    <row r="55" spans="1:25" ht="45" x14ac:dyDescent="0.25">
      <c r="A55" s="1"/>
      <c r="B55" s="1"/>
      <c r="C55" s="1"/>
      <c r="D55" s="1"/>
      <c r="E55" s="1"/>
      <c r="F55" s="1"/>
      <c r="G55" s="1489" t="s">
        <v>3389</v>
      </c>
      <c r="H55" s="4" t="s">
        <v>844</v>
      </c>
      <c r="I55" s="73">
        <v>15000000</v>
      </c>
      <c r="J55" s="1" t="s">
        <v>1220</v>
      </c>
      <c r="K55" s="4" t="s">
        <v>3598</v>
      </c>
      <c r="L55" s="73">
        <v>15000000</v>
      </c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1864">
        <f t="shared" si="0"/>
        <v>15000000</v>
      </c>
      <c r="Y55" s="23">
        <f t="shared" si="1"/>
        <v>0</v>
      </c>
    </row>
    <row r="56" spans="1:25" ht="30" x14ac:dyDescent="0.25">
      <c r="A56" s="1"/>
      <c r="B56" s="1"/>
      <c r="C56" s="1"/>
      <c r="D56" s="1">
        <v>5</v>
      </c>
      <c r="E56" s="1">
        <v>2</v>
      </c>
      <c r="F56" s="1">
        <v>2</v>
      </c>
      <c r="G56" s="1"/>
      <c r="H56" s="4" t="s">
        <v>294</v>
      </c>
      <c r="I56" s="73"/>
      <c r="J56" s="1"/>
      <c r="K56" s="4" t="s">
        <v>3598</v>
      </c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1864">
        <f t="shared" si="0"/>
        <v>0</v>
      </c>
      <c r="Y56" s="23">
        <f t="shared" si="1"/>
        <v>0</v>
      </c>
    </row>
    <row r="57" spans="1:25" ht="30" x14ac:dyDescent="0.25">
      <c r="A57" s="1"/>
      <c r="B57" s="1"/>
      <c r="C57" s="1"/>
      <c r="D57" s="1"/>
      <c r="E57" s="1"/>
      <c r="F57" s="1"/>
      <c r="G57" s="1489" t="s">
        <v>3366</v>
      </c>
      <c r="H57" s="4" t="s">
        <v>686</v>
      </c>
      <c r="I57" s="73">
        <v>700000</v>
      </c>
      <c r="J57" s="1" t="s">
        <v>1220</v>
      </c>
      <c r="K57" s="4" t="s">
        <v>3598</v>
      </c>
      <c r="L57" s="73">
        <v>700000</v>
      </c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1864">
        <f t="shared" si="0"/>
        <v>700000</v>
      </c>
      <c r="Y57" s="23">
        <f t="shared" si="1"/>
        <v>0</v>
      </c>
    </row>
    <row r="58" spans="1:25" ht="57.6" customHeight="1" x14ac:dyDescent="0.25">
      <c r="A58" s="1"/>
      <c r="B58" s="1"/>
      <c r="C58" s="1"/>
      <c r="D58" s="1"/>
      <c r="E58" s="1"/>
      <c r="F58" s="1"/>
      <c r="G58" s="1489" t="s">
        <v>3389</v>
      </c>
      <c r="H58" s="4" t="s">
        <v>333</v>
      </c>
      <c r="I58" s="73">
        <v>255500000</v>
      </c>
      <c r="J58" s="4" t="s">
        <v>1777</v>
      </c>
      <c r="K58" s="4" t="s">
        <v>3598</v>
      </c>
      <c r="L58" s="73">
        <v>21700000</v>
      </c>
      <c r="M58" s="73">
        <v>19600000</v>
      </c>
      <c r="N58" s="73">
        <v>21700000</v>
      </c>
      <c r="O58" s="73">
        <v>21000000</v>
      </c>
      <c r="P58" s="73">
        <v>21700000</v>
      </c>
      <c r="Q58" s="73">
        <v>21000000</v>
      </c>
      <c r="R58" s="73">
        <v>21700000</v>
      </c>
      <c r="S58" s="73">
        <v>21700000</v>
      </c>
      <c r="T58" s="73">
        <v>21000000</v>
      </c>
      <c r="U58" s="73">
        <v>21700000</v>
      </c>
      <c r="V58" s="73">
        <v>21000000</v>
      </c>
      <c r="W58" s="73">
        <v>21700000</v>
      </c>
      <c r="X58" s="1864">
        <f t="shared" si="0"/>
        <v>255500000</v>
      </c>
      <c r="Y58" s="23">
        <f t="shared" si="1"/>
        <v>0</v>
      </c>
    </row>
    <row r="59" spans="1:25" ht="30" x14ac:dyDescent="0.25">
      <c r="A59" s="1"/>
      <c r="B59" s="1"/>
      <c r="C59" s="1"/>
      <c r="D59" s="1">
        <v>5</v>
      </c>
      <c r="E59" s="1">
        <v>2</v>
      </c>
      <c r="F59" s="1">
        <v>6</v>
      </c>
      <c r="G59" s="1"/>
      <c r="H59" s="4" t="s">
        <v>206</v>
      </c>
      <c r="I59" s="73"/>
      <c r="J59" s="1"/>
      <c r="K59" s="4" t="s">
        <v>3598</v>
      </c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1864">
        <f t="shared" si="0"/>
        <v>0</v>
      </c>
      <c r="Y59" s="23">
        <f t="shared" si="1"/>
        <v>0</v>
      </c>
    </row>
    <row r="60" spans="1:25" ht="30" x14ac:dyDescent="0.25">
      <c r="A60" s="1"/>
      <c r="B60" s="1"/>
      <c r="C60" s="1"/>
      <c r="D60" s="1"/>
      <c r="E60" s="1"/>
      <c r="F60" s="1"/>
      <c r="G60" s="1489" t="s">
        <v>3386</v>
      </c>
      <c r="H60" s="4" t="s">
        <v>208</v>
      </c>
      <c r="I60" s="73">
        <v>46250000</v>
      </c>
      <c r="J60" s="1" t="s">
        <v>1506</v>
      </c>
      <c r="K60" s="4" t="s">
        <v>3598</v>
      </c>
      <c r="L60" s="73"/>
      <c r="M60" s="73">
        <v>46250000</v>
      </c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1864">
        <f t="shared" si="0"/>
        <v>46250000</v>
      </c>
      <c r="Y60" s="23">
        <f t="shared" si="1"/>
        <v>0</v>
      </c>
    </row>
    <row r="61" spans="1:25" ht="28.9" customHeight="1" x14ac:dyDescent="0.25">
      <c r="A61" s="865">
        <v>3</v>
      </c>
      <c r="B61" s="865">
        <v>1</v>
      </c>
      <c r="C61" s="1490" t="s">
        <v>3389</v>
      </c>
      <c r="D61" s="865"/>
      <c r="E61" s="865"/>
      <c r="F61" s="865"/>
      <c r="G61" s="865"/>
      <c r="H61" s="1061" t="s">
        <v>1319</v>
      </c>
      <c r="I61" s="1063">
        <v>34770000</v>
      </c>
      <c r="J61" s="865" t="s">
        <v>1506</v>
      </c>
      <c r="K61" s="1061" t="s">
        <v>3598</v>
      </c>
      <c r="L61" s="1063"/>
      <c r="M61" s="1063"/>
      <c r="N61" s="1063"/>
      <c r="O61" s="1063"/>
      <c r="P61" s="1063"/>
      <c r="Q61" s="1063"/>
      <c r="R61" s="1063"/>
      <c r="S61" s="1063"/>
      <c r="T61" s="1063"/>
      <c r="U61" s="1063"/>
      <c r="V61" s="1063"/>
      <c r="W61" s="1063"/>
      <c r="X61" s="1866">
        <f t="shared" si="0"/>
        <v>0</v>
      </c>
      <c r="Y61" s="23">
        <f t="shared" si="1"/>
        <v>34770000</v>
      </c>
    </row>
    <row r="62" spans="1:25" ht="30" x14ac:dyDescent="0.25">
      <c r="A62" s="1"/>
      <c r="B62" s="1"/>
      <c r="C62" s="1"/>
      <c r="D62" s="1">
        <v>5</v>
      </c>
      <c r="E62" s="1">
        <v>2</v>
      </c>
      <c r="F62" s="1"/>
      <c r="G62" s="1"/>
      <c r="H62" s="4" t="s">
        <v>462</v>
      </c>
      <c r="I62" s="73"/>
      <c r="J62" s="1"/>
      <c r="K62" s="4" t="s">
        <v>3598</v>
      </c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1864">
        <f t="shared" si="0"/>
        <v>0</v>
      </c>
      <c r="Y62" s="23">
        <f t="shared" si="1"/>
        <v>0</v>
      </c>
    </row>
    <row r="63" spans="1:25" ht="28.9" customHeight="1" x14ac:dyDescent="0.25">
      <c r="A63" s="1"/>
      <c r="B63" s="1"/>
      <c r="C63" s="1"/>
      <c r="D63" s="1"/>
      <c r="E63" s="1"/>
      <c r="F63" s="1">
        <v>1</v>
      </c>
      <c r="G63" s="1"/>
      <c r="H63" s="4" t="s">
        <v>84</v>
      </c>
      <c r="I63" s="73"/>
      <c r="J63" s="1"/>
      <c r="K63" s="4" t="s">
        <v>3598</v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1864">
        <f t="shared" si="0"/>
        <v>0</v>
      </c>
      <c r="Y63" s="23">
        <f t="shared" si="1"/>
        <v>0</v>
      </c>
    </row>
    <row r="64" spans="1:25" ht="30" x14ac:dyDescent="0.25">
      <c r="A64" s="1"/>
      <c r="B64" s="1"/>
      <c r="C64" s="1"/>
      <c r="D64" s="1"/>
      <c r="E64" s="1"/>
      <c r="F64" s="1"/>
      <c r="G64" s="1489" t="s">
        <v>3391</v>
      </c>
      <c r="H64" s="4" t="s">
        <v>307</v>
      </c>
      <c r="I64" s="73">
        <v>900000</v>
      </c>
      <c r="J64" s="1" t="s">
        <v>1506</v>
      </c>
      <c r="K64" s="4" t="s">
        <v>3598</v>
      </c>
      <c r="L64" s="73"/>
      <c r="M64" s="73"/>
      <c r="N64" s="73"/>
      <c r="O64" s="73"/>
      <c r="P64" s="73"/>
      <c r="Q64" s="73"/>
      <c r="R64" s="73">
        <v>900000</v>
      </c>
      <c r="S64" s="73"/>
      <c r="T64" s="73"/>
      <c r="U64" s="73"/>
      <c r="V64" s="73"/>
      <c r="W64" s="73"/>
      <c r="X64" s="1864">
        <f t="shared" si="0"/>
        <v>900000</v>
      </c>
      <c r="Y64" s="23">
        <f t="shared" si="1"/>
        <v>0</v>
      </c>
    </row>
    <row r="65" spans="1:25" ht="28.9" customHeight="1" x14ac:dyDescent="0.25">
      <c r="A65" s="1"/>
      <c r="B65" s="1"/>
      <c r="C65" s="1"/>
      <c r="D65" s="1"/>
      <c r="E65" s="1"/>
      <c r="F65" s="1"/>
      <c r="G65" s="1489" t="s">
        <v>3394</v>
      </c>
      <c r="H65" s="4" t="s">
        <v>1572</v>
      </c>
      <c r="I65" s="73">
        <v>23450000</v>
      </c>
      <c r="J65" s="1" t="s">
        <v>1506</v>
      </c>
      <c r="K65" s="4" t="s">
        <v>3598</v>
      </c>
      <c r="L65" s="73"/>
      <c r="M65" s="73"/>
      <c r="N65" s="73"/>
      <c r="O65" s="73"/>
      <c r="P65" s="73"/>
      <c r="Q65" s="73"/>
      <c r="R65" s="73">
        <v>23450000</v>
      </c>
      <c r="S65" s="73"/>
      <c r="T65" s="73"/>
      <c r="U65" s="73"/>
      <c r="V65" s="73"/>
      <c r="W65" s="73"/>
      <c r="X65" s="1864">
        <f t="shared" si="0"/>
        <v>23450000</v>
      </c>
      <c r="Y65" s="23">
        <f t="shared" si="1"/>
        <v>0</v>
      </c>
    </row>
    <row r="66" spans="1:25" ht="30" x14ac:dyDescent="0.25">
      <c r="A66" s="1"/>
      <c r="B66" s="1"/>
      <c r="C66" s="1"/>
      <c r="D66" s="1"/>
      <c r="E66" s="1"/>
      <c r="F66" s="1"/>
      <c r="G66" s="1489" t="s">
        <v>3393</v>
      </c>
      <c r="H66" s="4" t="s">
        <v>325</v>
      </c>
      <c r="I66" s="73">
        <v>90000</v>
      </c>
      <c r="J66" s="1" t="s">
        <v>1506</v>
      </c>
      <c r="K66" s="4" t="s">
        <v>3598</v>
      </c>
      <c r="L66" s="73"/>
      <c r="M66" s="73"/>
      <c r="N66" s="73"/>
      <c r="O66" s="73"/>
      <c r="P66" s="73"/>
      <c r="Q66" s="73"/>
      <c r="R66" s="73">
        <v>90000</v>
      </c>
      <c r="S66" s="73"/>
      <c r="T66" s="73"/>
      <c r="U66" s="73"/>
      <c r="V66" s="73"/>
      <c r="W66" s="73"/>
      <c r="X66" s="1864">
        <f t="shared" si="0"/>
        <v>90000</v>
      </c>
      <c r="Y66" s="23">
        <f t="shared" si="1"/>
        <v>0</v>
      </c>
    </row>
    <row r="67" spans="1:25" ht="43.15" customHeight="1" x14ac:dyDescent="0.25">
      <c r="A67" s="1"/>
      <c r="B67" s="1"/>
      <c r="C67" s="1"/>
      <c r="D67" s="1"/>
      <c r="E67" s="1"/>
      <c r="F67" s="1"/>
      <c r="G67" s="1489" t="s">
        <v>3394</v>
      </c>
      <c r="H67" s="4" t="s">
        <v>930</v>
      </c>
      <c r="I67" s="73">
        <v>9680000</v>
      </c>
      <c r="J67" s="1" t="s">
        <v>1506</v>
      </c>
      <c r="K67" s="4" t="s">
        <v>3598</v>
      </c>
      <c r="L67" s="73"/>
      <c r="M67" s="73"/>
      <c r="N67" s="73"/>
      <c r="O67" s="73"/>
      <c r="P67" s="73"/>
      <c r="Q67" s="73"/>
      <c r="R67" s="73">
        <v>9680000</v>
      </c>
      <c r="S67" s="73"/>
      <c r="T67" s="73"/>
      <c r="U67" s="73"/>
      <c r="V67" s="73"/>
      <c r="W67" s="73"/>
      <c r="X67" s="1864">
        <f t="shared" si="0"/>
        <v>9680000</v>
      </c>
      <c r="Y67" s="23">
        <f t="shared" si="1"/>
        <v>0</v>
      </c>
    </row>
    <row r="68" spans="1:25" ht="30" x14ac:dyDescent="0.25">
      <c r="A68" s="1"/>
      <c r="B68" s="1"/>
      <c r="C68" s="1"/>
      <c r="D68" s="1"/>
      <c r="E68" s="1"/>
      <c r="F68" s="1"/>
      <c r="G68" s="1489" t="s">
        <v>3417</v>
      </c>
      <c r="H68" s="4" t="s">
        <v>273</v>
      </c>
      <c r="I68" s="73">
        <v>50000</v>
      </c>
      <c r="J68" s="1" t="s">
        <v>1506</v>
      </c>
      <c r="K68" s="4" t="s">
        <v>3598</v>
      </c>
      <c r="L68" s="73"/>
      <c r="M68" s="73"/>
      <c r="N68" s="73"/>
      <c r="O68" s="73"/>
      <c r="P68" s="73"/>
      <c r="Q68" s="73"/>
      <c r="R68" s="73">
        <v>50000</v>
      </c>
      <c r="S68" s="73"/>
      <c r="T68" s="73"/>
      <c r="U68" s="73"/>
      <c r="V68" s="73"/>
      <c r="W68" s="73"/>
      <c r="X68" s="1864">
        <f t="shared" si="0"/>
        <v>50000</v>
      </c>
      <c r="Y68" s="23">
        <f t="shared" si="1"/>
        <v>0</v>
      </c>
    </row>
    <row r="69" spans="1:25" ht="27.6" customHeight="1" x14ac:dyDescent="0.25">
      <c r="A69" s="1"/>
      <c r="B69" s="1"/>
      <c r="C69" s="1"/>
      <c r="D69" s="1">
        <v>5</v>
      </c>
      <c r="E69" s="1">
        <v>2</v>
      </c>
      <c r="F69" s="1">
        <v>2</v>
      </c>
      <c r="G69" s="1"/>
      <c r="H69" s="4" t="s">
        <v>294</v>
      </c>
      <c r="I69" s="73"/>
      <c r="J69" s="1"/>
      <c r="K69" s="4" t="s">
        <v>3598</v>
      </c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1864">
        <f t="shared" si="0"/>
        <v>0</v>
      </c>
      <c r="Y69" s="23">
        <f t="shared" si="1"/>
        <v>0</v>
      </c>
    </row>
    <row r="70" spans="1:25" ht="45" x14ac:dyDescent="0.25">
      <c r="A70" s="1"/>
      <c r="B70" s="1"/>
      <c r="C70" s="1"/>
      <c r="D70" s="1"/>
      <c r="E70" s="1"/>
      <c r="F70" s="1"/>
      <c r="G70" s="1489" t="s">
        <v>3389</v>
      </c>
      <c r="H70" s="4" t="s">
        <v>411</v>
      </c>
      <c r="I70" s="73">
        <v>600000</v>
      </c>
      <c r="J70" s="1" t="s">
        <v>1506</v>
      </c>
      <c r="K70" s="4" t="s">
        <v>3598</v>
      </c>
      <c r="L70" s="73"/>
      <c r="M70" s="73"/>
      <c r="N70" s="73"/>
      <c r="O70" s="73"/>
      <c r="P70" s="73"/>
      <c r="Q70" s="73"/>
      <c r="R70" s="73">
        <v>600000</v>
      </c>
      <c r="S70" s="73"/>
      <c r="T70" s="73"/>
      <c r="U70" s="73"/>
      <c r="V70" s="73"/>
      <c r="W70" s="73"/>
      <c r="X70" s="1864">
        <f t="shared" si="0"/>
        <v>600000</v>
      </c>
      <c r="Y70" s="23">
        <f t="shared" si="1"/>
        <v>0</v>
      </c>
    </row>
    <row r="71" spans="1:25" ht="45" x14ac:dyDescent="0.25">
      <c r="A71" s="1869">
        <v>5</v>
      </c>
      <c r="B71" s="1869"/>
      <c r="C71" s="1869"/>
      <c r="D71" s="1869"/>
      <c r="E71" s="1869"/>
      <c r="F71" s="1869"/>
      <c r="G71" s="1869"/>
      <c r="H71" s="1870" t="s">
        <v>3605</v>
      </c>
      <c r="I71" s="1871">
        <f>I72</f>
        <v>26926587.09</v>
      </c>
      <c r="J71" s="1869"/>
      <c r="K71" s="1870"/>
      <c r="L71" s="1871"/>
      <c r="M71" s="1871"/>
      <c r="N71" s="1871"/>
      <c r="O71" s="1871"/>
      <c r="P71" s="1871"/>
      <c r="Q71" s="1871"/>
      <c r="R71" s="1871"/>
      <c r="S71" s="1871"/>
      <c r="T71" s="1871"/>
      <c r="U71" s="1871"/>
      <c r="V71" s="1871"/>
      <c r="W71" s="1871"/>
      <c r="X71" s="1872">
        <f t="shared" si="0"/>
        <v>0</v>
      </c>
      <c r="Y71" s="23">
        <f t="shared" si="1"/>
        <v>26926587.09</v>
      </c>
    </row>
    <row r="72" spans="1:25" ht="30" x14ac:dyDescent="0.25">
      <c r="A72" s="865">
        <v>5</v>
      </c>
      <c r="B72" s="865">
        <v>2</v>
      </c>
      <c r="C72" s="1490" t="s">
        <v>3416</v>
      </c>
      <c r="D72" s="865"/>
      <c r="E72" s="865"/>
      <c r="F72" s="865"/>
      <c r="G72" s="865"/>
      <c r="H72" s="1061" t="s">
        <v>3347</v>
      </c>
      <c r="I72" s="1063">
        <v>26926587.09</v>
      </c>
      <c r="J72" s="865"/>
      <c r="K72" s="1061" t="s">
        <v>3598</v>
      </c>
      <c r="L72" s="1063"/>
      <c r="M72" s="1063"/>
      <c r="N72" s="1063"/>
      <c r="O72" s="1063"/>
      <c r="P72" s="1063"/>
      <c r="Q72" s="1063"/>
      <c r="R72" s="1063"/>
      <c r="S72" s="1063"/>
      <c r="T72" s="1063"/>
      <c r="U72" s="1063"/>
      <c r="V72" s="1063"/>
      <c r="W72" s="1063"/>
      <c r="X72" s="1866">
        <f t="shared" si="0"/>
        <v>0</v>
      </c>
      <c r="Y72" s="23">
        <f t="shared" si="1"/>
        <v>26926587.09</v>
      </c>
    </row>
    <row r="73" spans="1:25" ht="30" x14ac:dyDescent="0.25">
      <c r="A73" s="1"/>
      <c r="B73" s="1"/>
      <c r="C73" s="1"/>
      <c r="D73" s="1">
        <v>5</v>
      </c>
      <c r="E73" s="1">
        <v>4</v>
      </c>
      <c r="F73" s="1"/>
      <c r="G73" s="1"/>
      <c r="H73" s="1" t="s">
        <v>1409</v>
      </c>
      <c r="I73" s="73"/>
      <c r="J73" s="1"/>
      <c r="K73" s="4" t="s">
        <v>3598</v>
      </c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1864">
        <f t="shared" si="0"/>
        <v>0</v>
      </c>
      <c r="Y73" s="23">
        <f t="shared" si="1"/>
        <v>0</v>
      </c>
    </row>
    <row r="74" spans="1:25" ht="30" x14ac:dyDescent="0.25">
      <c r="A74" s="1"/>
      <c r="B74" s="1"/>
      <c r="C74" s="1"/>
      <c r="D74" s="1"/>
      <c r="E74" s="1"/>
      <c r="F74" s="1">
        <v>1</v>
      </c>
      <c r="G74" s="1"/>
      <c r="H74" s="1" t="s">
        <v>1409</v>
      </c>
      <c r="I74" s="73"/>
      <c r="J74" s="1"/>
      <c r="K74" s="4" t="s">
        <v>3598</v>
      </c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1864">
        <f t="shared" si="0"/>
        <v>0</v>
      </c>
      <c r="Y74" s="23">
        <f t="shared" si="1"/>
        <v>0</v>
      </c>
    </row>
    <row r="75" spans="1:25" ht="30" x14ac:dyDescent="0.25">
      <c r="A75" s="1"/>
      <c r="B75" s="1"/>
      <c r="C75" s="1"/>
      <c r="D75" s="1"/>
      <c r="E75" s="1"/>
      <c r="F75" s="1"/>
      <c r="G75" s="1489" t="s">
        <v>3366</v>
      </c>
      <c r="H75" s="1" t="s">
        <v>1409</v>
      </c>
      <c r="I75" s="73">
        <v>1124000</v>
      </c>
      <c r="J75" s="1" t="s">
        <v>1410</v>
      </c>
      <c r="K75" s="4" t="s">
        <v>3598</v>
      </c>
      <c r="L75" s="73"/>
      <c r="M75" s="73">
        <v>1124000</v>
      </c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1864">
        <f t="shared" si="0"/>
        <v>1124000</v>
      </c>
      <c r="Y75" s="23">
        <f t="shared" si="1"/>
        <v>0</v>
      </c>
    </row>
    <row r="76" spans="1:25" ht="30" x14ac:dyDescent="0.25">
      <c r="A76" s="1"/>
      <c r="B76" s="1"/>
      <c r="C76" s="1"/>
      <c r="D76" s="1"/>
      <c r="E76" s="1"/>
      <c r="F76" s="1"/>
      <c r="G76" s="1489" t="s">
        <v>3366</v>
      </c>
      <c r="H76" s="1" t="s">
        <v>1409</v>
      </c>
      <c r="I76" s="73">
        <v>25802587.09</v>
      </c>
      <c r="J76" s="4" t="s">
        <v>2179</v>
      </c>
      <c r="K76" s="4" t="s">
        <v>3598</v>
      </c>
      <c r="L76" s="73"/>
      <c r="M76" s="73"/>
      <c r="N76" s="73">
        <v>25802587.09</v>
      </c>
      <c r="O76" s="73"/>
      <c r="P76" s="73"/>
      <c r="Q76" s="73"/>
      <c r="R76" s="73"/>
      <c r="S76" s="73"/>
      <c r="T76" s="73"/>
      <c r="U76" s="73"/>
      <c r="V76" s="73"/>
      <c r="W76" s="73"/>
      <c r="X76" s="1864">
        <f t="shared" si="0"/>
        <v>25802587.09</v>
      </c>
      <c r="Y76" s="23">
        <f t="shared" si="1"/>
        <v>0</v>
      </c>
    </row>
    <row r="77" spans="1:25" x14ac:dyDescent="0.25">
      <c r="V77" s="2243" t="s">
        <v>3567</v>
      </c>
      <c r="W77" s="2243"/>
    </row>
    <row r="81" spans="22:23" x14ac:dyDescent="0.25">
      <c r="V81" s="2213" t="s">
        <v>3568</v>
      </c>
      <c r="W81" s="2213"/>
    </row>
  </sheetData>
  <autoFilter ref="A12:X76" xr:uid="{F3E63A3B-8659-4486-B9DE-DB0C157B2DF0}"/>
  <mergeCells count="17">
    <mergeCell ref="A11:C11"/>
    <mergeCell ref="D11:G11"/>
    <mergeCell ref="J11:W11"/>
    <mergeCell ref="V77:W77"/>
    <mergeCell ref="V81:W81"/>
    <mergeCell ref="A1:X1"/>
    <mergeCell ref="A2:X2"/>
    <mergeCell ref="D4:I4"/>
    <mergeCell ref="D5:I5"/>
    <mergeCell ref="D6:I6"/>
    <mergeCell ref="L9:W9"/>
    <mergeCell ref="X9:X10"/>
    <mergeCell ref="D7:I7"/>
    <mergeCell ref="A9:G10"/>
    <mergeCell ref="H9:H10"/>
    <mergeCell ref="I9:I10"/>
    <mergeCell ref="J9:J10"/>
  </mergeCells>
  <pageMargins left="0.5" right="0.5" top="1" bottom="0.75" header="0.3" footer="0.3"/>
  <pageSetup paperSize="5" scale="55" orientation="landscape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0FD39-0527-49D5-8ACB-7EBC8FB7439A}">
  <dimension ref="A1:Y178"/>
  <sheetViews>
    <sheetView topLeftCell="I157" zoomScale="80" zoomScaleNormal="80" workbookViewId="0">
      <selection activeCell="Y14" sqref="Y14:Y173"/>
    </sheetView>
  </sheetViews>
  <sheetFormatPr defaultRowHeight="15" x14ac:dyDescent="0.25"/>
  <cols>
    <col min="1" max="3" width="3.28515625" customWidth="1"/>
    <col min="4" max="4" width="2.5703125" customWidth="1"/>
    <col min="5" max="7" width="3.28515625" customWidth="1"/>
    <col min="8" max="8" width="28" customWidth="1"/>
    <col min="9" max="9" width="18.5703125" customWidth="1"/>
    <col min="10" max="10" width="9" customWidth="1"/>
    <col min="11" max="11" width="13" customWidth="1"/>
    <col min="12" max="12" width="16.28515625" bestFit="1" customWidth="1"/>
    <col min="13" max="14" width="14.85546875" bestFit="1" customWidth="1"/>
    <col min="15" max="15" width="16.28515625" bestFit="1" customWidth="1"/>
    <col min="16" max="17" width="14.85546875" bestFit="1" customWidth="1"/>
    <col min="18" max="19" width="13.85546875" bestFit="1" customWidth="1"/>
    <col min="20" max="21" width="14.85546875" bestFit="1" customWidth="1"/>
    <col min="22" max="23" width="13.85546875" bestFit="1" customWidth="1"/>
    <col min="24" max="24" width="16.28515625" bestFit="1" customWidth="1"/>
    <col min="25" max="25" width="14.85546875" bestFit="1" customWidth="1"/>
  </cols>
  <sheetData>
    <row r="1" spans="1:25" ht="28.5" x14ac:dyDescent="0.25">
      <c r="A1" s="2222" t="s">
        <v>3653</v>
      </c>
      <c r="B1" s="2222"/>
      <c r="C1" s="2222"/>
      <c r="D1" s="2222"/>
      <c r="E1" s="2222"/>
      <c r="F1" s="2222"/>
      <c r="G1" s="2222"/>
      <c r="H1" s="2222"/>
      <c r="I1" s="2222"/>
      <c r="J1" s="2222"/>
      <c r="K1" s="2222"/>
      <c r="L1" s="2222"/>
      <c r="M1" s="2222"/>
      <c r="N1" s="2222"/>
      <c r="O1" s="2222"/>
      <c r="P1" s="2222"/>
      <c r="Q1" s="2222"/>
      <c r="R1" s="2222"/>
      <c r="S1" s="2222"/>
      <c r="T1" s="2222"/>
      <c r="U1" s="2222"/>
      <c r="V1" s="2222"/>
      <c r="W1" s="2222"/>
      <c r="X1" s="2222"/>
    </row>
    <row r="2" spans="1:25" ht="28.5" x14ac:dyDescent="0.25">
      <c r="A2" s="2222" t="s">
        <v>1737</v>
      </c>
      <c r="B2" s="2222"/>
      <c r="C2" s="2222"/>
      <c r="D2" s="2222"/>
      <c r="E2" s="2222"/>
      <c r="F2" s="2222"/>
      <c r="G2" s="2222"/>
      <c r="H2" s="2222"/>
      <c r="I2" s="2222"/>
      <c r="J2" s="2222"/>
      <c r="K2" s="2222"/>
      <c r="L2" s="2222"/>
      <c r="M2" s="2222"/>
      <c r="N2" s="2222"/>
      <c r="O2" s="2222"/>
      <c r="P2" s="2222"/>
      <c r="Q2" s="2222"/>
      <c r="R2" s="2222"/>
      <c r="S2" s="2222"/>
      <c r="T2" s="2222"/>
      <c r="U2" s="2222"/>
      <c r="V2" s="2222"/>
      <c r="W2" s="2222"/>
      <c r="X2" s="2222"/>
    </row>
    <row r="3" spans="1:25" x14ac:dyDescent="0.25">
      <c r="F3" s="5"/>
    </row>
    <row r="4" spans="1:25" x14ac:dyDescent="0.25">
      <c r="A4" t="s">
        <v>977</v>
      </c>
      <c r="C4" t="s">
        <v>62</v>
      </c>
      <c r="D4" s="2221" t="s">
        <v>1</v>
      </c>
      <c r="E4" s="2221"/>
      <c r="F4" s="2221"/>
      <c r="G4" s="2221"/>
      <c r="H4" s="2221"/>
      <c r="I4" s="2221"/>
    </row>
    <row r="5" spans="1:25" x14ac:dyDescent="0.25">
      <c r="A5" t="s">
        <v>979</v>
      </c>
      <c r="C5" t="s">
        <v>62</v>
      </c>
      <c r="D5" s="2221" t="s">
        <v>3613</v>
      </c>
      <c r="E5" s="2221"/>
      <c r="F5" s="2221"/>
      <c r="G5" s="2221"/>
      <c r="H5" s="2221"/>
      <c r="I5" s="2221"/>
    </row>
    <row r="6" spans="1:25" x14ac:dyDescent="0.25">
      <c r="A6" t="s">
        <v>1189</v>
      </c>
      <c r="C6" t="s">
        <v>62</v>
      </c>
      <c r="D6" s="2221" t="s">
        <v>3614</v>
      </c>
      <c r="E6" s="2221"/>
      <c r="F6" s="2221"/>
      <c r="G6" s="2221"/>
      <c r="H6" s="2221"/>
      <c r="I6" s="2221"/>
    </row>
    <row r="7" spans="1:25" x14ac:dyDescent="0.25">
      <c r="A7" t="s">
        <v>983</v>
      </c>
      <c r="C7" t="s">
        <v>62</v>
      </c>
      <c r="D7" s="2221" t="s">
        <v>3615</v>
      </c>
      <c r="E7" s="2221"/>
      <c r="F7" s="2221"/>
      <c r="G7" s="2221"/>
      <c r="H7" s="2221"/>
      <c r="I7" s="2221"/>
    </row>
    <row r="8" spans="1:25" x14ac:dyDescent="0.25">
      <c r="F8" s="5"/>
    </row>
    <row r="9" spans="1:25" ht="14.45" customHeight="1" x14ac:dyDescent="0.25">
      <c r="A9" s="2231" t="s">
        <v>3359</v>
      </c>
      <c r="B9" s="2231"/>
      <c r="C9" s="2231"/>
      <c r="D9" s="2231"/>
      <c r="E9" s="2231"/>
      <c r="F9" s="2231"/>
      <c r="G9" s="2231"/>
      <c r="H9" s="2216" t="s">
        <v>3579</v>
      </c>
      <c r="I9" s="2232" t="s">
        <v>3361</v>
      </c>
      <c r="J9" s="2234" t="s">
        <v>3362</v>
      </c>
      <c r="K9" s="1863" t="s">
        <v>3580</v>
      </c>
      <c r="L9" s="2236" t="s">
        <v>3581</v>
      </c>
      <c r="M9" s="2237"/>
      <c r="N9" s="2237"/>
      <c r="O9" s="2237"/>
      <c r="P9" s="2237"/>
      <c r="Q9" s="2237"/>
      <c r="R9" s="2237"/>
      <c r="S9" s="2237"/>
      <c r="T9" s="2237"/>
      <c r="U9" s="2237"/>
      <c r="V9" s="2237"/>
      <c r="W9" s="2238"/>
      <c r="X9" s="2239" t="s">
        <v>26</v>
      </c>
    </row>
    <row r="10" spans="1:25" ht="28.9" customHeight="1" x14ac:dyDescent="0.25">
      <c r="A10" s="2231"/>
      <c r="B10" s="2231"/>
      <c r="C10" s="2231"/>
      <c r="D10" s="2231"/>
      <c r="E10" s="2231"/>
      <c r="F10" s="2231"/>
      <c r="G10" s="2231"/>
      <c r="H10" s="2216"/>
      <c r="I10" s="2233"/>
      <c r="J10" s="2235"/>
      <c r="K10" s="1863" t="s">
        <v>3582</v>
      </c>
      <c r="L10" s="1861" t="s">
        <v>3583</v>
      </c>
      <c r="M10" s="1861" t="s">
        <v>3584</v>
      </c>
      <c r="N10" s="1861" t="s">
        <v>3585</v>
      </c>
      <c r="O10" s="1861" t="s">
        <v>3586</v>
      </c>
      <c r="P10" s="1861" t="s">
        <v>3587</v>
      </c>
      <c r="Q10" s="1861" t="s">
        <v>3588</v>
      </c>
      <c r="R10" s="1861" t="s">
        <v>3589</v>
      </c>
      <c r="S10" s="1861" t="s">
        <v>3590</v>
      </c>
      <c r="T10" s="1861" t="s">
        <v>3591</v>
      </c>
      <c r="U10" s="1861" t="s">
        <v>3592</v>
      </c>
      <c r="V10" s="1861" t="s">
        <v>3593</v>
      </c>
      <c r="W10" s="1861" t="s">
        <v>3594</v>
      </c>
      <c r="X10" s="2240"/>
    </row>
    <row r="11" spans="1:25" x14ac:dyDescent="0.25">
      <c r="A11" s="2225">
        <v>1</v>
      </c>
      <c r="B11" s="2225"/>
      <c r="C11" s="2225"/>
      <c r="D11" s="2225">
        <v>2</v>
      </c>
      <c r="E11" s="2225"/>
      <c r="F11" s="2225"/>
      <c r="G11" s="2225"/>
      <c r="H11" s="1548">
        <v>3</v>
      </c>
      <c r="I11" s="890">
        <v>4</v>
      </c>
      <c r="J11" s="2226">
        <v>5</v>
      </c>
      <c r="K11" s="2227"/>
      <c r="L11" s="2227"/>
      <c r="M11" s="2227"/>
      <c r="N11" s="2227"/>
      <c r="O11" s="2227"/>
      <c r="P11" s="2227"/>
      <c r="Q11" s="2227"/>
      <c r="R11" s="2227"/>
      <c r="S11" s="2227"/>
      <c r="T11" s="2227"/>
      <c r="U11" s="2227"/>
      <c r="V11" s="2227"/>
      <c r="W11" s="2228"/>
      <c r="X11" s="1862">
        <v>6</v>
      </c>
    </row>
    <row r="12" spans="1:25" x14ac:dyDescent="0.25">
      <c r="A12" s="25" t="s">
        <v>998</v>
      </c>
      <c r="B12" s="25" t="s">
        <v>999</v>
      </c>
      <c r="C12" s="25" t="s">
        <v>1000</v>
      </c>
      <c r="D12" s="25" t="s">
        <v>998</v>
      </c>
      <c r="E12" s="25" t="s">
        <v>999</v>
      </c>
      <c r="F12" s="25" t="s">
        <v>1000</v>
      </c>
      <c r="G12" s="25" t="s">
        <v>1001</v>
      </c>
      <c r="H12" s="1"/>
      <c r="I12" s="73"/>
      <c r="J12" s="4"/>
      <c r="K12" s="4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1"/>
    </row>
    <row r="13" spans="1:25" ht="30" x14ac:dyDescent="0.25">
      <c r="A13" s="1868">
        <v>1</v>
      </c>
      <c r="B13" s="1869"/>
      <c r="C13" s="1869"/>
      <c r="D13" s="1869"/>
      <c r="E13" s="1869"/>
      <c r="F13" s="1869"/>
      <c r="G13" s="1869"/>
      <c r="H13" s="1870" t="s">
        <v>3</v>
      </c>
      <c r="I13" s="1871">
        <f>I14+I21+I26+I33+I64+I69+I73+I81+I87+I93+I98+I106+I111+I116+I120+I124+I128+I133</f>
        <v>6649824817</v>
      </c>
      <c r="J13" s="1869"/>
      <c r="K13" s="1870"/>
      <c r="L13" s="1871"/>
      <c r="M13" s="1871"/>
      <c r="N13" s="1871"/>
      <c r="O13" s="1871"/>
      <c r="P13" s="1871"/>
      <c r="Q13" s="1871"/>
      <c r="R13" s="1871"/>
      <c r="S13" s="1871"/>
      <c r="T13" s="1871"/>
      <c r="U13" s="1871"/>
      <c r="V13" s="1871"/>
      <c r="W13" s="1871"/>
      <c r="X13" s="1869"/>
    </row>
    <row r="14" spans="1:25" ht="30" x14ac:dyDescent="0.25">
      <c r="A14" s="1490">
        <v>1</v>
      </c>
      <c r="B14" s="1490">
        <v>1</v>
      </c>
      <c r="C14" s="1490" t="s">
        <v>3366</v>
      </c>
      <c r="D14" s="865"/>
      <c r="E14" s="865"/>
      <c r="F14" s="865"/>
      <c r="G14" s="865"/>
      <c r="H14" s="1061" t="s">
        <v>8</v>
      </c>
      <c r="I14" s="1063">
        <v>180740000</v>
      </c>
      <c r="J14" s="1061" t="s">
        <v>3387</v>
      </c>
      <c r="K14" s="1061" t="s">
        <v>3595</v>
      </c>
      <c r="L14" s="1063"/>
      <c r="M14" s="1063"/>
      <c r="N14" s="1063"/>
      <c r="O14" s="1063"/>
      <c r="P14" s="1063"/>
      <c r="Q14" s="1063"/>
      <c r="R14" s="1063"/>
      <c r="S14" s="1063"/>
      <c r="T14" s="1063"/>
      <c r="U14" s="1063"/>
      <c r="V14" s="1063"/>
      <c r="W14" s="1063"/>
      <c r="X14" s="1866">
        <f>SUM(L14:W14)</f>
        <v>0</v>
      </c>
      <c r="Y14" s="23">
        <f>I14-X14</f>
        <v>180740000</v>
      </c>
    </row>
    <row r="15" spans="1:25" x14ac:dyDescent="0.25">
      <c r="A15" s="1"/>
      <c r="B15" s="1"/>
      <c r="C15" s="1"/>
      <c r="D15" s="1">
        <v>5</v>
      </c>
      <c r="E15" s="1">
        <v>1</v>
      </c>
      <c r="F15" s="1"/>
      <c r="G15" s="1"/>
      <c r="H15" s="1" t="s">
        <v>16</v>
      </c>
      <c r="I15" s="73"/>
      <c r="J15" s="1"/>
      <c r="K15" s="4" t="s">
        <v>3595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1864">
        <f t="shared" ref="X15:X78" si="0">SUM(L15:W15)</f>
        <v>0</v>
      </c>
      <c r="Y15" s="23">
        <f t="shared" ref="Y15:Y78" si="1">I15-X15</f>
        <v>0</v>
      </c>
    </row>
    <row r="16" spans="1:25" ht="30" x14ac:dyDescent="0.25">
      <c r="A16" s="1"/>
      <c r="B16" s="1"/>
      <c r="C16" s="1"/>
      <c r="D16" s="1"/>
      <c r="E16" s="1"/>
      <c r="F16" s="1">
        <v>1</v>
      </c>
      <c r="G16" s="1"/>
      <c r="H16" s="4" t="s">
        <v>18</v>
      </c>
      <c r="I16" s="73"/>
      <c r="J16" s="1"/>
      <c r="K16" s="4" t="s">
        <v>3595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1864">
        <f t="shared" si="0"/>
        <v>0</v>
      </c>
      <c r="Y16" s="23">
        <f t="shared" si="1"/>
        <v>0</v>
      </c>
    </row>
    <row r="17" spans="1:25" x14ac:dyDescent="0.25">
      <c r="A17" s="1"/>
      <c r="B17" s="1"/>
      <c r="C17" s="1"/>
      <c r="D17" s="1"/>
      <c r="E17" s="1"/>
      <c r="F17" s="1"/>
      <c r="G17" s="1489" t="s">
        <v>3366</v>
      </c>
      <c r="H17" s="4" t="s">
        <v>20</v>
      </c>
      <c r="I17" s="73">
        <v>65340000</v>
      </c>
      <c r="J17" s="1" t="s">
        <v>1220</v>
      </c>
      <c r="K17" s="4" t="s">
        <v>3595</v>
      </c>
      <c r="L17" s="73">
        <v>5445000</v>
      </c>
      <c r="M17" s="73">
        <v>5445000</v>
      </c>
      <c r="N17" s="73">
        <v>5445000</v>
      </c>
      <c r="O17" s="73">
        <v>5445000</v>
      </c>
      <c r="P17" s="73">
        <v>5445000</v>
      </c>
      <c r="Q17" s="73">
        <v>5445000</v>
      </c>
      <c r="R17" s="73">
        <v>5445000</v>
      </c>
      <c r="S17" s="73">
        <v>5445000</v>
      </c>
      <c r="T17" s="73">
        <v>5445000</v>
      </c>
      <c r="U17" s="73">
        <v>5445000</v>
      </c>
      <c r="V17" s="73">
        <v>5445000</v>
      </c>
      <c r="W17" s="73">
        <v>5445000</v>
      </c>
      <c r="X17" s="1864">
        <f t="shared" si="0"/>
        <v>65340000</v>
      </c>
      <c r="Y17" s="23">
        <f t="shared" si="1"/>
        <v>0</v>
      </c>
    </row>
    <row r="18" spans="1:25" x14ac:dyDescent="0.25">
      <c r="A18" s="1"/>
      <c r="B18" s="1"/>
      <c r="C18" s="1"/>
      <c r="D18" s="1"/>
      <c r="E18" s="1"/>
      <c r="F18" s="1"/>
      <c r="G18" s="1489" t="s">
        <v>3386</v>
      </c>
      <c r="H18" s="4" t="s">
        <v>23</v>
      </c>
      <c r="I18" s="73">
        <v>5500000</v>
      </c>
      <c r="J18" s="1" t="s">
        <v>1506</v>
      </c>
      <c r="K18" s="4" t="s">
        <v>3595</v>
      </c>
      <c r="L18" s="73"/>
      <c r="M18" s="73"/>
      <c r="N18" s="73"/>
      <c r="O18" s="73"/>
      <c r="P18" s="73"/>
      <c r="Q18" s="73"/>
      <c r="R18" s="73">
        <v>5500000</v>
      </c>
      <c r="S18" s="73"/>
      <c r="T18" s="73"/>
      <c r="U18" s="73"/>
      <c r="V18" s="73"/>
      <c r="W18" s="73"/>
      <c r="X18" s="1864">
        <f t="shared" si="0"/>
        <v>5500000</v>
      </c>
      <c r="Y18" s="23">
        <f t="shared" si="1"/>
        <v>0</v>
      </c>
    </row>
    <row r="19" spans="1:25" x14ac:dyDescent="0.25">
      <c r="A19" s="1"/>
      <c r="B19" s="1"/>
      <c r="C19" s="1"/>
      <c r="D19" s="1"/>
      <c r="E19" s="1"/>
      <c r="F19" s="1"/>
      <c r="G19" s="1489" t="s">
        <v>3386</v>
      </c>
      <c r="H19" s="4" t="s">
        <v>24</v>
      </c>
      <c r="I19" s="73">
        <v>104400000</v>
      </c>
      <c r="J19" s="1" t="s">
        <v>1506</v>
      </c>
      <c r="K19" s="4" t="s">
        <v>3595</v>
      </c>
      <c r="L19" s="73">
        <v>8700000</v>
      </c>
      <c r="M19" s="73">
        <v>8700000</v>
      </c>
      <c r="N19" s="73">
        <v>8700000</v>
      </c>
      <c r="O19" s="73">
        <v>8700000</v>
      </c>
      <c r="P19" s="73">
        <v>8700000</v>
      </c>
      <c r="Q19" s="73">
        <v>8700000</v>
      </c>
      <c r="R19" s="73">
        <v>8700000</v>
      </c>
      <c r="S19" s="73">
        <v>8700000</v>
      </c>
      <c r="T19" s="73">
        <v>8700000</v>
      </c>
      <c r="U19" s="73">
        <v>8700000</v>
      </c>
      <c r="V19" s="73">
        <v>8700000</v>
      </c>
      <c r="W19" s="73">
        <v>8700000</v>
      </c>
      <c r="X19" s="1864">
        <f t="shared" si="0"/>
        <v>104400000</v>
      </c>
      <c r="Y19" s="23">
        <f t="shared" si="1"/>
        <v>0</v>
      </c>
    </row>
    <row r="20" spans="1:25" x14ac:dyDescent="0.25">
      <c r="A20" s="1"/>
      <c r="B20" s="1"/>
      <c r="C20" s="1"/>
      <c r="D20" s="1"/>
      <c r="E20" s="1"/>
      <c r="F20" s="1"/>
      <c r="G20" s="1489" t="s">
        <v>3386</v>
      </c>
      <c r="H20" s="4" t="s">
        <v>25</v>
      </c>
      <c r="I20" s="73">
        <v>5500000</v>
      </c>
      <c r="J20" s="1" t="s">
        <v>1506</v>
      </c>
      <c r="K20" s="4" t="s">
        <v>3595</v>
      </c>
      <c r="L20" s="73"/>
      <c r="M20" s="73"/>
      <c r="N20" s="73">
        <v>5500000</v>
      </c>
      <c r="O20" s="73"/>
      <c r="P20" s="73"/>
      <c r="Q20" s="73"/>
      <c r="R20" s="73"/>
      <c r="S20" s="73"/>
      <c r="T20" s="73"/>
      <c r="U20" s="73"/>
      <c r="V20" s="73"/>
      <c r="W20" s="73"/>
      <c r="X20" s="1864">
        <f t="shared" si="0"/>
        <v>5500000</v>
      </c>
      <c r="Y20" s="23">
        <f t="shared" si="1"/>
        <v>0</v>
      </c>
    </row>
    <row r="21" spans="1:25" ht="45" x14ac:dyDescent="0.25">
      <c r="A21" s="865">
        <v>1</v>
      </c>
      <c r="B21" s="865">
        <v>1</v>
      </c>
      <c r="C21" s="1490" t="s">
        <v>3386</v>
      </c>
      <c r="D21" s="865"/>
      <c r="E21" s="865"/>
      <c r="F21" s="865"/>
      <c r="G21" s="865"/>
      <c r="H21" s="1061" t="s">
        <v>36</v>
      </c>
      <c r="I21" s="1063">
        <v>1049635167</v>
      </c>
      <c r="J21" s="1061" t="s">
        <v>3387</v>
      </c>
      <c r="K21" s="1061" t="s">
        <v>3595</v>
      </c>
      <c r="L21" s="1063"/>
      <c r="M21" s="1063"/>
      <c r="N21" s="1063"/>
      <c r="O21" s="1063"/>
      <c r="P21" s="1063"/>
      <c r="Q21" s="1063"/>
      <c r="R21" s="1063"/>
      <c r="S21" s="1063"/>
      <c r="T21" s="1063"/>
      <c r="U21" s="1063"/>
      <c r="V21" s="1063"/>
      <c r="W21" s="1063"/>
      <c r="X21" s="1866">
        <f t="shared" si="0"/>
        <v>0</v>
      </c>
      <c r="Y21" s="23">
        <f t="shared" si="1"/>
        <v>1049635167</v>
      </c>
    </row>
    <row r="22" spans="1:25" x14ac:dyDescent="0.25">
      <c r="A22" s="1"/>
      <c r="B22" s="1"/>
      <c r="C22" s="1489"/>
      <c r="D22" s="1">
        <v>5</v>
      </c>
      <c r="E22" s="1">
        <v>1</v>
      </c>
      <c r="F22" s="1"/>
      <c r="G22" s="1"/>
      <c r="H22" s="1" t="s">
        <v>16</v>
      </c>
      <c r="I22" s="73"/>
      <c r="J22" s="1"/>
      <c r="K22" s="4" t="s">
        <v>3595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1864">
        <f t="shared" si="0"/>
        <v>0</v>
      </c>
      <c r="Y22" s="23">
        <f t="shared" si="1"/>
        <v>0</v>
      </c>
    </row>
    <row r="23" spans="1:25" ht="30" x14ac:dyDescent="0.25">
      <c r="A23" s="1"/>
      <c r="B23" s="1"/>
      <c r="C23" s="1"/>
      <c r="D23" s="1"/>
      <c r="E23" s="1"/>
      <c r="F23" s="1">
        <v>2</v>
      </c>
      <c r="G23" s="1"/>
      <c r="H23" s="4" t="s">
        <v>41</v>
      </c>
      <c r="I23" s="73"/>
      <c r="J23" s="1"/>
      <c r="K23" s="4" t="s">
        <v>3595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1864">
        <f t="shared" si="0"/>
        <v>0</v>
      </c>
      <c r="Y23" s="23">
        <f t="shared" si="1"/>
        <v>0</v>
      </c>
    </row>
    <row r="24" spans="1:25" ht="30" x14ac:dyDescent="0.25">
      <c r="A24" s="1"/>
      <c r="B24" s="1"/>
      <c r="C24" s="1"/>
      <c r="D24" s="1"/>
      <c r="E24" s="1"/>
      <c r="F24" s="1"/>
      <c r="G24" s="1489" t="s">
        <v>3366</v>
      </c>
      <c r="H24" s="4" t="s">
        <v>43</v>
      </c>
      <c r="I24" s="73">
        <v>522935167</v>
      </c>
      <c r="J24" s="1" t="s">
        <v>1220</v>
      </c>
      <c r="K24" s="4" t="s">
        <v>3595</v>
      </c>
      <c r="L24" s="73">
        <v>43610013</v>
      </c>
      <c r="M24" s="73">
        <v>43575014</v>
      </c>
      <c r="N24" s="73">
        <v>43575014</v>
      </c>
      <c r="O24" s="73">
        <v>43575014</v>
      </c>
      <c r="P24" s="73">
        <v>43575014</v>
      </c>
      <c r="Q24" s="73">
        <v>43575014</v>
      </c>
      <c r="R24" s="73">
        <v>43575014</v>
      </c>
      <c r="S24" s="73">
        <v>43575014</v>
      </c>
      <c r="T24" s="73">
        <v>43575014</v>
      </c>
      <c r="U24" s="73">
        <v>43575014</v>
      </c>
      <c r="V24" s="73">
        <v>43575014</v>
      </c>
      <c r="W24" s="73">
        <v>43575014</v>
      </c>
      <c r="X24" s="1864">
        <f t="shared" si="0"/>
        <v>522935167</v>
      </c>
      <c r="Y24" s="23">
        <f t="shared" si="1"/>
        <v>0</v>
      </c>
    </row>
    <row r="25" spans="1:25" x14ac:dyDescent="0.25">
      <c r="A25" s="1"/>
      <c r="B25" s="1"/>
      <c r="C25" s="1"/>
      <c r="D25" s="1"/>
      <c r="E25" s="1"/>
      <c r="F25" s="1"/>
      <c r="G25" s="1489" t="s">
        <v>3386</v>
      </c>
      <c r="H25" s="1" t="s">
        <v>47</v>
      </c>
      <c r="I25" s="73">
        <v>526700000</v>
      </c>
      <c r="J25" s="1" t="s">
        <v>1506</v>
      </c>
      <c r="K25" s="4" t="s">
        <v>3595</v>
      </c>
      <c r="L25" s="73">
        <v>36300000</v>
      </c>
      <c r="M25" s="73">
        <v>36300000</v>
      </c>
      <c r="N25" s="73">
        <v>80400000</v>
      </c>
      <c r="O25" s="73">
        <v>36300000</v>
      </c>
      <c r="P25" s="73">
        <v>36300000</v>
      </c>
      <c r="Q25" s="73">
        <v>36300000</v>
      </c>
      <c r="R25" s="73">
        <v>80400000</v>
      </c>
      <c r="S25" s="73">
        <v>36300000</v>
      </c>
      <c r="T25" s="73">
        <v>36300000</v>
      </c>
      <c r="U25" s="73">
        <v>36300000</v>
      </c>
      <c r="V25" s="73">
        <v>36300000</v>
      </c>
      <c r="W25" s="73">
        <v>39200000</v>
      </c>
      <c r="X25" s="1864">
        <f t="shared" si="0"/>
        <v>526700000</v>
      </c>
      <c r="Y25" s="23">
        <f t="shared" si="1"/>
        <v>0</v>
      </c>
    </row>
    <row r="26" spans="1:25" ht="60" x14ac:dyDescent="0.25">
      <c r="A26" s="865">
        <v>1</v>
      </c>
      <c r="B26" s="865">
        <v>1</v>
      </c>
      <c r="C26" s="1490" t="s">
        <v>3388</v>
      </c>
      <c r="D26" s="865"/>
      <c r="E26" s="865"/>
      <c r="F26" s="865"/>
      <c r="G26" s="865"/>
      <c r="H26" s="1061" t="s">
        <v>58</v>
      </c>
      <c r="I26" s="1063">
        <v>77761313</v>
      </c>
      <c r="J26" s="1061" t="s">
        <v>3602</v>
      </c>
      <c r="K26" s="1061" t="s">
        <v>3595</v>
      </c>
      <c r="L26" s="1063"/>
      <c r="M26" s="1063"/>
      <c r="N26" s="1063"/>
      <c r="O26" s="1063"/>
      <c r="P26" s="1063"/>
      <c r="Q26" s="1063"/>
      <c r="R26" s="1063"/>
      <c r="S26" s="1063"/>
      <c r="T26" s="1063"/>
      <c r="U26" s="1063"/>
      <c r="V26" s="1063"/>
      <c r="W26" s="1063"/>
      <c r="X26" s="1866">
        <f t="shared" si="0"/>
        <v>0</v>
      </c>
      <c r="Y26" s="23">
        <f t="shared" si="1"/>
        <v>77761313</v>
      </c>
    </row>
    <row r="27" spans="1:25" x14ac:dyDescent="0.25">
      <c r="A27" s="1"/>
      <c r="B27" s="1"/>
      <c r="C27" s="1"/>
      <c r="D27" s="1">
        <v>5</v>
      </c>
      <c r="E27" s="1">
        <v>1</v>
      </c>
      <c r="F27" s="1"/>
      <c r="G27" s="1"/>
      <c r="H27" s="4" t="s">
        <v>64</v>
      </c>
      <c r="I27" s="73"/>
      <c r="J27" s="1"/>
      <c r="K27" s="4" t="s">
        <v>3595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1864">
        <f t="shared" si="0"/>
        <v>0</v>
      </c>
      <c r="Y27" s="23">
        <f t="shared" si="1"/>
        <v>0</v>
      </c>
    </row>
    <row r="28" spans="1:25" ht="30" x14ac:dyDescent="0.25">
      <c r="A28" s="1"/>
      <c r="B28" s="1"/>
      <c r="C28" s="1"/>
      <c r="D28" s="1"/>
      <c r="E28" s="1"/>
      <c r="F28" s="1">
        <v>3</v>
      </c>
      <c r="G28" s="1"/>
      <c r="H28" s="4" t="s">
        <v>66</v>
      </c>
      <c r="I28" s="73"/>
      <c r="J28" s="1"/>
      <c r="K28" s="4" t="s">
        <v>3595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1864">
        <f t="shared" si="0"/>
        <v>0</v>
      </c>
      <c r="Y28" s="23">
        <f t="shared" si="1"/>
        <v>0</v>
      </c>
    </row>
    <row r="29" spans="1:25" x14ac:dyDescent="0.25">
      <c r="A29" s="1"/>
      <c r="B29" s="1"/>
      <c r="C29" s="1"/>
      <c r="D29" s="1"/>
      <c r="E29" s="1"/>
      <c r="F29" s="1"/>
      <c r="G29" s="1489" t="s">
        <v>3366</v>
      </c>
      <c r="H29" s="4" t="s">
        <v>68</v>
      </c>
      <c r="I29" s="73">
        <v>660000</v>
      </c>
      <c r="J29" s="1" t="s">
        <v>1220</v>
      </c>
      <c r="K29" s="4" t="s">
        <v>3595</v>
      </c>
      <c r="L29" s="73">
        <v>55000</v>
      </c>
      <c r="M29" s="73">
        <v>55000</v>
      </c>
      <c r="N29" s="73">
        <v>55000</v>
      </c>
      <c r="O29" s="73">
        <v>55000</v>
      </c>
      <c r="P29" s="73">
        <v>55000</v>
      </c>
      <c r="Q29" s="73">
        <v>55000</v>
      </c>
      <c r="R29" s="73">
        <v>55000</v>
      </c>
      <c r="S29" s="73">
        <v>55000</v>
      </c>
      <c r="T29" s="73">
        <v>55000</v>
      </c>
      <c r="U29" s="73">
        <v>55000</v>
      </c>
      <c r="V29" s="73">
        <v>55000</v>
      </c>
      <c r="W29" s="73">
        <v>55000</v>
      </c>
      <c r="X29" s="1864">
        <f t="shared" si="0"/>
        <v>660000</v>
      </c>
      <c r="Y29" s="23">
        <f t="shared" si="1"/>
        <v>0</v>
      </c>
    </row>
    <row r="30" spans="1:25" ht="30" x14ac:dyDescent="0.25">
      <c r="A30" s="1"/>
      <c r="B30" s="1"/>
      <c r="C30" s="1"/>
      <c r="D30" s="1"/>
      <c r="E30" s="1"/>
      <c r="F30" s="1"/>
      <c r="G30" s="1489" t="s">
        <v>3386</v>
      </c>
      <c r="H30" s="4" t="s">
        <v>70</v>
      </c>
      <c r="I30" s="73">
        <v>6264833</v>
      </c>
      <c r="J30" s="1" t="s">
        <v>1220</v>
      </c>
      <c r="K30" s="4" t="s">
        <v>3595</v>
      </c>
      <c r="L30" s="73">
        <v>489987</v>
      </c>
      <c r="M30" s="73">
        <v>524986</v>
      </c>
      <c r="N30" s="73">
        <v>524986</v>
      </c>
      <c r="O30" s="73">
        <v>524986</v>
      </c>
      <c r="P30" s="73">
        <v>524986</v>
      </c>
      <c r="Q30" s="73">
        <v>524986</v>
      </c>
      <c r="R30" s="73">
        <v>524986</v>
      </c>
      <c r="S30" s="73">
        <v>524986</v>
      </c>
      <c r="T30" s="73">
        <v>524986</v>
      </c>
      <c r="U30" s="73">
        <v>524986</v>
      </c>
      <c r="V30" s="73">
        <v>524986</v>
      </c>
      <c r="W30" s="73">
        <v>524986</v>
      </c>
      <c r="X30" s="1864">
        <f t="shared" si="0"/>
        <v>6264833</v>
      </c>
      <c r="Y30" s="23">
        <f t="shared" si="1"/>
        <v>0</v>
      </c>
    </row>
    <row r="31" spans="1:25" ht="30" x14ac:dyDescent="0.25">
      <c r="A31" s="1"/>
      <c r="B31" s="1"/>
      <c r="C31" s="1"/>
      <c r="D31" s="1"/>
      <c r="E31" s="1"/>
      <c r="F31" s="1"/>
      <c r="G31" s="1489" t="s">
        <v>3388</v>
      </c>
      <c r="H31" s="4" t="s">
        <v>74</v>
      </c>
      <c r="I31" s="73">
        <v>10632960</v>
      </c>
      <c r="J31" s="1" t="s">
        <v>1506</v>
      </c>
      <c r="K31" s="4" t="s">
        <v>3595</v>
      </c>
      <c r="L31" s="73">
        <v>886080</v>
      </c>
      <c r="M31" s="73">
        <v>886080</v>
      </c>
      <c r="N31" s="73">
        <v>886080</v>
      </c>
      <c r="O31" s="73">
        <v>886080</v>
      </c>
      <c r="P31" s="73">
        <v>886080</v>
      </c>
      <c r="Q31" s="73">
        <v>886080</v>
      </c>
      <c r="R31" s="73">
        <v>886080</v>
      </c>
      <c r="S31" s="73">
        <v>886080</v>
      </c>
      <c r="T31" s="73">
        <v>886080</v>
      </c>
      <c r="U31" s="73">
        <v>886080</v>
      </c>
      <c r="V31" s="73">
        <v>886080</v>
      </c>
      <c r="W31" s="73">
        <v>886080</v>
      </c>
      <c r="X31" s="1864">
        <f t="shared" si="0"/>
        <v>10632960</v>
      </c>
      <c r="Y31" s="23">
        <f t="shared" si="1"/>
        <v>0</v>
      </c>
    </row>
    <row r="32" spans="1:25" ht="30" x14ac:dyDescent="0.25">
      <c r="A32" s="1"/>
      <c r="B32" s="1"/>
      <c r="C32" s="1"/>
      <c r="D32" s="1"/>
      <c r="E32" s="1"/>
      <c r="F32" s="1"/>
      <c r="G32" s="1489" t="s">
        <v>3389</v>
      </c>
      <c r="H32" s="4" t="s">
        <v>76</v>
      </c>
      <c r="I32" s="73">
        <v>60203520</v>
      </c>
      <c r="J32" s="1" t="s">
        <v>1506</v>
      </c>
      <c r="K32" s="4" t="s">
        <v>3595</v>
      </c>
      <c r="L32" s="73">
        <v>5016960</v>
      </c>
      <c r="M32" s="73">
        <v>5016960</v>
      </c>
      <c r="N32" s="73">
        <v>5016960</v>
      </c>
      <c r="O32" s="73">
        <v>5016960</v>
      </c>
      <c r="P32" s="73">
        <v>5016960</v>
      </c>
      <c r="Q32" s="73">
        <v>5016960</v>
      </c>
      <c r="R32" s="73">
        <v>5016960</v>
      </c>
      <c r="S32" s="73">
        <v>5016960</v>
      </c>
      <c r="T32" s="73">
        <v>5016960</v>
      </c>
      <c r="U32" s="73">
        <v>5016960</v>
      </c>
      <c r="V32" s="73">
        <v>5016960</v>
      </c>
      <c r="W32" s="73">
        <v>5016960</v>
      </c>
      <c r="X32" s="1864">
        <f t="shared" si="0"/>
        <v>60203520</v>
      </c>
      <c r="Y32" s="23">
        <f t="shared" si="1"/>
        <v>0</v>
      </c>
    </row>
    <row r="33" spans="1:25" ht="30" x14ac:dyDescent="0.25">
      <c r="A33" s="865">
        <v>1</v>
      </c>
      <c r="B33" s="865">
        <v>1</v>
      </c>
      <c r="C33" s="1490" t="s">
        <v>3389</v>
      </c>
      <c r="D33" s="865"/>
      <c r="E33" s="865"/>
      <c r="F33" s="865"/>
      <c r="G33" s="865"/>
      <c r="H33" s="1061" t="s">
        <v>80</v>
      </c>
      <c r="I33" s="1063">
        <v>712389600.84000003</v>
      </c>
      <c r="J33" s="865" t="s">
        <v>1220</v>
      </c>
      <c r="K33" s="1061" t="s">
        <v>3595</v>
      </c>
      <c r="L33" s="1063"/>
      <c r="M33" s="1063"/>
      <c r="N33" s="1063"/>
      <c r="O33" s="1063"/>
      <c r="P33" s="1063"/>
      <c r="Q33" s="1063"/>
      <c r="R33" s="1063"/>
      <c r="S33" s="1063"/>
      <c r="T33" s="1063"/>
      <c r="U33" s="1063"/>
      <c r="V33" s="1063"/>
      <c r="W33" s="1063"/>
      <c r="X33" s="1866">
        <f t="shared" si="0"/>
        <v>0</v>
      </c>
      <c r="Y33" s="23">
        <f t="shared" si="1"/>
        <v>712389600.84000003</v>
      </c>
    </row>
    <row r="34" spans="1:25" x14ac:dyDescent="0.25">
      <c r="A34" s="1"/>
      <c r="B34" s="1"/>
      <c r="C34" s="1"/>
      <c r="D34" s="1">
        <v>5</v>
      </c>
      <c r="E34" s="1">
        <v>2</v>
      </c>
      <c r="F34" s="1"/>
      <c r="G34" s="1"/>
      <c r="H34" s="4" t="s">
        <v>82</v>
      </c>
      <c r="I34" s="73"/>
      <c r="J34" s="1"/>
      <c r="K34" s="4" t="s">
        <v>3595</v>
      </c>
      <c r="L34" s="73"/>
      <c r="M34" s="98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1864">
        <f t="shared" si="0"/>
        <v>0</v>
      </c>
      <c r="Y34" s="23">
        <f t="shared" si="1"/>
        <v>0</v>
      </c>
    </row>
    <row r="35" spans="1:25" x14ac:dyDescent="0.25">
      <c r="A35" s="1"/>
      <c r="B35" s="1"/>
      <c r="C35" s="1"/>
      <c r="D35" s="1"/>
      <c r="E35" s="1"/>
      <c r="F35" s="1">
        <v>1</v>
      </c>
      <c r="G35" s="1"/>
      <c r="H35" s="4" t="s">
        <v>84</v>
      </c>
      <c r="I35" s="73"/>
      <c r="J35" s="1"/>
      <c r="K35" s="4" t="s">
        <v>3595</v>
      </c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1864">
        <f t="shared" si="0"/>
        <v>0</v>
      </c>
      <c r="Y35" s="23">
        <f t="shared" si="1"/>
        <v>0</v>
      </c>
    </row>
    <row r="36" spans="1:25" ht="30" x14ac:dyDescent="0.25">
      <c r="A36" s="1"/>
      <c r="B36" s="1"/>
      <c r="C36" s="1"/>
      <c r="D36" s="1"/>
      <c r="E36" s="1"/>
      <c r="F36" s="1"/>
      <c r="G36" s="1489" t="s">
        <v>3366</v>
      </c>
      <c r="H36" s="4" t="s">
        <v>86</v>
      </c>
      <c r="I36" s="73">
        <v>66960950</v>
      </c>
      <c r="J36" s="1" t="s">
        <v>1220</v>
      </c>
      <c r="K36" s="4" t="s">
        <v>3595</v>
      </c>
      <c r="L36" s="73">
        <v>11885013</v>
      </c>
      <c r="M36" s="73">
        <v>1807564</v>
      </c>
      <c r="N36" s="73">
        <v>1807564</v>
      </c>
      <c r="O36" s="73">
        <v>8142956</v>
      </c>
      <c r="P36" s="73">
        <v>8732397</v>
      </c>
      <c r="Q36" s="73">
        <v>1807564</v>
      </c>
      <c r="R36" s="73">
        <v>1807564</v>
      </c>
      <c r="S36" s="73">
        <v>1807564</v>
      </c>
      <c r="T36" s="73">
        <v>1807564</v>
      </c>
      <c r="U36" s="73">
        <v>1807564</v>
      </c>
      <c r="V36" s="73">
        <v>24185041</v>
      </c>
      <c r="W36" s="73">
        <v>1362595</v>
      </c>
      <c r="X36" s="1864">
        <f t="shared" si="0"/>
        <v>66960950</v>
      </c>
      <c r="Y36" s="23">
        <f t="shared" si="1"/>
        <v>0</v>
      </c>
    </row>
    <row r="37" spans="1:25" ht="30" x14ac:dyDescent="0.25">
      <c r="A37" s="1"/>
      <c r="B37" s="1"/>
      <c r="C37" s="1"/>
      <c r="D37" s="1"/>
      <c r="E37" s="1"/>
      <c r="F37" s="1"/>
      <c r="G37" s="1489" t="s">
        <v>3386</v>
      </c>
      <c r="H37" s="4" t="s">
        <v>109</v>
      </c>
      <c r="I37" s="73">
        <v>3820000</v>
      </c>
      <c r="J37" s="1" t="s">
        <v>1220</v>
      </c>
      <c r="K37" s="4" t="s">
        <v>3595</v>
      </c>
      <c r="L37" s="73">
        <v>3820000</v>
      </c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1864">
        <f t="shared" si="0"/>
        <v>3820000</v>
      </c>
      <c r="Y37" s="23">
        <f t="shared" si="1"/>
        <v>0</v>
      </c>
    </row>
    <row r="38" spans="1:25" ht="45" x14ac:dyDescent="0.25">
      <c r="A38" s="1"/>
      <c r="B38" s="1"/>
      <c r="C38" s="1"/>
      <c r="D38" s="1"/>
      <c r="E38" s="1"/>
      <c r="F38" s="1"/>
      <c r="G38" s="1489" t="s">
        <v>3388</v>
      </c>
      <c r="H38" s="4" t="s">
        <v>112</v>
      </c>
      <c r="I38" s="73">
        <v>11602000</v>
      </c>
      <c r="J38" s="1" t="s">
        <v>1220</v>
      </c>
      <c r="K38" s="4" t="s">
        <v>3595</v>
      </c>
      <c r="L38" s="73">
        <v>11602000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1864">
        <f t="shared" si="0"/>
        <v>11602000</v>
      </c>
      <c r="Y38" s="23">
        <f t="shared" si="1"/>
        <v>0</v>
      </c>
    </row>
    <row r="39" spans="1:25" ht="45" x14ac:dyDescent="0.25">
      <c r="A39" s="1"/>
      <c r="B39" s="1"/>
      <c r="C39" s="1"/>
      <c r="D39" s="1"/>
      <c r="E39" s="1"/>
      <c r="F39" s="1"/>
      <c r="G39" s="1489" t="s">
        <v>3389</v>
      </c>
      <c r="H39" s="4" t="s">
        <v>120</v>
      </c>
      <c r="I39" s="73">
        <v>21686000</v>
      </c>
      <c r="J39" s="1" t="s">
        <v>1220</v>
      </c>
      <c r="K39" s="4" t="s">
        <v>3595</v>
      </c>
      <c r="L39" s="73">
        <v>1450000</v>
      </c>
      <c r="M39" s="73">
        <v>1450000</v>
      </c>
      <c r="N39" s="73">
        <v>1450000</v>
      </c>
      <c r="O39" s="73">
        <v>1450000</v>
      </c>
      <c r="P39" s="73">
        <v>5736000</v>
      </c>
      <c r="Q39" s="73">
        <v>1450000</v>
      </c>
      <c r="R39" s="73">
        <v>1450000</v>
      </c>
      <c r="S39" s="73">
        <v>1450000</v>
      </c>
      <c r="T39" s="73">
        <v>1450000</v>
      </c>
      <c r="U39" s="73">
        <v>1450000</v>
      </c>
      <c r="V39" s="73">
        <v>1450000</v>
      </c>
      <c r="W39" s="73">
        <v>1450000</v>
      </c>
      <c r="X39" s="1864">
        <f t="shared" si="0"/>
        <v>21686000</v>
      </c>
      <c r="Y39" s="23">
        <f t="shared" si="1"/>
        <v>0</v>
      </c>
    </row>
    <row r="40" spans="1:25" ht="45" x14ac:dyDescent="0.25">
      <c r="A40" s="1"/>
      <c r="B40" s="1"/>
      <c r="C40" s="1"/>
      <c r="D40" s="1"/>
      <c r="E40" s="1"/>
      <c r="F40" s="1"/>
      <c r="G40" s="1489" t="s">
        <v>3390</v>
      </c>
      <c r="H40" s="4" t="s">
        <v>128</v>
      </c>
      <c r="I40" s="73">
        <v>23430000</v>
      </c>
      <c r="J40" s="1" t="s">
        <v>1220</v>
      </c>
      <c r="K40" s="4" t="s">
        <v>3595</v>
      </c>
      <c r="L40" s="73">
        <v>4535252</v>
      </c>
      <c r="M40" s="73">
        <v>4408644</v>
      </c>
      <c r="N40" s="73"/>
      <c r="O40" s="73">
        <v>4617085</v>
      </c>
      <c r="P40" s="73">
        <v>4617085</v>
      </c>
      <c r="Q40" s="73"/>
      <c r="R40" s="73"/>
      <c r="S40" s="73">
        <v>4617085</v>
      </c>
      <c r="T40" s="73"/>
      <c r="U40" s="73">
        <v>634849</v>
      </c>
      <c r="V40" s="73"/>
      <c r="W40" s="73"/>
      <c r="X40" s="1864">
        <f t="shared" si="0"/>
        <v>23430000</v>
      </c>
      <c r="Y40" s="23">
        <f t="shared" si="1"/>
        <v>0</v>
      </c>
    </row>
    <row r="41" spans="1:25" ht="45" x14ac:dyDescent="0.25">
      <c r="A41" s="1"/>
      <c r="B41" s="1"/>
      <c r="C41" s="1"/>
      <c r="D41" s="1"/>
      <c r="E41" s="1"/>
      <c r="F41" s="1"/>
      <c r="G41" s="1489" t="s">
        <v>3391</v>
      </c>
      <c r="H41" s="4" t="s">
        <v>146</v>
      </c>
      <c r="I41" s="73">
        <v>11865000</v>
      </c>
      <c r="J41" s="1" t="s">
        <v>1220</v>
      </c>
      <c r="K41" s="4" t="s">
        <v>3595</v>
      </c>
      <c r="L41" s="73">
        <v>162500</v>
      </c>
      <c r="M41" s="73">
        <v>162500</v>
      </c>
      <c r="N41" s="73">
        <v>162500</v>
      </c>
      <c r="O41" s="73">
        <v>162500</v>
      </c>
      <c r="P41" s="73">
        <v>162500</v>
      </c>
      <c r="Q41" s="73">
        <v>162500</v>
      </c>
      <c r="R41" s="73">
        <v>162500</v>
      </c>
      <c r="S41" s="73">
        <v>162500</v>
      </c>
      <c r="T41" s="73">
        <v>9016268</v>
      </c>
      <c r="U41" s="73">
        <v>162500</v>
      </c>
      <c r="V41" s="73">
        <v>162500</v>
      </c>
      <c r="W41" s="73">
        <v>1223732</v>
      </c>
      <c r="X41" s="1864">
        <f t="shared" si="0"/>
        <v>11865000</v>
      </c>
      <c r="Y41" s="23">
        <f t="shared" si="1"/>
        <v>0</v>
      </c>
    </row>
    <row r="42" spans="1:25" x14ac:dyDescent="0.25">
      <c r="A42" s="1"/>
      <c r="B42" s="1"/>
      <c r="C42" s="1"/>
      <c r="D42" s="1"/>
      <c r="E42" s="1"/>
      <c r="F42" s="1"/>
      <c r="G42" s="1489" t="s">
        <v>3392</v>
      </c>
      <c r="H42" s="1" t="s">
        <v>930</v>
      </c>
      <c r="I42" s="73">
        <v>15000000</v>
      </c>
      <c r="J42" s="1" t="s">
        <v>1220</v>
      </c>
      <c r="K42" s="4" t="s">
        <v>3595</v>
      </c>
      <c r="L42" s="73"/>
      <c r="M42" s="73"/>
      <c r="N42" s="73"/>
      <c r="O42" s="73">
        <v>15000000</v>
      </c>
      <c r="P42" s="73"/>
      <c r="Q42" s="73"/>
      <c r="R42" s="73"/>
      <c r="S42" s="73"/>
      <c r="T42" s="73"/>
      <c r="U42" s="73"/>
      <c r="V42" s="73"/>
      <c r="W42" s="73"/>
      <c r="X42" s="1864">
        <f t="shared" si="0"/>
        <v>15000000</v>
      </c>
      <c r="Y42" s="23">
        <f t="shared" si="1"/>
        <v>0</v>
      </c>
    </row>
    <row r="43" spans="1:25" ht="30" x14ac:dyDescent="0.25">
      <c r="A43" s="1"/>
      <c r="B43" s="1"/>
      <c r="C43" s="1"/>
      <c r="D43" s="1"/>
      <c r="E43" s="1"/>
      <c r="F43" s="1"/>
      <c r="G43" s="1489" t="s">
        <v>3393</v>
      </c>
      <c r="H43" s="4" t="s">
        <v>160</v>
      </c>
      <c r="I43" s="73">
        <v>16935000</v>
      </c>
      <c r="J43" s="1" t="s">
        <v>1220</v>
      </c>
      <c r="K43" s="4" t="s">
        <v>3595</v>
      </c>
      <c r="L43" s="73"/>
      <c r="M43" s="73">
        <v>10000000</v>
      </c>
      <c r="N43" s="73"/>
      <c r="O43" s="73"/>
      <c r="P43" s="73">
        <v>6935000</v>
      </c>
      <c r="Q43" s="73"/>
      <c r="R43" s="73"/>
      <c r="S43" s="73"/>
      <c r="T43" s="73"/>
      <c r="U43" s="73"/>
      <c r="V43" s="73"/>
      <c r="W43" s="73"/>
      <c r="X43" s="1864">
        <f t="shared" si="0"/>
        <v>16935000</v>
      </c>
      <c r="Y43" s="23">
        <f t="shared" si="1"/>
        <v>0</v>
      </c>
    </row>
    <row r="44" spans="1:25" ht="30" x14ac:dyDescent="0.25">
      <c r="A44" s="1"/>
      <c r="B44" s="1"/>
      <c r="C44" s="1"/>
      <c r="D44" s="1"/>
      <c r="E44" s="1"/>
      <c r="F44" s="1"/>
      <c r="G44" s="1489" t="s">
        <v>3394</v>
      </c>
      <c r="H44" s="4" t="s">
        <v>167</v>
      </c>
      <c r="I44" s="73">
        <v>28489000</v>
      </c>
      <c r="J44" s="1" t="s">
        <v>1220</v>
      </c>
      <c r="K44" s="4" t="s">
        <v>3595</v>
      </c>
      <c r="L44" s="73"/>
      <c r="M44" s="73"/>
      <c r="N44" s="73">
        <v>28489000</v>
      </c>
      <c r="O44" s="73"/>
      <c r="P44" s="73"/>
      <c r="Q44" s="73"/>
      <c r="R44" s="73"/>
      <c r="S44" s="73"/>
      <c r="T44" s="73"/>
      <c r="U44" s="73"/>
      <c r="V44" s="73"/>
      <c r="W44" s="73"/>
      <c r="X44" s="1864">
        <f t="shared" si="0"/>
        <v>28489000</v>
      </c>
      <c r="Y44" s="23">
        <f t="shared" si="1"/>
        <v>0</v>
      </c>
    </row>
    <row r="45" spans="1:25" x14ac:dyDescent="0.25">
      <c r="A45" s="1"/>
      <c r="B45" s="1"/>
      <c r="C45" s="1"/>
      <c r="D45" s="1"/>
      <c r="E45" s="1"/>
      <c r="F45" s="1"/>
      <c r="G45" s="1">
        <v>10</v>
      </c>
      <c r="H45" s="1" t="s">
        <v>170</v>
      </c>
      <c r="I45" s="73">
        <v>309000</v>
      </c>
      <c r="J45" s="1" t="s">
        <v>1220</v>
      </c>
      <c r="K45" s="4" t="s">
        <v>3595</v>
      </c>
      <c r="L45" s="73">
        <v>309000</v>
      </c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1864">
        <f t="shared" si="0"/>
        <v>309000</v>
      </c>
      <c r="Y45" s="23">
        <f t="shared" si="1"/>
        <v>0</v>
      </c>
    </row>
    <row r="46" spans="1:25" ht="30" x14ac:dyDescent="0.25">
      <c r="A46" s="1"/>
      <c r="B46" s="1"/>
      <c r="C46" s="1"/>
      <c r="D46" s="1"/>
      <c r="E46" s="1"/>
      <c r="F46" s="1"/>
      <c r="G46" s="1">
        <v>90</v>
      </c>
      <c r="H46" s="4" t="s">
        <v>2300</v>
      </c>
      <c r="I46" s="73">
        <v>12600000</v>
      </c>
      <c r="J46" s="1" t="s">
        <v>1220</v>
      </c>
      <c r="K46" s="4" t="s">
        <v>3595</v>
      </c>
      <c r="L46" s="73">
        <v>1050000</v>
      </c>
      <c r="M46" s="73">
        <v>1050000</v>
      </c>
      <c r="N46" s="73">
        <v>1050000</v>
      </c>
      <c r="O46" s="73">
        <v>1050000</v>
      </c>
      <c r="P46" s="73">
        <v>1050000</v>
      </c>
      <c r="Q46" s="73">
        <v>1050000</v>
      </c>
      <c r="R46" s="73">
        <v>1050000</v>
      </c>
      <c r="S46" s="73">
        <v>1050000</v>
      </c>
      <c r="T46" s="73">
        <v>1050000</v>
      </c>
      <c r="U46" s="73">
        <v>1050000</v>
      </c>
      <c r="V46" s="73">
        <v>1050000</v>
      </c>
      <c r="W46" s="73">
        <v>1050000</v>
      </c>
      <c r="X46" s="1864">
        <f t="shared" si="0"/>
        <v>12600000</v>
      </c>
      <c r="Y46" s="23">
        <f t="shared" si="1"/>
        <v>0</v>
      </c>
    </row>
    <row r="47" spans="1:25" x14ac:dyDescent="0.25">
      <c r="A47" s="1"/>
      <c r="B47" s="1"/>
      <c r="C47" s="1"/>
      <c r="D47" s="1">
        <v>5</v>
      </c>
      <c r="E47" s="1">
        <v>2</v>
      </c>
      <c r="F47" s="1">
        <v>2</v>
      </c>
      <c r="G47" s="1"/>
      <c r="H47" s="1" t="s">
        <v>173</v>
      </c>
      <c r="I47" s="73"/>
      <c r="J47" s="1"/>
      <c r="K47" s="4" t="s">
        <v>3595</v>
      </c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1864">
        <f t="shared" si="0"/>
        <v>0</v>
      </c>
      <c r="Y47" s="23">
        <f t="shared" si="1"/>
        <v>0</v>
      </c>
    </row>
    <row r="48" spans="1:25" x14ac:dyDescent="0.25">
      <c r="A48" s="1"/>
      <c r="B48" s="1"/>
      <c r="C48" s="1"/>
      <c r="D48" s="1"/>
      <c r="E48" s="1"/>
      <c r="F48" s="1"/>
      <c r="G48" s="1489" t="s">
        <v>3391</v>
      </c>
      <c r="H48" s="4" t="s">
        <v>2302</v>
      </c>
      <c r="I48" s="73">
        <v>159150000</v>
      </c>
      <c r="J48" s="1" t="s">
        <v>1220</v>
      </c>
      <c r="K48" s="4" t="s">
        <v>3595</v>
      </c>
      <c r="L48" s="73">
        <v>13200000</v>
      </c>
      <c r="M48" s="73">
        <v>13200000</v>
      </c>
      <c r="N48" s="73">
        <v>13200000</v>
      </c>
      <c r="O48" s="73">
        <v>13200000</v>
      </c>
      <c r="P48" s="73">
        <v>13200000</v>
      </c>
      <c r="Q48" s="73">
        <v>13200000</v>
      </c>
      <c r="R48" s="73">
        <v>13200000</v>
      </c>
      <c r="S48" s="73">
        <v>13200000</v>
      </c>
      <c r="T48" s="73">
        <v>13200000</v>
      </c>
      <c r="U48" s="73">
        <v>13200000</v>
      </c>
      <c r="V48" s="73">
        <v>13200000</v>
      </c>
      <c r="W48" s="73">
        <v>13950000</v>
      </c>
      <c r="X48" s="1864">
        <f t="shared" si="0"/>
        <v>159150000</v>
      </c>
      <c r="Y48" s="23">
        <f t="shared" si="1"/>
        <v>0</v>
      </c>
    </row>
    <row r="49" spans="1:25" x14ac:dyDescent="0.25">
      <c r="A49" s="1"/>
      <c r="B49" s="1"/>
      <c r="C49" s="1"/>
      <c r="D49" s="1">
        <v>5</v>
      </c>
      <c r="E49" s="1">
        <v>2</v>
      </c>
      <c r="F49" s="1">
        <v>3</v>
      </c>
      <c r="G49" s="1"/>
      <c r="H49" s="4" t="s">
        <v>183</v>
      </c>
      <c r="I49" s="73"/>
      <c r="J49" s="1"/>
      <c r="K49" s="4" t="s">
        <v>3595</v>
      </c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1864">
        <f t="shared" si="0"/>
        <v>0</v>
      </c>
      <c r="Y49" s="23">
        <f t="shared" si="1"/>
        <v>0</v>
      </c>
    </row>
    <row r="50" spans="1:25" ht="30" x14ac:dyDescent="0.25">
      <c r="A50" s="1"/>
      <c r="B50" s="1"/>
      <c r="C50" s="1"/>
      <c r="D50" s="1"/>
      <c r="E50" s="1"/>
      <c r="F50" s="1"/>
      <c r="G50" s="1489" t="s">
        <v>3386</v>
      </c>
      <c r="H50" s="4" t="s">
        <v>185</v>
      </c>
      <c r="I50" s="73">
        <v>50000000</v>
      </c>
      <c r="J50" s="1"/>
      <c r="K50" s="4" t="s">
        <v>3595</v>
      </c>
      <c r="L50" s="73"/>
      <c r="M50" s="73"/>
      <c r="N50" s="73">
        <v>11025143</v>
      </c>
      <c r="O50" s="73"/>
      <c r="P50" s="73"/>
      <c r="Q50" s="73"/>
      <c r="R50" s="73"/>
      <c r="S50" s="73"/>
      <c r="T50" s="73">
        <v>4617085</v>
      </c>
      <c r="U50" s="73">
        <v>22836004</v>
      </c>
      <c r="V50" s="73"/>
      <c r="W50" s="73">
        <v>11521768</v>
      </c>
      <c r="X50" s="1864">
        <f t="shared" si="0"/>
        <v>50000000</v>
      </c>
      <c r="Y50" s="23">
        <f t="shared" si="1"/>
        <v>0</v>
      </c>
    </row>
    <row r="51" spans="1:25" ht="30" x14ac:dyDescent="0.25">
      <c r="A51" s="1"/>
      <c r="B51" s="1"/>
      <c r="C51" s="1"/>
      <c r="D51" s="1">
        <v>5</v>
      </c>
      <c r="E51" s="1">
        <v>2</v>
      </c>
      <c r="F51" s="1">
        <v>5</v>
      </c>
      <c r="G51" s="1"/>
      <c r="H51" s="4" t="s">
        <v>188</v>
      </c>
      <c r="I51" s="73"/>
      <c r="J51" s="1"/>
      <c r="K51" s="4" t="s">
        <v>3595</v>
      </c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1864">
        <f t="shared" si="0"/>
        <v>0</v>
      </c>
      <c r="Y51" s="23">
        <f t="shared" si="1"/>
        <v>0</v>
      </c>
    </row>
    <row r="52" spans="1:25" x14ac:dyDescent="0.25">
      <c r="A52" s="1"/>
      <c r="B52" s="1"/>
      <c r="C52" s="1"/>
      <c r="D52" s="1"/>
      <c r="E52" s="1"/>
      <c r="F52" s="1"/>
      <c r="G52" s="1489" t="s">
        <v>3366</v>
      </c>
      <c r="H52" s="1" t="s">
        <v>190</v>
      </c>
      <c r="I52" s="73">
        <v>36600000</v>
      </c>
      <c r="J52" s="1" t="s">
        <v>1220</v>
      </c>
      <c r="K52" s="4" t="s">
        <v>3595</v>
      </c>
      <c r="L52" s="73">
        <v>3050000</v>
      </c>
      <c r="M52" s="73">
        <v>3050000</v>
      </c>
      <c r="N52" s="73">
        <v>3050000</v>
      </c>
      <c r="O52" s="73">
        <v>3050000</v>
      </c>
      <c r="P52" s="73">
        <v>3050000</v>
      </c>
      <c r="Q52" s="73">
        <v>3050000</v>
      </c>
      <c r="R52" s="73">
        <v>3050000</v>
      </c>
      <c r="S52" s="73">
        <v>3050000</v>
      </c>
      <c r="T52" s="73">
        <v>3050000</v>
      </c>
      <c r="U52" s="73">
        <v>3050000</v>
      </c>
      <c r="V52" s="73">
        <v>3050000</v>
      </c>
      <c r="W52" s="73">
        <v>3050000</v>
      </c>
      <c r="X52" s="1864">
        <f t="shared" si="0"/>
        <v>36600000</v>
      </c>
      <c r="Y52" s="23">
        <f t="shared" si="1"/>
        <v>0</v>
      </c>
    </row>
    <row r="53" spans="1:25" ht="30" x14ac:dyDescent="0.25">
      <c r="A53" s="1"/>
      <c r="B53" s="1"/>
      <c r="C53" s="1"/>
      <c r="D53" s="1"/>
      <c r="E53" s="1"/>
      <c r="F53" s="1"/>
      <c r="G53" s="1489" t="s">
        <v>3388</v>
      </c>
      <c r="H53" s="4" t="s">
        <v>192</v>
      </c>
      <c r="I53" s="73">
        <v>1440000</v>
      </c>
      <c r="J53" s="1" t="s">
        <v>1220</v>
      </c>
      <c r="K53" s="4" t="s">
        <v>3595</v>
      </c>
      <c r="L53" s="73">
        <v>120000</v>
      </c>
      <c r="M53" s="73">
        <v>120000</v>
      </c>
      <c r="N53" s="73">
        <v>120000</v>
      </c>
      <c r="O53" s="73">
        <v>120000</v>
      </c>
      <c r="P53" s="73">
        <v>120000</v>
      </c>
      <c r="Q53" s="73">
        <v>120000</v>
      </c>
      <c r="R53" s="73">
        <v>120000</v>
      </c>
      <c r="S53" s="73">
        <v>120000</v>
      </c>
      <c r="T53" s="73">
        <v>120000</v>
      </c>
      <c r="U53" s="73">
        <v>120000</v>
      </c>
      <c r="V53" s="73">
        <v>120000</v>
      </c>
      <c r="W53" s="73">
        <v>120000</v>
      </c>
      <c r="X53" s="1864">
        <f t="shared" si="0"/>
        <v>1440000</v>
      </c>
      <c r="Y53" s="23">
        <f t="shared" si="1"/>
        <v>0</v>
      </c>
    </row>
    <row r="54" spans="1:25" ht="30" x14ac:dyDescent="0.25">
      <c r="A54" s="1"/>
      <c r="B54" s="1"/>
      <c r="C54" s="1"/>
      <c r="D54" s="1"/>
      <c r="E54" s="1"/>
      <c r="F54" s="1"/>
      <c r="G54" s="1489" t="s">
        <v>3389</v>
      </c>
      <c r="H54" s="4" t="s">
        <v>194</v>
      </c>
      <c r="I54" s="73">
        <v>1200000</v>
      </c>
      <c r="J54" s="1" t="s">
        <v>1220</v>
      </c>
      <c r="K54" s="4" t="s">
        <v>3595</v>
      </c>
      <c r="L54" s="73">
        <v>100000</v>
      </c>
      <c r="M54" s="73">
        <v>100000</v>
      </c>
      <c r="N54" s="73">
        <v>100000</v>
      </c>
      <c r="O54" s="73">
        <v>100000</v>
      </c>
      <c r="P54" s="73">
        <v>100000</v>
      </c>
      <c r="Q54" s="73">
        <v>100000</v>
      </c>
      <c r="R54" s="73">
        <v>100000</v>
      </c>
      <c r="S54" s="73">
        <v>100000</v>
      </c>
      <c r="T54" s="73">
        <v>100000</v>
      </c>
      <c r="U54" s="73">
        <v>100000</v>
      </c>
      <c r="V54" s="73">
        <v>100000</v>
      </c>
      <c r="W54" s="73">
        <v>100000</v>
      </c>
      <c r="X54" s="1864">
        <f t="shared" si="0"/>
        <v>1200000</v>
      </c>
      <c r="Y54" s="23">
        <f t="shared" si="1"/>
        <v>0</v>
      </c>
    </row>
    <row r="55" spans="1:25" ht="30" x14ac:dyDescent="0.25">
      <c r="A55" s="1"/>
      <c r="B55" s="1"/>
      <c r="C55" s="1"/>
      <c r="D55" s="1"/>
      <c r="E55" s="1"/>
      <c r="F55" s="1"/>
      <c r="G55" s="1489" t="s">
        <v>3390</v>
      </c>
      <c r="H55" s="4" t="s">
        <v>196</v>
      </c>
      <c r="I55" s="73">
        <v>15600000</v>
      </c>
      <c r="J55" s="1" t="s">
        <v>1220</v>
      </c>
      <c r="K55" s="4" t="s">
        <v>3595</v>
      </c>
      <c r="L55" s="73">
        <v>1300000</v>
      </c>
      <c r="M55" s="73">
        <v>1300000</v>
      </c>
      <c r="N55" s="73">
        <v>1300000</v>
      </c>
      <c r="O55" s="73">
        <v>1300000</v>
      </c>
      <c r="P55" s="73">
        <v>1300000</v>
      </c>
      <c r="Q55" s="73">
        <v>1300000</v>
      </c>
      <c r="R55" s="73">
        <v>1300000</v>
      </c>
      <c r="S55" s="73">
        <v>1300000</v>
      </c>
      <c r="T55" s="73">
        <v>1300000</v>
      </c>
      <c r="U55" s="73">
        <v>1300000</v>
      </c>
      <c r="V55" s="73">
        <v>1300000</v>
      </c>
      <c r="W55" s="73">
        <v>1300000</v>
      </c>
      <c r="X55" s="1864">
        <f t="shared" si="0"/>
        <v>15600000</v>
      </c>
      <c r="Y55" s="23">
        <f t="shared" si="1"/>
        <v>0</v>
      </c>
    </row>
    <row r="56" spans="1:25" ht="30" x14ac:dyDescent="0.25">
      <c r="A56" s="1"/>
      <c r="B56" s="1"/>
      <c r="C56" s="1"/>
      <c r="D56" s="1"/>
      <c r="E56" s="1"/>
      <c r="F56" s="1"/>
      <c r="G56" s="1489" t="s">
        <v>3392</v>
      </c>
      <c r="H56" s="4" t="s">
        <v>198</v>
      </c>
      <c r="I56" s="98">
        <v>92845785.840000004</v>
      </c>
      <c r="J56" s="1" t="s">
        <v>1506</v>
      </c>
      <c r="K56" s="4" t="s">
        <v>3595</v>
      </c>
      <c r="L56" s="98">
        <v>7737148.8200000003</v>
      </c>
      <c r="M56" s="98">
        <v>7737148.8200000003</v>
      </c>
      <c r="N56" s="98">
        <v>7737148.8200000003</v>
      </c>
      <c r="O56" s="98">
        <v>7737148.8200000003</v>
      </c>
      <c r="P56" s="98">
        <v>7737148.8200000003</v>
      </c>
      <c r="Q56" s="98">
        <v>7737148.8200000003</v>
      </c>
      <c r="R56" s="98">
        <v>7737148.8200000003</v>
      </c>
      <c r="S56" s="98">
        <v>7737148.8200000003</v>
      </c>
      <c r="T56" s="98">
        <v>7737148.8200000003</v>
      </c>
      <c r="U56" s="98">
        <v>7737148.8200000003</v>
      </c>
      <c r="V56" s="98">
        <v>7737148.8200000003</v>
      </c>
      <c r="W56" s="98">
        <v>7737148.8200000003</v>
      </c>
      <c r="X56" s="1864">
        <f t="shared" si="0"/>
        <v>92845785.839999974</v>
      </c>
      <c r="Y56" s="23">
        <f t="shared" si="1"/>
        <v>0</v>
      </c>
    </row>
    <row r="57" spans="1:25" ht="30" x14ac:dyDescent="0.25">
      <c r="A57" s="1"/>
      <c r="B57" s="1"/>
      <c r="C57" s="1"/>
      <c r="D57" s="1"/>
      <c r="E57" s="1"/>
      <c r="F57" s="1"/>
      <c r="G57" s="1489" t="s">
        <v>3392</v>
      </c>
      <c r="H57" s="4" t="s">
        <v>198</v>
      </c>
      <c r="I57" s="73">
        <v>33961200</v>
      </c>
      <c r="J57" s="1" t="s">
        <v>1220</v>
      </c>
      <c r="K57" s="4" t="s">
        <v>3595</v>
      </c>
      <c r="L57" s="73"/>
      <c r="M57" s="73"/>
      <c r="N57" s="73"/>
      <c r="O57" s="73"/>
      <c r="P57" s="73"/>
      <c r="Q57" s="73">
        <v>14205967</v>
      </c>
      <c r="R57" s="73"/>
      <c r="S57" s="73"/>
      <c r="T57" s="73"/>
      <c r="U57" s="73"/>
      <c r="V57" s="73"/>
      <c r="W57" s="73">
        <v>19755233</v>
      </c>
      <c r="X57" s="1864">
        <f t="shared" si="0"/>
        <v>33961200</v>
      </c>
      <c r="Y57" s="23">
        <f t="shared" si="1"/>
        <v>0</v>
      </c>
    </row>
    <row r="58" spans="1:25" ht="30" x14ac:dyDescent="0.25">
      <c r="A58" s="1"/>
      <c r="B58" s="1"/>
      <c r="C58" s="1"/>
      <c r="D58" s="1"/>
      <c r="E58" s="1"/>
      <c r="F58" s="1"/>
      <c r="G58" s="1489" t="s">
        <v>3392</v>
      </c>
      <c r="H58" s="1" t="s">
        <v>2156</v>
      </c>
      <c r="I58" s="73">
        <v>10800000</v>
      </c>
      <c r="J58" s="4" t="s">
        <v>3295</v>
      </c>
      <c r="K58" s="4" t="s">
        <v>3595</v>
      </c>
      <c r="L58" s="73">
        <v>900000</v>
      </c>
      <c r="M58" s="73">
        <v>900000</v>
      </c>
      <c r="N58" s="73">
        <v>900000</v>
      </c>
      <c r="O58" s="73">
        <v>900000</v>
      </c>
      <c r="P58" s="73">
        <v>900000</v>
      </c>
      <c r="Q58" s="73">
        <v>900000</v>
      </c>
      <c r="R58" s="73">
        <v>900000</v>
      </c>
      <c r="S58" s="73">
        <v>900000</v>
      </c>
      <c r="T58" s="73">
        <v>900000</v>
      </c>
      <c r="U58" s="73">
        <v>900000</v>
      </c>
      <c r="V58" s="73">
        <v>900000</v>
      </c>
      <c r="W58" s="73">
        <v>900000</v>
      </c>
      <c r="X58" s="1864">
        <f t="shared" si="0"/>
        <v>10800000</v>
      </c>
      <c r="Y58" s="23">
        <f t="shared" si="1"/>
        <v>0</v>
      </c>
    </row>
    <row r="59" spans="1:25" ht="30" x14ac:dyDescent="0.25">
      <c r="A59" s="1"/>
      <c r="B59" s="1"/>
      <c r="C59" s="1"/>
      <c r="D59" s="1"/>
      <c r="E59" s="1"/>
      <c r="F59" s="1"/>
      <c r="G59" s="1">
        <v>99</v>
      </c>
      <c r="H59" s="1" t="s">
        <v>1508</v>
      </c>
      <c r="I59" s="73">
        <v>120000</v>
      </c>
      <c r="J59" s="4" t="s">
        <v>3295</v>
      </c>
      <c r="K59" s="4" t="s">
        <v>3595</v>
      </c>
      <c r="L59" s="73">
        <v>10000</v>
      </c>
      <c r="M59" s="73">
        <v>10000</v>
      </c>
      <c r="N59" s="73">
        <v>10000</v>
      </c>
      <c r="O59" s="73">
        <v>10000</v>
      </c>
      <c r="P59" s="73">
        <v>10000</v>
      </c>
      <c r="Q59" s="73">
        <v>10000</v>
      </c>
      <c r="R59" s="73">
        <v>10000</v>
      </c>
      <c r="S59" s="73">
        <v>10000</v>
      </c>
      <c r="T59" s="73">
        <v>10000</v>
      </c>
      <c r="U59" s="73">
        <v>10000</v>
      </c>
      <c r="V59" s="73">
        <v>10000</v>
      </c>
      <c r="W59" s="73">
        <v>10000</v>
      </c>
      <c r="X59" s="1864">
        <f t="shared" si="0"/>
        <v>120000</v>
      </c>
      <c r="Y59" s="23">
        <f t="shared" si="1"/>
        <v>0</v>
      </c>
    </row>
    <row r="60" spans="1:25" x14ac:dyDescent="0.25">
      <c r="A60" s="1"/>
      <c r="B60" s="1"/>
      <c r="C60" s="1"/>
      <c r="D60" s="1">
        <v>5</v>
      </c>
      <c r="E60" s="1">
        <v>2</v>
      </c>
      <c r="F60" s="1">
        <v>6</v>
      </c>
      <c r="G60" s="1"/>
      <c r="H60" s="1" t="s">
        <v>206</v>
      </c>
      <c r="I60" s="73"/>
      <c r="J60" s="1"/>
      <c r="K60" s="4" t="s">
        <v>3595</v>
      </c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1864">
        <f t="shared" si="0"/>
        <v>0</v>
      </c>
      <c r="Y60" s="23">
        <f t="shared" si="1"/>
        <v>0</v>
      </c>
    </row>
    <row r="61" spans="1:25" ht="30" x14ac:dyDescent="0.25">
      <c r="A61" s="1"/>
      <c r="B61" s="1"/>
      <c r="C61" s="1"/>
      <c r="D61" s="1"/>
      <c r="E61" s="1"/>
      <c r="F61" s="1"/>
      <c r="G61" s="1489" t="s">
        <v>3386</v>
      </c>
      <c r="H61" s="4" t="s">
        <v>208</v>
      </c>
      <c r="I61" s="73">
        <v>19050000</v>
      </c>
      <c r="J61" s="1" t="s">
        <v>1220</v>
      </c>
      <c r="K61" s="4" t="s">
        <v>3595</v>
      </c>
      <c r="L61" s="73">
        <v>1587500</v>
      </c>
      <c r="M61" s="73">
        <v>1587500</v>
      </c>
      <c r="N61" s="73">
        <v>1587500</v>
      </c>
      <c r="O61" s="73">
        <v>1587500</v>
      </c>
      <c r="P61" s="73">
        <v>1587500</v>
      </c>
      <c r="Q61" s="73">
        <v>1587500</v>
      </c>
      <c r="R61" s="73">
        <v>1587500</v>
      </c>
      <c r="S61" s="73">
        <v>1587500</v>
      </c>
      <c r="T61" s="73">
        <v>1587500</v>
      </c>
      <c r="U61" s="73">
        <v>1587500</v>
      </c>
      <c r="V61" s="73">
        <v>1587500</v>
      </c>
      <c r="W61" s="73">
        <v>1587500</v>
      </c>
      <c r="X61" s="1864">
        <f t="shared" si="0"/>
        <v>19050000</v>
      </c>
      <c r="Y61" s="23">
        <f t="shared" si="1"/>
        <v>0</v>
      </c>
    </row>
    <row r="62" spans="1:25" ht="30" x14ac:dyDescent="0.25">
      <c r="A62" s="1"/>
      <c r="B62" s="1"/>
      <c r="C62" s="1"/>
      <c r="D62" s="1"/>
      <c r="E62" s="1"/>
      <c r="F62" s="1"/>
      <c r="G62" s="1489" t="s">
        <v>3388</v>
      </c>
      <c r="H62" s="4" t="s">
        <v>217</v>
      </c>
      <c r="I62" s="73">
        <v>68425665</v>
      </c>
      <c r="J62" s="1" t="s">
        <v>1220</v>
      </c>
      <c r="K62" s="4" t="s">
        <v>3595</v>
      </c>
      <c r="L62" s="73">
        <v>3740943</v>
      </c>
      <c r="M62" s="73"/>
      <c r="N62" s="73"/>
      <c r="O62" s="73"/>
      <c r="P62" s="73">
        <v>10937392</v>
      </c>
      <c r="Q62" s="73"/>
      <c r="R62" s="73">
        <v>25213967</v>
      </c>
      <c r="S62" s="73">
        <v>11720145</v>
      </c>
      <c r="T62" s="73"/>
      <c r="U62" s="73"/>
      <c r="V62" s="73"/>
      <c r="W62" s="73">
        <v>16813218</v>
      </c>
      <c r="X62" s="1864">
        <f t="shared" si="0"/>
        <v>68425665</v>
      </c>
      <c r="Y62" s="23">
        <f t="shared" si="1"/>
        <v>0</v>
      </c>
    </row>
    <row r="63" spans="1:25" ht="60" x14ac:dyDescent="0.25">
      <c r="A63" s="1"/>
      <c r="B63" s="1"/>
      <c r="C63" s="1"/>
      <c r="D63" s="1"/>
      <c r="E63" s="1"/>
      <c r="F63" s="1"/>
      <c r="G63" s="1489" t="s">
        <v>3393</v>
      </c>
      <c r="H63" s="4" t="s">
        <v>228</v>
      </c>
      <c r="I63" s="73">
        <v>10500000</v>
      </c>
      <c r="J63" s="1" t="s">
        <v>1220</v>
      </c>
      <c r="K63" s="4" t="s">
        <v>3595</v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>
        <v>10500000</v>
      </c>
      <c r="X63" s="1864">
        <f t="shared" si="0"/>
        <v>10500000</v>
      </c>
      <c r="Y63" s="23">
        <f t="shared" si="1"/>
        <v>0</v>
      </c>
    </row>
    <row r="64" spans="1:25" ht="45" x14ac:dyDescent="0.25">
      <c r="A64" s="865">
        <v>1</v>
      </c>
      <c r="B64" s="865">
        <v>1</v>
      </c>
      <c r="C64" s="1490" t="s">
        <v>3389</v>
      </c>
      <c r="D64" s="865"/>
      <c r="E64" s="865"/>
      <c r="F64" s="865"/>
      <c r="G64" s="865"/>
      <c r="H64" s="1061" t="s">
        <v>446</v>
      </c>
      <c r="I64" s="1063">
        <v>37980000</v>
      </c>
      <c r="J64" s="865" t="s">
        <v>1220</v>
      </c>
      <c r="K64" s="1061" t="s">
        <v>3595</v>
      </c>
      <c r="L64" s="1063"/>
      <c r="M64" s="1063"/>
      <c r="N64" s="1063"/>
      <c r="O64" s="1063"/>
      <c r="P64" s="1063"/>
      <c r="Q64" s="1063"/>
      <c r="R64" s="1063"/>
      <c r="S64" s="1063"/>
      <c r="T64" s="1063"/>
      <c r="U64" s="1063"/>
      <c r="V64" s="1063"/>
      <c r="W64" s="1063"/>
      <c r="X64" s="1866">
        <f t="shared" si="0"/>
        <v>0</v>
      </c>
      <c r="Y64" s="23">
        <f t="shared" si="1"/>
        <v>37980000</v>
      </c>
    </row>
    <row r="65" spans="1:25" x14ac:dyDescent="0.25">
      <c r="A65" s="1"/>
      <c r="B65" s="1"/>
      <c r="C65" s="1"/>
      <c r="D65" s="1">
        <v>5</v>
      </c>
      <c r="E65" s="1">
        <v>2</v>
      </c>
      <c r="F65" s="1"/>
      <c r="G65" s="1"/>
      <c r="H65" s="4" t="s">
        <v>82</v>
      </c>
      <c r="I65" s="73"/>
      <c r="J65" s="1"/>
      <c r="K65" s="4" t="s">
        <v>3595</v>
      </c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1864">
        <f t="shared" si="0"/>
        <v>0</v>
      </c>
      <c r="Y65" s="23">
        <f t="shared" si="1"/>
        <v>0</v>
      </c>
    </row>
    <row r="66" spans="1:25" x14ac:dyDescent="0.25">
      <c r="A66" s="1"/>
      <c r="B66" s="1"/>
      <c r="C66" s="1"/>
      <c r="D66" s="1"/>
      <c r="E66" s="1"/>
      <c r="F66" s="1">
        <v>1</v>
      </c>
      <c r="G66" s="1"/>
      <c r="H66" s="4" t="s">
        <v>84</v>
      </c>
      <c r="I66" s="73"/>
      <c r="J66" s="1"/>
      <c r="K66" s="4" t="s">
        <v>3595</v>
      </c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1864">
        <f t="shared" si="0"/>
        <v>0</v>
      </c>
      <c r="Y66" s="23">
        <f t="shared" si="1"/>
        <v>0</v>
      </c>
    </row>
    <row r="67" spans="1:25" ht="45" x14ac:dyDescent="0.25">
      <c r="A67" s="1"/>
      <c r="B67" s="1"/>
      <c r="C67" s="1"/>
      <c r="D67" s="1"/>
      <c r="E67" s="1"/>
      <c r="F67" s="1"/>
      <c r="G67" s="1489" t="s">
        <v>3391</v>
      </c>
      <c r="H67" s="4" t="s">
        <v>379</v>
      </c>
      <c r="I67" s="73">
        <v>36000000</v>
      </c>
      <c r="J67" s="1" t="s">
        <v>1220</v>
      </c>
      <c r="K67" s="4" t="s">
        <v>3595</v>
      </c>
      <c r="L67" s="73">
        <v>3000000</v>
      </c>
      <c r="M67" s="73">
        <v>3000000</v>
      </c>
      <c r="N67" s="73">
        <v>3000000</v>
      </c>
      <c r="O67" s="73">
        <v>3000000</v>
      </c>
      <c r="P67" s="73">
        <v>3000000</v>
      </c>
      <c r="Q67" s="73">
        <v>3000000</v>
      </c>
      <c r="R67" s="73">
        <v>3000000</v>
      </c>
      <c r="S67" s="73">
        <v>3000000</v>
      </c>
      <c r="T67" s="73">
        <v>3000000</v>
      </c>
      <c r="U67" s="73">
        <v>3000000</v>
      </c>
      <c r="V67" s="73">
        <v>3000000</v>
      </c>
      <c r="W67" s="73">
        <v>3000000</v>
      </c>
      <c r="X67" s="1864">
        <f t="shared" si="0"/>
        <v>36000000</v>
      </c>
      <c r="Y67" s="23">
        <f t="shared" si="1"/>
        <v>0</v>
      </c>
    </row>
    <row r="68" spans="1:25" ht="30" x14ac:dyDescent="0.25">
      <c r="A68" s="1"/>
      <c r="B68" s="1"/>
      <c r="C68" s="1"/>
      <c r="D68" s="1"/>
      <c r="E68" s="1"/>
      <c r="F68" s="1"/>
      <c r="G68" s="1">
        <v>90</v>
      </c>
      <c r="H68" s="4" t="s">
        <v>3385</v>
      </c>
      <c r="I68" s="73">
        <v>1980000</v>
      </c>
      <c r="J68" s="1" t="s">
        <v>1220</v>
      </c>
      <c r="K68" s="4" t="s">
        <v>3595</v>
      </c>
      <c r="L68" s="73">
        <v>165000</v>
      </c>
      <c r="M68" s="73">
        <v>165000</v>
      </c>
      <c r="N68" s="73">
        <v>165000</v>
      </c>
      <c r="O68" s="73">
        <v>165000</v>
      </c>
      <c r="P68" s="73">
        <v>165000</v>
      </c>
      <c r="Q68" s="73">
        <v>165000</v>
      </c>
      <c r="R68" s="73">
        <v>165000</v>
      </c>
      <c r="S68" s="73">
        <v>165000</v>
      </c>
      <c r="T68" s="73">
        <v>165000</v>
      </c>
      <c r="U68" s="73">
        <v>165000</v>
      </c>
      <c r="V68" s="73">
        <v>165000</v>
      </c>
      <c r="W68" s="73">
        <v>165000</v>
      </c>
      <c r="X68" s="1864">
        <f t="shared" si="0"/>
        <v>1980000</v>
      </c>
      <c r="Y68" s="23">
        <f t="shared" si="1"/>
        <v>0</v>
      </c>
    </row>
    <row r="69" spans="1:25" x14ac:dyDescent="0.25">
      <c r="A69" s="865">
        <v>1</v>
      </c>
      <c r="B69" s="865">
        <v>1</v>
      </c>
      <c r="C69" s="1490" t="s">
        <v>3390</v>
      </c>
      <c r="D69" s="865"/>
      <c r="E69" s="865"/>
      <c r="F69" s="865"/>
      <c r="G69" s="865"/>
      <c r="H69" s="1061" t="s">
        <v>238</v>
      </c>
      <c r="I69" s="1063">
        <v>457800000</v>
      </c>
      <c r="J69" s="865" t="s">
        <v>1506</v>
      </c>
      <c r="K69" s="1061" t="s">
        <v>3595</v>
      </c>
      <c r="L69" s="1063"/>
      <c r="M69" s="1063"/>
      <c r="N69" s="1063"/>
      <c r="O69" s="1063"/>
      <c r="P69" s="1063"/>
      <c r="Q69" s="1063"/>
      <c r="R69" s="1063"/>
      <c r="S69" s="1063"/>
      <c r="T69" s="1063"/>
      <c r="U69" s="1063"/>
      <c r="V69" s="1063"/>
      <c r="W69" s="1063"/>
      <c r="X69" s="1866">
        <f t="shared" si="0"/>
        <v>0</v>
      </c>
      <c r="Y69" s="23">
        <f t="shared" si="1"/>
        <v>457800000</v>
      </c>
    </row>
    <row r="70" spans="1:25" x14ac:dyDescent="0.25">
      <c r="A70" s="1"/>
      <c r="B70" s="1"/>
      <c r="C70" s="1"/>
      <c r="D70" s="1">
        <v>5</v>
      </c>
      <c r="E70" s="1">
        <v>1</v>
      </c>
      <c r="F70" s="1"/>
      <c r="G70" s="1"/>
      <c r="H70" s="1" t="s">
        <v>240</v>
      </c>
      <c r="I70" s="73"/>
      <c r="J70" s="1"/>
      <c r="K70" s="4" t="s">
        <v>3595</v>
      </c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1864">
        <f t="shared" si="0"/>
        <v>0</v>
      </c>
      <c r="Y70" s="23">
        <f t="shared" si="1"/>
        <v>0</v>
      </c>
    </row>
    <row r="71" spans="1:25" x14ac:dyDescent="0.25">
      <c r="A71" s="1"/>
      <c r="B71" s="1"/>
      <c r="C71" s="1"/>
      <c r="D71" s="1"/>
      <c r="E71" s="1"/>
      <c r="F71" s="1">
        <v>4</v>
      </c>
      <c r="G71" s="1"/>
      <c r="H71" s="1" t="s">
        <v>242</v>
      </c>
      <c r="I71" s="73"/>
      <c r="J71" s="1"/>
      <c r="K71" s="4" t="s">
        <v>3595</v>
      </c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1864">
        <f t="shared" si="0"/>
        <v>0</v>
      </c>
      <c r="Y71" s="23">
        <f t="shared" si="1"/>
        <v>0</v>
      </c>
    </row>
    <row r="72" spans="1:25" x14ac:dyDescent="0.25">
      <c r="A72" s="1"/>
      <c r="B72" s="1"/>
      <c r="C72" s="1"/>
      <c r="D72" s="1"/>
      <c r="E72" s="1"/>
      <c r="F72" s="1"/>
      <c r="G72" s="1489" t="s">
        <v>3366</v>
      </c>
      <c r="H72" s="1" t="s">
        <v>244</v>
      </c>
      <c r="I72" s="73">
        <v>457800000</v>
      </c>
      <c r="J72" s="1" t="s">
        <v>1506</v>
      </c>
      <c r="K72" s="4" t="s">
        <v>3595</v>
      </c>
      <c r="L72" s="73">
        <v>32700000</v>
      </c>
      <c r="M72" s="73">
        <v>32700000</v>
      </c>
      <c r="N72" s="73">
        <v>65400000</v>
      </c>
      <c r="O72" s="73">
        <v>32700000</v>
      </c>
      <c r="P72" s="73">
        <v>32700000</v>
      </c>
      <c r="Q72" s="73">
        <v>32700000</v>
      </c>
      <c r="R72" s="73">
        <v>65400000</v>
      </c>
      <c r="S72" s="73">
        <v>32700000</v>
      </c>
      <c r="T72" s="73">
        <v>32700000</v>
      </c>
      <c r="U72" s="73">
        <v>32700000</v>
      </c>
      <c r="V72" s="73">
        <v>32700000</v>
      </c>
      <c r="W72" s="73">
        <v>32700000</v>
      </c>
      <c r="X72" s="1864">
        <f t="shared" si="0"/>
        <v>457800000</v>
      </c>
      <c r="Y72" s="23">
        <f t="shared" si="1"/>
        <v>0</v>
      </c>
    </row>
    <row r="73" spans="1:25" ht="30" x14ac:dyDescent="0.25">
      <c r="A73" s="865">
        <v>1</v>
      </c>
      <c r="B73" s="865">
        <v>1</v>
      </c>
      <c r="C73" s="1490" t="s">
        <v>3391</v>
      </c>
      <c r="D73" s="865"/>
      <c r="E73" s="865"/>
      <c r="F73" s="865"/>
      <c r="G73" s="865"/>
      <c r="H73" s="1061" t="s">
        <v>254</v>
      </c>
      <c r="I73" s="1063">
        <v>32282000</v>
      </c>
      <c r="J73" s="865" t="s">
        <v>1220</v>
      </c>
      <c r="K73" s="1061" t="s">
        <v>3595</v>
      </c>
      <c r="L73" s="1063"/>
      <c r="M73" s="1063"/>
      <c r="N73" s="1063"/>
      <c r="O73" s="1063"/>
      <c r="P73" s="1063"/>
      <c r="Q73" s="1063"/>
      <c r="R73" s="1063"/>
      <c r="S73" s="1063"/>
      <c r="T73" s="1063"/>
      <c r="U73" s="1063"/>
      <c r="V73" s="1063"/>
      <c r="W73" s="1063"/>
      <c r="X73" s="1866">
        <f t="shared" si="0"/>
        <v>0</v>
      </c>
      <c r="Y73" s="23">
        <f t="shared" si="1"/>
        <v>32282000</v>
      </c>
    </row>
    <row r="74" spans="1:25" x14ac:dyDescent="0.25">
      <c r="A74" s="1"/>
      <c r="B74" s="1"/>
      <c r="C74" s="1"/>
      <c r="D74" s="1">
        <v>5</v>
      </c>
      <c r="E74" s="1">
        <v>2</v>
      </c>
      <c r="F74" s="1"/>
      <c r="G74" s="1"/>
      <c r="H74" s="4" t="s">
        <v>82</v>
      </c>
      <c r="I74" s="73"/>
      <c r="J74" s="1"/>
      <c r="K74" s="4" t="s">
        <v>3595</v>
      </c>
      <c r="L74" s="73">
        <v>0</v>
      </c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1864">
        <f t="shared" si="0"/>
        <v>0</v>
      </c>
      <c r="Y74" s="23">
        <f t="shared" si="1"/>
        <v>0</v>
      </c>
    </row>
    <row r="75" spans="1:25" x14ac:dyDescent="0.25">
      <c r="A75" s="1"/>
      <c r="B75" s="1"/>
      <c r="C75" s="1"/>
      <c r="D75" s="1"/>
      <c r="E75" s="1"/>
      <c r="F75" s="1">
        <v>1</v>
      </c>
      <c r="G75" s="1"/>
      <c r="H75" s="4" t="s">
        <v>84</v>
      </c>
      <c r="I75" s="73"/>
      <c r="J75" s="1"/>
      <c r="K75" s="4" t="s">
        <v>3595</v>
      </c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1864">
        <f t="shared" si="0"/>
        <v>0</v>
      </c>
      <c r="Y75" s="23">
        <f t="shared" si="1"/>
        <v>0</v>
      </c>
    </row>
    <row r="76" spans="1:25" ht="30" x14ac:dyDescent="0.25">
      <c r="A76" s="1"/>
      <c r="B76" s="1"/>
      <c r="C76" s="1"/>
      <c r="D76" s="1"/>
      <c r="E76" s="1"/>
      <c r="F76" s="1"/>
      <c r="G76" s="1489" t="s">
        <v>3366</v>
      </c>
      <c r="H76" s="4" t="s">
        <v>260</v>
      </c>
      <c r="I76" s="73">
        <v>3230000</v>
      </c>
      <c r="J76" s="1" t="s">
        <v>1220</v>
      </c>
      <c r="K76" s="4" t="s">
        <v>3595</v>
      </c>
      <c r="L76" s="73"/>
      <c r="M76" s="73">
        <v>3230000</v>
      </c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1864">
        <f t="shared" si="0"/>
        <v>3230000</v>
      </c>
      <c r="Y76" s="23">
        <f t="shared" si="1"/>
        <v>0</v>
      </c>
    </row>
    <row r="77" spans="1:25" ht="45" x14ac:dyDescent="0.25">
      <c r="A77" s="1"/>
      <c r="B77" s="1"/>
      <c r="C77" s="1"/>
      <c r="D77" s="1"/>
      <c r="E77" s="1"/>
      <c r="F77" s="1"/>
      <c r="G77" s="1489" t="s">
        <v>3391</v>
      </c>
      <c r="H77" s="4" t="s">
        <v>146</v>
      </c>
      <c r="I77" s="73">
        <v>18120000</v>
      </c>
      <c r="J77" s="1" t="s">
        <v>1220</v>
      </c>
      <c r="K77" s="4" t="s">
        <v>3595</v>
      </c>
      <c r="L77" s="73"/>
      <c r="M77" s="73">
        <v>9060000</v>
      </c>
      <c r="N77" s="73">
        <v>9060000</v>
      </c>
      <c r="O77" s="73"/>
      <c r="P77" s="73"/>
      <c r="Q77" s="73"/>
      <c r="R77" s="73"/>
      <c r="S77" s="73"/>
      <c r="T77" s="73"/>
      <c r="U77" s="73"/>
      <c r="V77" s="73"/>
      <c r="W77" s="73"/>
      <c r="X77" s="1864">
        <f t="shared" si="0"/>
        <v>18120000</v>
      </c>
      <c r="Y77" s="23">
        <f t="shared" si="1"/>
        <v>0</v>
      </c>
    </row>
    <row r="78" spans="1:25" x14ac:dyDescent="0.25">
      <c r="A78" s="1"/>
      <c r="B78" s="1"/>
      <c r="C78" s="1"/>
      <c r="D78" s="1"/>
      <c r="E78" s="1"/>
      <c r="F78" s="1"/>
      <c r="G78" s="1489" t="s">
        <v>3393</v>
      </c>
      <c r="H78" s="1" t="s">
        <v>973</v>
      </c>
      <c r="I78" s="73">
        <v>90000</v>
      </c>
      <c r="J78" s="1" t="s">
        <v>1220</v>
      </c>
      <c r="K78" s="4" t="s">
        <v>3595</v>
      </c>
      <c r="L78" s="73"/>
      <c r="M78" s="73"/>
      <c r="N78" s="73">
        <v>90000</v>
      </c>
      <c r="O78" s="73"/>
      <c r="P78" s="73"/>
      <c r="Q78" s="73"/>
      <c r="R78" s="73"/>
      <c r="S78" s="73"/>
      <c r="T78" s="73"/>
      <c r="U78" s="73"/>
      <c r="V78" s="73"/>
      <c r="W78" s="73"/>
      <c r="X78" s="1864">
        <f t="shared" si="0"/>
        <v>90000</v>
      </c>
      <c r="Y78" s="23">
        <f t="shared" si="1"/>
        <v>0</v>
      </c>
    </row>
    <row r="79" spans="1:25" ht="30" x14ac:dyDescent="0.25">
      <c r="A79" s="1"/>
      <c r="B79" s="1"/>
      <c r="C79" s="1"/>
      <c r="D79" s="1"/>
      <c r="E79" s="1"/>
      <c r="F79" s="1"/>
      <c r="G79" s="1489" t="s">
        <v>3394</v>
      </c>
      <c r="H79" s="4" t="s">
        <v>167</v>
      </c>
      <c r="I79" s="73">
        <v>10062000</v>
      </c>
      <c r="J79" s="1" t="s">
        <v>1220</v>
      </c>
      <c r="K79" s="4" t="s">
        <v>3595</v>
      </c>
      <c r="L79" s="73"/>
      <c r="M79" s="73">
        <v>10062000</v>
      </c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1864">
        <f t="shared" ref="X79:X142" si="2">SUM(L79:W79)</f>
        <v>10062000</v>
      </c>
      <c r="Y79" s="23">
        <f t="shared" ref="Y79:Y142" si="3">I79-X79</f>
        <v>0</v>
      </c>
    </row>
    <row r="80" spans="1:25" ht="30" x14ac:dyDescent="0.25">
      <c r="A80" s="1"/>
      <c r="B80" s="1"/>
      <c r="C80" s="1"/>
      <c r="D80" s="1"/>
      <c r="E80" s="1"/>
      <c r="F80" s="1"/>
      <c r="G80" s="1">
        <v>90</v>
      </c>
      <c r="H80" s="4" t="s">
        <v>273</v>
      </c>
      <c r="I80" s="73">
        <v>780000</v>
      </c>
      <c r="J80" s="1" t="s">
        <v>1220</v>
      </c>
      <c r="K80" s="4" t="s">
        <v>3595</v>
      </c>
      <c r="L80" s="73"/>
      <c r="M80" s="73">
        <v>390000</v>
      </c>
      <c r="N80" s="73">
        <v>390000</v>
      </c>
      <c r="O80" s="73"/>
      <c r="P80" s="73"/>
      <c r="Q80" s="73"/>
      <c r="R80" s="73"/>
      <c r="S80" s="73"/>
      <c r="T80" s="73"/>
      <c r="U80" s="73"/>
      <c r="V80" s="73"/>
      <c r="W80" s="73"/>
      <c r="X80" s="1864">
        <f t="shared" si="2"/>
        <v>780000</v>
      </c>
      <c r="Y80" s="23">
        <f t="shared" si="3"/>
        <v>0</v>
      </c>
    </row>
    <row r="81" spans="1:25" ht="30" x14ac:dyDescent="0.25">
      <c r="A81" s="865">
        <v>1</v>
      </c>
      <c r="B81" s="865">
        <v>1</v>
      </c>
      <c r="C81" s="1490" t="s">
        <v>3391</v>
      </c>
      <c r="D81" s="865"/>
      <c r="E81" s="865"/>
      <c r="F81" s="865"/>
      <c r="G81" s="865"/>
      <c r="H81" s="1061" t="s">
        <v>276</v>
      </c>
      <c r="I81" s="1063">
        <v>16400000</v>
      </c>
      <c r="J81" s="865" t="s">
        <v>1220</v>
      </c>
      <c r="K81" s="1061" t="s">
        <v>3595</v>
      </c>
      <c r="L81" s="1063"/>
      <c r="M81" s="1063"/>
      <c r="N81" s="1063"/>
      <c r="O81" s="1063"/>
      <c r="P81" s="1063"/>
      <c r="Q81" s="1063"/>
      <c r="R81" s="1063"/>
      <c r="S81" s="1063"/>
      <c r="T81" s="1063"/>
      <c r="U81" s="1063"/>
      <c r="V81" s="1063"/>
      <c r="W81" s="1063"/>
      <c r="X81" s="1866">
        <f t="shared" si="2"/>
        <v>0</v>
      </c>
      <c r="Y81" s="23">
        <f t="shared" si="3"/>
        <v>16400000</v>
      </c>
    </row>
    <row r="82" spans="1:25" x14ac:dyDescent="0.25">
      <c r="A82" s="1"/>
      <c r="B82" s="1"/>
      <c r="C82" s="1"/>
      <c r="D82" s="1">
        <v>5</v>
      </c>
      <c r="E82" s="1">
        <v>2</v>
      </c>
      <c r="F82" s="1"/>
      <c r="G82" s="1"/>
      <c r="H82" s="4" t="s">
        <v>277</v>
      </c>
      <c r="I82" s="73"/>
      <c r="J82" s="1"/>
      <c r="K82" s="4" t="s">
        <v>3595</v>
      </c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1864">
        <f t="shared" si="2"/>
        <v>0</v>
      </c>
      <c r="Y82" s="23">
        <f t="shared" si="3"/>
        <v>0</v>
      </c>
    </row>
    <row r="83" spans="1:25" x14ac:dyDescent="0.25">
      <c r="A83" s="1"/>
      <c r="B83" s="1"/>
      <c r="C83" s="1"/>
      <c r="D83" s="1"/>
      <c r="E83" s="1"/>
      <c r="F83" s="1">
        <v>1</v>
      </c>
      <c r="G83" s="1"/>
      <c r="H83" s="4" t="s">
        <v>84</v>
      </c>
      <c r="I83" s="73"/>
      <c r="J83" s="1"/>
      <c r="K83" s="4" t="s">
        <v>3595</v>
      </c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1864">
        <f t="shared" si="2"/>
        <v>0</v>
      </c>
      <c r="Y83" s="23">
        <f t="shared" si="3"/>
        <v>0</v>
      </c>
    </row>
    <row r="84" spans="1:25" ht="45" x14ac:dyDescent="0.25">
      <c r="A84" s="1"/>
      <c r="B84" s="1"/>
      <c r="C84" s="1"/>
      <c r="D84" s="1"/>
      <c r="E84" s="1"/>
      <c r="F84" s="1"/>
      <c r="G84" s="1489" t="s">
        <v>3390</v>
      </c>
      <c r="H84" s="4" t="s">
        <v>280</v>
      </c>
      <c r="I84" s="73">
        <v>7720000</v>
      </c>
      <c r="J84" s="1" t="s">
        <v>1220</v>
      </c>
      <c r="K84" s="4" t="s">
        <v>3595</v>
      </c>
      <c r="L84" s="73">
        <v>7720000</v>
      </c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1864">
        <f t="shared" si="2"/>
        <v>7720000</v>
      </c>
      <c r="Y84" s="23">
        <f t="shared" si="3"/>
        <v>0</v>
      </c>
    </row>
    <row r="85" spans="1:25" ht="45" x14ac:dyDescent="0.25">
      <c r="A85" s="1"/>
      <c r="B85" s="1"/>
      <c r="C85" s="1"/>
      <c r="D85" s="1"/>
      <c r="E85" s="1"/>
      <c r="F85" s="1"/>
      <c r="G85" s="1489" t="s">
        <v>3391</v>
      </c>
      <c r="H85" s="4" t="s">
        <v>283</v>
      </c>
      <c r="I85" s="73">
        <v>8000000</v>
      </c>
      <c r="J85" s="1" t="s">
        <v>1220</v>
      </c>
      <c r="K85" s="4" t="s">
        <v>3595</v>
      </c>
      <c r="L85" s="73">
        <v>8000000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1864">
        <f t="shared" si="2"/>
        <v>8000000</v>
      </c>
      <c r="Y85" s="23">
        <f t="shared" si="3"/>
        <v>0</v>
      </c>
    </row>
    <row r="86" spans="1:25" ht="30" x14ac:dyDescent="0.25">
      <c r="A86" s="1"/>
      <c r="B86" s="1"/>
      <c r="C86" s="1"/>
      <c r="D86" s="1"/>
      <c r="E86" s="1"/>
      <c r="F86" s="1"/>
      <c r="G86" s="1">
        <v>90</v>
      </c>
      <c r="H86" s="4" t="s">
        <v>285</v>
      </c>
      <c r="I86" s="73">
        <v>680000</v>
      </c>
      <c r="J86" s="1" t="s">
        <v>1220</v>
      </c>
      <c r="K86" s="4" t="s">
        <v>3595</v>
      </c>
      <c r="L86" s="73">
        <v>680000</v>
      </c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1864">
        <f t="shared" si="2"/>
        <v>680000</v>
      </c>
      <c r="Y86" s="23">
        <f t="shared" si="3"/>
        <v>0</v>
      </c>
    </row>
    <row r="87" spans="1:25" ht="30" x14ac:dyDescent="0.25">
      <c r="A87" s="865">
        <v>1</v>
      </c>
      <c r="B87" s="865">
        <v>1</v>
      </c>
      <c r="C87" s="1490" t="s">
        <v>3391</v>
      </c>
      <c r="D87" s="865"/>
      <c r="E87" s="865"/>
      <c r="F87" s="865"/>
      <c r="G87" s="865"/>
      <c r="H87" s="1061" t="s">
        <v>1345</v>
      </c>
      <c r="I87" s="1063">
        <v>8685000</v>
      </c>
      <c r="J87" s="865" t="s">
        <v>2177</v>
      </c>
      <c r="K87" s="1061" t="s">
        <v>3595</v>
      </c>
      <c r="L87" s="1063"/>
      <c r="M87" s="1063"/>
      <c r="N87" s="1063"/>
      <c r="O87" s="1063"/>
      <c r="P87" s="1063"/>
      <c r="Q87" s="1063"/>
      <c r="R87" s="1063"/>
      <c r="S87" s="1063"/>
      <c r="T87" s="1063"/>
      <c r="U87" s="1063"/>
      <c r="V87" s="1063"/>
      <c r="W87" s="1063"/>
      <c r="X87" s="1866">
        <f t="shared" si="2"/>
        <v>0</v>
      </c>
      <c r="Y87" s="23">
        <f t="shared" si="3"/>
        <v>8685000</v>
      </c>
    </row>
    <row r="88" spans="1:25" x14ac:dyDescent="0.25">
      <c r="A88" s="1"/>
      <c r="B88" s="1"/>
      <c r="C88" s="1"/>
      <c r="D88" s="1">
        <v>5</v>
      </c>
      <c r="E88" s="1">
        <v>2</v>
      </c>
      <c r="F88" s="1"/>
      <c r="G88" s="1"/>
      <c r="H88" s="4" t="s">
        <v>277</v>
      </c>
      <c r="I88" s="73"/>
      <c r="J88" s="1"/>
      <c r="K88" s="4" t="s">
        <v>3595</v>
      </c>
      <c r="L88" s="73"/>
      <c r="M88" s="73"/>
      <c r="N88" s="73">
        <v>1814748</v>
      </c>
      <c r="O88" s="73">
        <v>-1814748</v>
      </c>
      <c r="P88" s="73"/>
      <c r="Q88" s="73"/>
      <c r="R88" s="73"/>
      <c r="S88" s="73"/>
      <c r="T88" s="73"/>
      <c r="U88" s="73"/>
      <c r="V88" s="73"/>
      <c r="W88" s="73"/>
      <c r="X88" s="1864">
        <f t="shared" si="2"/>
        <v>0</v>
      </c>
      <c r="Y88" s="23">
        <f t="shared" si="3"/>
        <v>0</v>
      </c>
    </row>
    <row r="89" spans="1:25" x14ac:dyDescent="0.25">
      <c r="A89" s="1"/>
      <c r="B89" s="1"/>
      <c r="C89" s="1"/>
      <c r="D89" s="1"/>
      <c r="E89" s="1"/>
      <c r="F89" s="1">
        <v>1</v>
      </c>
      <c r="G89" s="1"/>
      <c r="H89" s="4" t="s">
        <v>84</v>
      </c>
      <c r="I89" s="73"/>
      <c r="J89" s="1"/>
      <c r="K89" s="4" t="s">
        <v>3595</v>
      </c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1864">
        <f t="shared" si="2"/>
        <v>0</v>
      </c>
      <c r="Y89" s="23">
        <f t="shared" si="3"/>
        <v>0</v>
      </c>
    </row>
    <row r="90" spans="1:25" ht="45" x14ac:dyDescent="0.25">
      <c r="A90" s="1"/>
      <c r="B90" s="1"/>
      <c r="C90" s="1"/>
      <c r="D90" s="1"/>
      <c r="E90" s="1"/>
      <c r="F90" s="1"/>
      <c r="G90" s="1489" t="s">
        <v>3391</v>
      </c>
      <c r="H90" s="4" t="s">
        <v>283</v>
      </c>
      <c r="I90" s="73">
        <v>8000000</v>
      </c>
      <c r="J90" s="1" t="s">
        <v>2177</v>
      </c>
      <c r="K90" s="4" t="s">
        <v>3595</v>
      </c>
      <c r="L90" s="73"/>
      <c r="M90" s="73"/>
      <c r="N90" s="73">
        <v>1643498</v>
      </c>
      <c r="O90" s="73"/>
      <c r="P90" s="73">
        <v>356502</v>
      </c>
      <c r="Q90" s="73">
        <v>2000000</v>
      </c>
      <c r="R90" s="73"/>
      <c r="S90" s="73"/>
      <c r="T90" s="73">
        <v>2000000</v>
      </c>
      <c r="U90" s="73"/>
      <c r="V90" s="73"/>
      <c r="W90" s="73">
        <v>2000000</v>
      </c>
      <c r="X90" s="1864">
        <f t="shared" si="2"/>
        <v>8000000</v>
      </c>
      <c r="Y90" s="23">
        <f t="shared" si="3"/>
        <v>0</v>
      </c>
    </row>
    <row r="91" spans="1:25" x14ac:dyDescent="0.25">
      <c r="A91" s="1"/>
      <c r="B91" s="1"/>
      <c r="C91" s="1"/>
      <c r="D91" s="1"/>
      <c r="E91" s="1"/>
      <c r="F91" s="1"/>
      <c r="G91" s="1489" t="s">
        <v>3393</v>
      </c>
      <c r="H91" s="1" t="s">
        <v>973</v>
      </c>
      <c r="I91" s="73">
        <v>360000</v>
      </c>
      <c r="J91" s="1" t="s">
        <v>2177</v>
      </c>
      <c r="K91" s="4" t="s">
        <v>3595</v>
      </c>
      <c r="L91" s="73"/>
      <c r="M91" s="73"/>
      <c r="N91" s="73">
        <v>90000</v>
      </c>
      <c r="O91" s="73"/>
      <c r="P91" s="73"/>
      <c r="Q91" s="73">
        <v>90000</v>
      </c>
      <c r="R91" s="73"/>
      <c r="S91" s="73"/>
      <c r="T91" s="73">
        <v>90000</v>
      </c>
      <c r="U91" s="73"/>
      <c r="V91" s="73"/>
      <c r="W91" s="73">
        <v>90000</v>
      </c>
      <c r="X91" s="1864">
        <f t="shared" si="2"/>
        <v>360000</v>
      </c>
      <c r="Y91" s="23">
        <f t="shared" si="3"/>
        <v>0</v>
      </c>
    </row>
    <row r="92" spans="1:25" ht="30" x14ac:dyDescent="0.25">
      <c r="A92" s="1"/>
      <c r="B92" s="1"/>
      <c r="C92" s="1"/>
      <c r="D92" s="1"/>
      <c r="E92" s="1"/>
      <c r="F92" s="1"/>
      <c r="G92" s="1">
        <v>90</v>
      </c>
      <c r="H92" s="4" t="s">
        <v>285</v>
      </c>
      <c r="I92" s="73">
        <v>325000</v>
      </c>
      <c r="J92" s="1" t="s">
        <v>2177</v>
      </c>
      <c r="K92" s="4" t="s">
        <v>3595</v>
      </c>
      <c r="L92" s="73"/>
      <c r="M92" s="73"/>
      <c r="N92" s="73">
        <v>81250</v>
      </c>
      <c r="O92" s="73"/>
      <c r="P92" s="73"/>
      <c r="Q92" s="73">
        <v>81250</v>
      </c>
      <c r="R92" s="73"/>
      <c r="S92" s="73"/>
      <c r="T92" s="73">
        <v>81250</v>
      </c>
      <c r="U92" s="73"/>
      <c r="V92" s="73"/>
      <c r="W92" s="73">
        <v>81250</v>
      </c>
      <c r="X92" s="1864">
        <f t="shared" si="2"/>
        <v>325000</v>
      </c>
      <c r="Y92" s="23">
        <f t="shared" si="3"/>
        <v>0</v>
      </c>
    </row>
    <row r="93" spans="1:25" ht="30" x14ac:dyDescent="0.25">
      <c r="A93" s="865">
        <v>1</v>
      </c>
      <c r="B93" s="865">
        <v>1</v>
      </c>
      <c r="C93" s="865">
        <v>91</v>
      </c>
      <c r="D93" s="865"/>
      <c r="E93" s="865"/>
      <c r="F93" s="865"/>
      <c r="G93" s="865"/>
      <c r="H93" s="1061" t="s">
        <v>291</v>
      </c>
      <c r="I93" s="1063">
        <v>579582544.32000005</v>
      </c>
      <c r="J93" s="865" t="s">
        <v>1506</v>
      </c>
      <c r="K93" s="1061" t="s">
        <v>3595</v>
      </c>
      <c r="L93" s="1063"/>
      <c r="M93" s="1063"/>
      <c r="N93" s="1063"/>
      <c r="O93" s="1063"/>
      <c r="P93" s="1063"/>
      <c r="Q93" s="1063"/>
      <c r="R93" s="1063"/>
      <c r="S93" s="1063"/>
      <c r="T93" s="1063"/>
      <c r="U93" s="1063"/>
      <c r="V93" s="1063"/>
      <c r="W93" s="1063"/>
      <c r="X93" s="1866">
        <f t="shared" si="2"/>
        <v>0</v>
      </c>
      <c r="Y93" s="23">
        <f t="shared" si="3"/>
        <v>579582544.32000005</v>
      </c>
    </row>
    <row r="94" spans="1:25" x14ac:dyDescent="0.25">
      <c r="A94" s="1"/>
      <c r="B94" s="1"/>
      <c r="C94" s="1"/>
      <c r="D94" s="1">
        <v>5</v>
      </c>
      <c r="E94" s="1">
        <v>2</v>
      </c>
      <c r="F94" s="1"/>
      <c r="G94" s="1"/>
      <c r="H94" s="4" t="s">
        <v>277</v>
      </c>
      <c r="I94" s="73"/>
      <c r="J94" s="1"/>
      <c r="K94" s="4" t="s">
        <v>3595</v>
      </c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1864">
        <f t="shared" si="2"/>
        <v>0</v>
      </c>
      <c r="Y94" s="23">
        <f t="shared" si="3"/>
        <v>0</v>
      </c>
    </row>
    <row r="95" spans="1:25" x14ac:dyDescent="0.25">
      <c r="A95" s="1"/>
      <c r="B95" s="1"/>
      <c r="C95" s="1"/>
      <c r="D95" s="1"/>
      <c r="E95" s="1"/>
      <c r="F95" s="1">
        <v>2</v>
      </c>
      <c r="G95" s="1"/>
      <c r="H95" s="4" t="s">
        <v>294</v>
      </c>
      <c r="I95" s="73"/>
      <c r="J95" s="1"/>
      <c r="K95" s="4" t="s">
        <v>3595</v>
      </c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1864">
        <f t="shared" si="2"/>
        <v>0</v>
      </c>
      <c r="Y95" s="23">
        <f t="shared" si="3"/>
        <v>0</v>
      </c>
    </row>
    <row r="96" spans="1:25" x14ac:dyDescent="0.25">
      <c r="A96" s="1"/>
      <c r="B96" s="1"/>
      <c r="C96" s="1"/>
      <c r="D96" s="1"/>
      <c r="E96" s="1"/>
      <c r="F96" s="1"/>
      <c r="G96" s="1489" t="s">
        <v>3392</v>
      </c>
      <c r="H96" s="4" t="s">
        <v>298</v>
      </c>
      <c r="I96" s="73">
        <v>41998545.359999999</v>
      </c>
      <c r="J96" s="1" t="s">
        <v>1506</v>
      </c>
      <c r="K96" s="4" t="s">
        <v>3595</v>
      </c>
      <c r="L96" s="73">
        <v>3499878.78</v>
      </c>
      <c r="M96" s="73">
        <v>3499878.78</v>
      </c>
      <c r="N96" s="73">
        <v>3499878.78</v>
      </c>
      <c r="O96" s="73">
        <v>3499878.78</v>
      </c>
      <c r="P96" s="73">
        <v>3499878.78</v>
      </c>
      <c r="Q96" s="73">
        <v>3499878.78</v>
      </c>
      <c r="R96" s="73">
        <v>3499878.78</v>
      </c>
      <c r="S96" s="73">
        <v>3499878.78</v>
      </c>
      <c r="T96" s="73">
        <v>3499878.78</v>
      </c>
      <c r="U96" s="73">
        <v>3499878.78</v>
      </c>
      <c r="V96" s="73">
        <v>3499878.78</v>
      </c>
      <c r="W96" s="73">
        <v>3499878.78</v>
      </c>
      <c r="X96" s="1864">
        <f t="shared" si="2"/>
        <v>41998545.360000007</v>
      </c>
      <c r="Y96" s="23">
        <f t="shared" si="3"/>
        <v>0</v>
      </c>
    </row>
    <row r="97" spans="1:25" x14ac:dyDescent="0.25">
      <c r="A97" s="1"/>
      <c r="B97" s="1"/>
      <c r="C97" s="1"/>
      <c r="D97" s="1"/>
      <c r="E97" s="1"/>
      <c r="F97" s="1"/>
      <c r="G97" s="1">
        <v>90</v>
      </c>
      <c r="H97" s="1" t="s">
        <v>296</v>
      </c>
      <c r="I97" s="73">
        <v>537583998.96000004</v>
      </c>
      <c r="J97" s="1" t="s">
        <v>1506</v>
      </c>
      <c r="K97" s="4" t="s">
        <v>3595</v>
      </c>
      <c r="L97" s="73">
        <v>44798666.579999998</v>
      </c>
      <c r="M97" s="73">
        <v>44798666.579999998</v>
      </c>
      <c r="N97" s="73">
        <v>44798666.579999998</v>
      </c>
      <c r="O97" s="73">
        <v>44798666.579999998</v>
      </c>
      <c r="P97" s="73">
        <v>44798666.579999998</v>
      </c>
      <c r="Q97" s="73">
        <v>44798666.579999998</v>
      </c>
      <c r="R97" s="73">
        <v>44798666.579999998</v>
      </c>
      <c r="S97" s="73">
        <v>44798666.579999998</v>
      </c>
      <c r="T97" s="73">
        <v>44798666.579999998</v>
      </c>
      <c r="U97" s="73">
        <v>44798666.579999998</v>
      </c>
      <c r="V97" s="73">
        <v>44798666.579999998</v>
      </c>
      <c r="W97" s="73">
        <v>44798666.579999998</v>
      </c>
      <c r="X97" s="1864">
        <f t="shared" si="2"/>
        <v>537583998.95999992</v>
      </c>
      <c r="Y97" s="23">
        <f t="shared" si="3"/>
        <v>0</v>
      </c>
    </row>
    <row r="98" spans="1:25" ht="30" x14ac:dyDescent="0.25">
      <c r="A98" s="865">
        <v>1</v>
      </c>
      <c r="B98" s="865">
        <v>1</v>
      </c>
      <c r="C98" s="865">
        <v>93</v>
      </c>
      <c r="D98" s="865"/>
      <c r="E98" s="865"/>
      <c r="F98" s="865"/>
      <c r="G98" s="865"/>
      <c r="H98" s="1061" t="s">
        <v>1173</v>
      </c>
      <c r="I98" s="1063">
        <v>17455000</v>
      </c>
      <c r="J98" s="1061" t="s">
        <v>1775</v>
      </c>
      <c r="K98" s="1061" t="s">
        <v>3595</v>
      </c>
      <c r="L98" s="1063"/>
      <c r="M98" s="1063"/>
      <c r="N98" s="1063"/>
      <c r="O98" s="1063"/>
      <c r="P98" s="1063"/>
      <c r="Q98" s="1063"/>
      <c r="R98" s="1063"/>
      <c r="S98" s="1063"/>
      <c r="T98" s="1063"/>
      <c r="U98" s="1063"/>
      <c r="V98" s="1063"/>
      <c r="W98" s="1063"/>
      <c r="X98" s="1866">
        <f t="shared" si="2"/>
        <v>0</v>
      </c>
      <c r="Y98" s="23">
        <f t="shared" si="3"/>
        <v>17455000</v>
      </c>
    </row>
    <row r="99" spans="1:25" x14ac:dyDescent="0.25">
      <c r="A99" s="1"/>
      <c r="B99" s="1"/>
      <c r="C99" s="1"/>
      <c r="D99" s="1">
        <v>5</v>
      </c>
      <c r="E99" s="1">
        <v>2</v>
      </c>
      <c r="F99" s="1"/>
      <c r="G99" s="1"/>
      <c r="H99" s="1533" t="s">
        <v>82</v>
      </c>
      <c r="I99" s="73"/>
      <c r="J99" s="1"/>
      <c r="K99" s="4" t="s">
        <v>3595</v>
      </c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1864">
        <f t="shared" si="2"/>
        <v>0</v>
      </c>
      <c r="Y99" s="23">
        <f t="shared" si="3"/>
        <v>0</v>
      </c>
    </row>
    <row r="100" spans="1:25" x14ac:dyDescent="0.25">
      <c r="A100" s="1"/>
      <c r="B100" s="1"/>
      <c r="C100" s="1"/>
      <c r="D100" s="1"/>
      <c r="E100" s="1"/>
      <c r="F100" s="1">
        <v>1</v>
      </c>
      <c r="G100" s="1"/>
      <c r="H100" s="1533" t="s">
        <v>84</v>
      </c>
      <c r="I100" s="73"/>
      <c r="J100" s="1"/>
      <c r="K100" s="4" t="s">
        <v>3595</v>
      </c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1864">
        <f t="shared" si="2"/>
        <v>0</v>
      </c>
      <c r="Y100" s="23">
        <f t="shared" si="3"/>
        <v>0</v>
      </c>
    </row>
    <row r="101" spans="1:25" ht="30" x14ac:dyDescent="0.25">
      <c r="A101" s="1"/>
      <c r="B101" s="1"/>
      <c r="C101" s="1"/>
      <c r="D101" s="1"/>
      <c r="E101" s="1"/>
      <c r="F101" s="1"/>
      <c r="G101" s="1489" t="s">
        <v>3366</v>
      </c>
      <c r="H101" s="1533" t="s">
        <v>260</v>
      </c>
      <c r="I101" s="73">
        <v>495000</v>
      </c>
      <c r="J101" s="4" t="s">
        <v>1775</v>
      </c>
      <c r="K101" s="4" t="s">
        <v>3595</v>
      </c>
      <c r="L101" s="73"/>
      <c r="M101" s="73"/>
      <c r="N101" s="73"/>
      <c r="O101" s="73"/>
      <c r="P101" s="73"/>
      <c r="Q101" s="73">
        <v>495000</v>
      </c>
      <c r="R101" s="73"/>
      <c r="S101" s="73"/>
      <c r="T101" s="73"/>
      <c r="U101" s="73"/>
      <c r="V101" s="73"/>
      <c r="W101" s="73"/>
      <c r="X101" s="1864">
        <f t="shared" si="2"/>
        <v>495000</v>
      </c>
      <c r="Y101" s="23">
        <f t="shared" si="3"/>
        <v>0</v>
      </c>
    </row>
    <row r="102" spans="1:25" ht="45" x14ac:dyDescent="0.25">
      <c r="A102" s="1"/>
      <c r="B102" s="1"/>
      <c r="C102" s="1"/>
      <c r="D102" s="1"/>
      <c r="E102" s="1"/>
      <c r="F102" s="1"/>
      <c r="G102" s="1489" t="s">
        <v>3391</v>
      </c>
      <c r="H102" s="4" t="s">
        <v>283</v>
      </c>
      <c r="I102" s="73">
        <v>8600000</v>
      </c>
      <c r="J102" s="4" t="s">
        <v>1775</v>
      </c>
      <c r="K102" s="4" t="s">
        <v>3595</v>
      </c>
      <c r="L102" s="73"/>
      <c r="M102" s="73"/>
      <c r="N102" s="73"/>
      <c r="O102" s="73"/>
      <c r="P102" s="73"/>
      <c r="Q102" s="73">
        <v>8600000</v>
      </c>
      <c r="R102" s="73"/>
      <c r="S102" s="73"/>
      <c r="T102" s="73"/>
      <c r="U102" s="73"/>
      <c r="V102" s="73"/>
      <c r="W102" s="73"/>
      <c r="X102" s="1864">
        <f t="shared" si="2"/>
        <v>8600000</v>
      </c>
      <c r="Y102" s="23">
        <f t="shared" si="3"/>
        <v>0</v>
      </c>
    </row>
    <row r="103" spans="1:25" ht="30" x14ac:dyDescent="0.25">
      <c r="A103" s="1"/>
      <c r="B103" s="1"/>
      <c r="C103" s="1"/>
      <c r="D103" s="1"/>
      <c r="E103" s="1"/>
      <c r="F103" s="1"/>
      <c r="G103" s="1489" t="s">
        <v>3393</v>
      </c>
      <c r="H103" s="4" t="s">
        <v>949</v>
      </c>
      <c r="I103" s="73">
        <v>360000</v>
      </c>
      <c r="J103" s="4" t="s">
        <v>1775</v>
      </c>
      <c r="K103" s="4" t="s">
        <v>3595</v>
      </c>
      <c r="L103" s="73"/>
      <c r="M103" s="73"/>
      <c r="N103" s="73"/>
      <c r="O103" s="73"/>
      <c r="P103" s="73"/>
      <c r="Q103" s="73">
        <v>360000</v>
      </c>
      <c r="R103" s="73"/>
      <c r="S103" s="73"/>
      <c r="T103" s="73"/>
      <c r="U103" s="73"/>
      <c r="V103" s="73"/>
      <c r="W103" s="73"/>
      <c r="X103" s="1864">
        <f t="shared" si="2"/>
        <v>360000</v>
      </c>
      <c r="Y103" s="23">
        <f t="shared" si="3"/>
        <v>0</v>
      </c>
    </row>
    <row r="104" spans="1:25" ht="30" x14ac:dyDescent="0.25">
      <c r="A104" s="1"/>
      <c r="B104" s="1"/>
      <c r="C104" s="1"/>
      <c r="D104" s="1">
        <v>5</v>
      </c>
      <c r="E104" s="1">
        <v>2</v>
      </c>
      <c r="F104" s="1">
        <v>2</v>
      </c>
      <c r="G104" s="1"/>
      <c r="H104" s="4" t="s">
        <v>968</v>
      </c>
      <c r="I104" s="73">
        <v>2600000</v>
      </c>
      <c r="J104" s="4" t="s">
        <v>1775</v>
      </c>
      <c r="K104" s="4" t="s">
        <v>3595</v>
      </c>
      <c r="L104" s="73"/>
      <c r="M104" s="73"/>
      <c r="N104" s="73"/>
      <c r="O104" s="73"/>
      <c r="P104" s="73"/>
      <c r="Q104" s="73">
        <v>2600000</v>
      </c>
      <c r="R104" s="73"/>
      <c r="S104" s="73"/>
      <c r="T104" s="73"/>
      <c r="U104" s="73"/>
      <c r="V104" s="73"/>
      <c r="W104" s="73"/>
      <c r="X104" s="1864">
        <f t="shared" si="2"/>
        <v>2600000</v>
      </c>
      <c r="Y104" s="23">
        <f t="shared" si="3"/>
        <v>0</v>
      </c>
    </row>
    <row r="105" spans="1:25" ht="30" x14ac:dyDescent="0.25">
      <c r="A105" s="1"/>
      <c r="B105" s="1"/>
      <c r="C105" s="1"/>
      <c r="D105" s="1"/>
      <c r="E105" s="1"/>
      <c r="F105" s="1"/>
      <c r="G105" s="1489" t="s">
        <v>3366</v>
      </c>
      <c r="H105" s="1" t="s">
        <v>294</v>
      </c>
      <c r="I105" s="73">
        <v>5400000</v>
      </c>
      <c r="J105" s="4" t="s">
        <v>1775</v>
      </c>
      <c r="K105" s="4" t="s">
        <v>3595</v>
      </c>
      <c r="L105" s="73"/>
      <c r="M105" s="73"/>
      <c r="N105" s="73"/>
      <c r="O105" s="73"/>
      <c r="P105" s="73"/>
      <c r="Q105" s="73">
        <v>5400000</v>
      </c>
      <c r="R105" s="73"/>
      <c r="S105" s="73"/>
      <c r="T105" s="73"/>
      <c r="U105" s="73"/>
      <c r="V105" s="73"/>
      <c r="W105" s="73"/>
      <c r="X105" s="1864">
        <f t="shared" si="2"/>
        <v>5400000</v>
      </c>
      <c r="Y105" s="23">
        <f t="shared" si="3"/>
        <v>0</v>
      </c>
    </row>
    <row r="106" spans="1:25" ht="30" x14ac:dyDescent="0.25">
      <c r="A106" s="865">
        <v>1</v>
      </c>
      <c r="B106" s="865">
        <v>1</v>
      </c>
      <c r="C106" s="865">
        <v>98</v>
      </c>
      <c r="D106" s="865"/>
      <c r="E106" s="865"/>
      <c r="F106" s="865"/>
      <c r="G106" s="865"/>
      <c r="H106" s="1061" t="s">
        <v>1328</v>
      </c>
      <c r="I106" s="1063">
        <v>40757410.799999997</v>
      </c>
      <c r="J106" s="865" t="s">
        <v>1506</v>
      </c>
      <c r="K106" s="1061" t="s">
        <v>3595</v>
      </c>
      <c r="L106" s="1063"/>
      <c r="M106" s="1063"/>
      <c r="N106" s="1063"/>
      <c r="O106" s="1063"/>
      <c r="P106" s="1063"/>
      <c r="Q106" s="1063"/>
      <c r="R106" s="1063"/>
      <c r="S106" s="1063"/>
      <c r="T106" s="1063"/>
      <c r="U106" s="1063"/>
      <c r="V106" s="1063"/>
      <c r="W106" s="1063"/>
      <c r="X106" s="1866">
        <f t="shared" si="2"/>
        <v>0</v>
      </c>
      <c r="Y106" s="23">
        <f t="shared" si="3"/>
        <v>40757410.799999997</v>
      </c>
    </row>
    <row r="107" spans="1:25" x14ac:dyDescent="0.25">
      <c r="A107" s="1"/>
      <c r="B107" s="1"/>
      <c r="C107" s="1"/>
      <c r="D107" s="1">
        <v>5</v>
      </c>
      <c r="E107" s="1">
        <v>2</v>
      </c>
      <c r="F107" s="1"/>
      <c r="G107" s="1"/>
      <c r="H107" s="4" t="s">
        <v>277</v>
      </c>
      <c r="I107" s="73"/>
      <c r="J107" s="1"/>
      <c r="K107" s="4" t="s">
        <v>3595</v>
      </c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1864">
        <f t="shared" si="2"/>
        <v>0</v>
      </c>
      <c r="Y107" s="23">
        <f t="shared" si="3"/>
        <v>0</v>
      </c>
    </row>
    <row r="108" spans="1:25" ht="30" x14ac:dyDescent="0.25">
      <c r="A108" s="1"/>
      <c r="B108" s="1"/>
      <c r="C108" s="1"/>
      <c r="D108" s="1"/>
      <c r="E108" s="1"/>
      <c r="F108" s="1">
        <v>5</v>
      </c>
      <c r="G108" s="1"/>
      <c r="H108" s="4" t="s">
        <v>2306</v>
      </c>
      <c r="I108" s="73"/>
      <c r="J108" s="1"/>
      <c r="K108" s="4" t="s">
        <v>3595</v>
      </c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1864">
        <f t="shared" si="2"/>
        <v>0</v>
      </c>
      <c r="Y108" s="23">
        <f t="shared" si="3"/>
        <v>0</v>
      </c>
    </row>
    <row r="109" spans="1:25" ht="30" x14ac:dyDescent="0.25">
      <c r="A109" s="1"/>
      <c r="B109" s="1"/>
      <c r="C109" s="1"/>
      <c r="D109" s="1"/>
      <c r="E109" s="1"/>
      <c r="F109" s="1"/>
      <c r="G109" s="1489">
        <v>91</v>
      </c>
      <c r="H109" s="4" t="s">
        <v>2308</v>
      </c>
      <c r="I109" s="73">
        <v>16271650.799999999</v>
      </c>
      <c r="J109" s="1" t="s">
        <v>1506</v>
      </c>
      <c r="K109" s="4" t="s">
        <v>3595</v>
      </c>
      <c r="L109" s="73">
        <v>1355970.9</v>
      </c>
      <c r="M109" s="73">
        <v>1355970.9</v>
      </c>
      <c r="N109" s="73">
        <v>1355970.9</v>
      </c>
      <c r="O109" s="73">
        <v>1355970.9</v>
      </c>
      <c r="P109" s="73">
        <v>1355970.9</v>
      </c>
      <c r="Q109" s="73">
        <v>1355970.9</v>
      </c>
      <c r="R109" s="73">
        <v>1355970.9</v>
      </c>
      <c r="S109" s="73">
        <v>1355970.9</v>
      </c>
      <c r="T109" s="73">
        <v>1355970.9</v>
      </c>
      <c r="U109" s="73">
        <v>1355970.9</v>
      </c>
      <c r="V109" s="73">
        <v>1355970.9</v>
      </c>
      <c r="W109" s="73">
        <v>1355970.9</v>
      </c>
      <c r="X109" s="1864">
        <f t="shared" si="2"/>
        <v>16271650.800000003</v>
      </c>
      <c r="Y109" s="23">
        <f t="shared" si="3"/>
        <v>0</v>
      </c>
    </row>
    <row r="110" spans="1:25" ht="30" x14ac:dyDescent="0.25">
      <c r="A110" s="1"/>
      <c r="B110" s="1"/>
      <c r="C110" s="1"/>
      <c r="D110" s="1"/>
      <c r="E110" s="1"/>
      <c r="F110" s="1"/>
      <c r="G110" s="1">
        <v>92</v>
      </c>
      <c r="H110" s="4" t="s">
        <v>2310</v>
      </c>
      <c r="I110" s="73">
        <v>24485760</v>
      </c>
      <c r="J110" s="1" t="s">
        <v>1506</v>
      </c>
      <c r="K110" s="4" t="s">
        <v>3595</v>
      </c>
      <c r="L110" s="73">
        <v>2040480</v>
      </c>
      <c r="M110" s="73">
        <v>2040480</v>
      </c>
      <c r="N110" s="73">
        <v>2040480</v>
      </c>
      <c r="O110" s="73">
        <v>2040480</v>
      </c>
      <c r="P110" s="73">
        <v>2040480</v>
      </c>
      <c r="Q110" s="73">
        <v>2040480</v>
      </c>
      <c r="R110" s="73">
        <v>2040480</v>
      </c>
      <c r="S110" s="73">
        <v>2040480</v>
      </c>
      <c r="T110" s="73">
        <v>2040480</v>
      </c>
      <c r="U110" s="73">
        <v>2040480</v>
      </c>
      <c r="V110" s="73">
        <v>2040480</v>
      </c>
      <c r="W110" s="73">
        <v>2040480</v>
      </c>
      <c r="X110" s="1864">
        <f t="shared" si="2"/>
        <v>24485760</v>
      </c>
      <c r="Y110" s="23">
        <f t="shared" si="3"/>
        <v>0</v>
      </c>
    </row>
    <row r="111" spans="1:25" ht="45" x14ac:dyDescent="0.25">
      <c r="A111" s="865">
        <v>1</v>
      </c>
      <c r="B111" s="865">
        <v>1</v>
      </c>
      <c r="C111" s="865">
        <v>98</v>
      </c>
      <c r="D111" s="865"/>
      <c r="E111" s="865"/>
      <c r="F111" s="865"/>
      <c r="G111" s="865"/>
      <c r="H111" s="1061" t="s">
        <v>1337</v>
      </c>
      <c r="I111" s="1063">
        <v>28601010</v>
      </c>
      <c r="J111" s="865" t="s">
        <v>1506</v>
      </c>
      <c r="K111" s="1061" t="s">
        <v>3595</v>
      </c>
      <c r="L111" s="1063"/>
      <c r="M111" s="1063"/>
      <c r="N111" s="1063"/>
      <c r="O111" s="1063"/>
      <c r="P111" s="1063"/>
      <c r="Q111" s="1063"/>
      <c r="R111" s="1063"/>
      <c r="S111" s="1063"/>
      <c r="T111" s="1063"/>
      <c r="U111" s="1063"/>
      <c r="V111" s="1063"/>
      <c r="W111" s="1063"/>
      <c r="X111" s="1866">
        <f t="shared" si="2"/>
        <v>0</v>
      </c>
      <c r="Y111" s="23">
        <f t="shared" si="3"/>
        <v>28601010</v>
      </c>
    </row>
    <row r="112" spans="1:25" x14ac:dyDescent="0.25">
      <c r="A112" s="1"/>
      <c r="B112" s="1"/>
      <c r="C112" s="1"/>
      <c r="D112" s="1">
        <v>5</v>
      </c>
      <c r="E112" s="1">
        <v>2</v>
      </c>
      <c r="F112" s="1"/>
      <c r="G112" s="1"/>
      <c r="H112" s="4" t="s">
        <v>277</v>
      </c>
      <c r="I112" s="73"/>
      <c r="J112" s="1"/>
      <c r="K112" s="4" t="s">
        <v>3595</v>
      </c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1864">
        <f t="shared" si="2"/>
        <v>0</v>
      </c>
      <c r="Y112" s="23">
        <f t="shared" si="3"/>
        <v>0</v>
      </c>
    </row>
    <row r="113" spans="1:25" ht="30" x14ac:dyDescent="0.25">
      <c r="A113" s="1"/>
      <c r="B113" s="1"/>
      <c r="C113" s="1"/>
      <c r="D113" s="1"/>
      <c r="E113" s="1"/>
      <c r="F113" s="1">
        <v>5</v>
      </c>
      <c r="G113" s="1"/>
      <c r="H113" s="4" t="s">
        <v>2306</v>
      </c>
      <c r="I113" s="73"/>
      <c r="J113" s="1"/>
      <c r="K113" s="4" t="s">
        <v>3595</v>
      </c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1864">
        <f t="shared" si="2"/>
        <v>0</v>
      </c>
      <c r="Y113" s="23">
        <f t="shared" si="3"/>
        <v>0</v>
      </c>
    </row>
    <row r="114" spans="1:25" ht="30" x14ac:dyDescent="0.25">
      <c r="A114" s="1"/>
      <c r="B114" s="1"/>
      <c r="C114" s="1"/>
      <c r="D114" s="1"/>
      <c r="E114" s="1"/>
      <c r="F114" s="1"/>
      <c r="G114" s="1">
        <v>91</v>
      </c>
      <c r="H114" s="4" t="s">
        <v>2308</v>
      </c>
      <c r="I114" s="73">
        <v>25199127</v>
      </c>
      <c r="J114" s="1" t="s">
        <v>1506</v>
      </c>
      <c r="K114" s="4" t="s">
        <v>3595</v>
      </c>
      <c r="L114" s="73">
        <v>2099927.25</v>
      </c>
      <c r="M114" s="73">
        <v>2099927.25</v>
      </c>
      <c r="N114" s="73">
        <v>2099927.25</v>
      </c>
      <c r="O114" s="73">
        <v>2099927.25</v>
      </c>
      <c r="P114" s="73">
        <v>2099927.25</v>
      </c>
      <c r="Q114" s="73">
        <v>2099927.25</v>
      </c>
      <c r="R114" s="73">
        <v>2099927.25</v>
      </c>
      <c r="S114" s="73">
        <v>2099927.25</v>
      </c>
      <c r="T114" s="73">
        <v>2099927.25</v>
      </c>
      <c r="U114" s="73">
        <v>2099927.25</v>
      </c>
      <c r="V114" s="73">
        <v>2099927.25</v>
      </c>
      <c r="W114" s="73">
        <v>2099927.25</v>
      </c>
      <c r="X114" s="1864">
        <f t="shared" si="2"/>
        <v>25199127</v>
      </c>
      <c r="Y114" s="23">
        <f t="shared" si="3"/>
        <v>0</v>
      </c>
    </row>
    <row r="115" spans="1:25" ht="30" x14ac:dyDescent="0.25">
      <c r="A115" s="1"/>
      <c r="B115" s="1"/>
      <c r="C115" s="1"/>
      <c r="D115" s="1"/>
      <c r="E115" s="1"/>
      <c r="F115" s="1"/>
      <c r="G115" s="1">
        <v>92</v>
      </c>
      <c r="H115" s="4" t="s">
        <v>2310</v>
      </c>
      <c r="I115" s="73">
        <v>3401883.0000000005</v>
      </c>
      <c r="J115" s="1" t="s">
        <v>1506</v>
      </c>
      <c r="K115" s="4" t="s">
        <v>3595</v>
      </c>
      <c r="L115" s="73">
        <v>283490.25</v>
      </c>
      <c r="M115" s="73">
        <v>283490.25</v>
      </c>
      <c r="N115" s="73">
        <v>283490.25</v>
      </c>
      <c r="O115" s="73">
        <v>283490.25</v>
      </c>
      <c r="P115" s="73">
        <v>283490.25</v>
      </c>
      <c r="Q115" s="73">
        <v>283490.25</v>
      </c>
      <c r="R115" s="73">
        <v>283490.25</v>
      </c>
      <c r="S115" s="73">
        <v>283490.25</v>
      </c>
      <c r="T115" s="73">
        <v>283490.25</v>
      </c>
      <c r="U115" s="73">
        <v>283490.25</v>
      </c>
      <c r="V115" s="73">
        <v>283490.25</v>
      </c>
      <c r="W115" s="73">
        <v>283490.25</v>
      </c>
      <c r="X115" s="1864">
        <f t="shared" si="2"/>
        <v>3401883</v>
      </c>
      <c r="Y115" s="23">
        <f t="shared" si="3"/>
        <v>0</v>
      </c>
    </row>
    <row r="116" spans="1:25" ht="45" x14ac:dyDescent="0.25">
      <c r="A116" s="865">
        <v>1</v>
      </c>
      <c r="B116" s="865">
        <v>1</v>
      </c>
      <c r="C116" s="865">
        <v>98</v>
      </c>
      <c r="D116" s="865"/>
      <c r="E116" s="865"/>
      <c r="F116" s="865"/>
      <c r="G116" s="865"/>
      <c r="H116" s="1061" t="s">
        <v>1342</v>
      </c>
      <c r="I116" s="1063">
        <v>53215772.040000007</v>
      </c>
      <c r="J116" s="865" t="s">
        <v>1506</v>
      </c>
      <c r="K116" s="1061" t="s">
        <v>3595</v>
      </c>
      <c r="L116" s="1063"/>
      <c r="M116" s="1063"/>
      <c r="N116" s="1063"/>
      <c r="O116" s="1063"/>
      <c r="P116" s="1063"/>
      <c r="Q116" s="1063"/>
      <c r="R116" s="1063"/>
      <c r="S116" s="1063"/>
      <c r="T116" s="1063"/>
      <c r="U116" s="1063"/>
      <c r="V116" s="1063"/>
      <c r="W116" s="1063"/>
      <c r="X116" s="1866">
        <f t="shared" si="2"/>
        <v>0</v>
      </c>
      <c r="Y116" s="23">
        <f t="shared" si="3"/>
        <v>53215772.040000007</v>
      </c>
    </row>
    <row r="117" spans="1:25" x14ac:dyDescent="0.25">
      <c r="A117" s="1"/>
      <c r="B117" s="1"/>
      <c r="C117" s="1"/>
      <c r="D117" s="1">
        <v>5</v>
      </c>
      <c r="E117" s="1">
        <v>2</v>
      </c>
      <c r="F117" s="1"/>
      <c r="G117" s="1"/>
      <c r="H117" s="4" t="s">
        <v>277</v>
      </c>
      <c r="I117" s="73"/>
      <c r="J117" s="1"/>
      <c r="K117" s="4" t="s">
        <v>3595</v>
      </c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1864">
        <f t="shared" si="2"/>
        <v>0</v>
      </c>
      <c r="Y117" s="23">
        <f t="shared" si="3"/>
        <v>0</v>
      </c>
    </row>
    <row r="118" spans="1:25" ht="45" x14ac:dyDescent="0.25">
      <c r="A118" s="1"/>
      <c r="B118" s="1"/>
      <c r="C118" s="1"/>
      <c r="D118" s="1"/>
      <c r="E118" s="1"/>
      <c r="F118" s="1">
        <v>7</v>
      </c>
      <c r="G118" s="1"/>
      <c r="H118" s="4" t="s">
        <v>2312</v>
      </c>
      <c r="I118" s="73"/>
      <c r="J118" s="1"/>
      <c r="K118" s="4" t="s">
        <v>3595</v>
      </c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1864">
        <f t="shared" si="2"/>
        <v>0</v>
      </c>
      <c r="Y118" s="23">
        <f t="shared" si="3"/>
        <v>0</v>
      </c>
    </row>
    <row r="119" spans="1:25" ht="45" x14ac:dyDescent="0.25">
      <c r="A119" s="1"/>
      <c r="B119" s="1"/>
      <c r="C119" s="1"/>
      <c r="D119" s="1"/>
      <c r="E119" s="1"/>
      <c r="F119" s="1"/>
      <c r="G119" s="1">
        <v>93</v>
      </c>
      <c r="H119" s="4" t="s">
        <v>2313</v>
      </c>
      <c r="I119" s="73">
        <v>53215772.040000007</v>
      </c>
      <c r="J119" s="1" t="s">
        <v>1506</v>
      </c>
      <c r="K119" s="4" t="s">
        <v>3595</v>
      </c>
      <c r="L119" s="73">
        <v>4434647.24</v>
      </c>
      <c r="M119" s="73">
        <v>4434647.24</v>
      </c>
      <c r="N119" s="73">
        <v>4434647.24</v>
      </c>
      <c r="O119" s="73">
        <v>4434647.24</v>
      </c>
      <c r="P119" s="73">
        <v>4434647.24</v>
      </c>
      <c r="Q119" s="73">
        <v>4434647.24</v>
      </c>
      <c r="R119" s="73">
        <v>4434647.24</v>
      </c>
      <c r="S119" s="73">
        <v>4434647.24</v>
      </c>
      <c r="T119" s="73">
        <v>4434647.24</v>
      </c>
      <c r="U119" s="73">
        <v>4434647.24</v>
      </c>
      <c r="V119" s="73">
        <v>4434647.24</v>
      </c>
      <c r="W119" s="73">
        <v>4434647.24</v>
      </c>
      <c r="X119" s="1864">
        <f t="shared" si="2"/>
        <v>53215766.880000018</v>
      </c>
      <c r="Y119" s="23">
        <f t="shared" si="3"/>
        <v>5.1599999889731407</v>
      </c>
    </row>
    <row r="120" spans="1:25" ht="30" x14ac:dyDescent="0.25">
      <c r="A120" s="865">
        <v>1</v>
      </c>
      <c r="B120" s="865">
        <v>1</v>
      </c>
      <c r="C120" s="865">
        <v>95</v>
      </c>
      <c r="D120" s="865"/>
      <c r="E120" s="865"/>
      <c r="F120" s="865"/>
      <c r="G120" s="865"/>
      <c r="H120" s="1061" t="s">
        <v>452</v>
      </c>
      <c r="I120" s="1063">
        <v>39032000</v>
      </c>
      <c r="J120" s="865" t="s">
        <v>1223</v>
      </c>
      <c r="K120" s="1061" t="s">
        <v>3595</v>
      </c>
      <c r="L120" s="1063"/>
      <c r="M120" s="1063"/>
      <c r="N120" s="1063"/>
      <c r="O120" s="1063"/>
      <c r="P120" s="1063"/>
      <c r="Q120" s="1063"/>
      <c r="R120" s="1063"/>
      <c r="S120" s="1063"/>
      <c r="T120" s="1063"/>
      <c r="U120" s="1063"/>
      <c r="V120" s="1063"/>
      <c r="W120" s="1063"/>
      <c r="X120" s="1866">
        <f t="shared" si="2"/>
        <v>0</v>
      </c>
      <c r="Y120" s="23">
        <f t="shared" si="3"/>
        <v>39032000</v>
      </c>
    </row>
    <row r="121" spans="1:25" x14ac:dyDescent="0.25">
      <c r="A121" s="1"/>
      <c r="B121" s="1"/>
      <c r="C121" s="1"/>
      <c r="D121" s="1">
        <v>5</v>
      </c>
      <c r="E121" s="1">
        <v>2</v>
      </c>
      <c r="F121" s="1"/>
      <c r="G121" s="1"/>
      <c r="H121" s="4" t="s">
        <v>277</v>
      </c>
      <c r="I121" s="73"/>
      <c r="J121" s="1"/>
      <c r="K121" s="4" t="s">
        <v>3595</v>
      </c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1864">
        <f t="shared" si="2"/>
        <v>0</v>
      </c>
      <c r="Y121" s="23">
        <f t="shared" si="3"/>
        <v>0</v>
      </c>
    </row>
    <row r="122" spans="1:25" ht="45" x14ac:dyDescent="0.25">
      <c r="A122" s="1"/>
      <c r="B122" s="1"/>
      <c r="C122" s="1"/>
      <c r="D122" s="1"/>
      <c r="E122" s="1"/>
      <c r="F122" s="1">
        <v>7</v>
      </c>
      <c r="G122" s="1"/>
      <c r="H122" s="4" t="s">
        <v>453</v>
      </c>
      <c r="I122" s="73"/>
      <c r="J122" s="1"/>
      <c r="K122" s="4" t="s">
        <v>3595</v>
      </c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1864">
        <f t="shared" si="2"/>
        <v>0</v>
      </c>
      <c r="Y122" s="23">
        <f t="shared" si="3"/>
        <v>0</v>
      </c>
    </row>
    <row r="123" spans="1:25" ht="45" x14ac:dyDescent="0.25">
      <c r="A123" s="1"/>
      <c r="B123" s="1"/>
      <c r="C123" s="1"/>
      <c r="D123" s="1"/>
      <c r="E123" s="1"/>
      <c r="F123" s="1"/>
      <c r="G123" s="1489" t="s">
        <v>3366</v>
      </c>
      <c r="H123" s="4" t="s">
        <v>454</v>
      </c>
      <c r="I123" s="73">
        <v>39032000</v>
      </c>
      <c r="J123" s="1" t="s">
        <v>1223</v>
      </c>
      <c r="K123" s="4" t="s">
        <v>3595</v>
      </c>
      <c r="L123" s="73">
        <v>3200000</v>
      </c>
      <c r="M123" s="73">
        <v>3200000</v>
      </c>
      <c r="N123" s="73">
        <v>3200000</v>
      </c>
      <c r="O123" s="73">
        <v>3200000</v>
      </c>
      <c r="P123" s="73">
        <v>3200000</v>
      </c>
      <c r="Q123" s="73">
        <v>3200000</v>
      </c>
      <c r="R123" s="73">
        <v>3200000</v>
      </c>
      <c r="S123" s="73">
        <v>3200000</v>
      </c>
      <c r="T123" s="73">
        <v>3200000</v>
      </c>
      <c r="U123" s="73">
        <v>3200000</v>
      </c>
      <c r="V123" s="73">
        <v>3200000</v>
      </c>
      <c r="W123" s="73">
        <v>3832000</v>
      </c>
      <c r="X123" s="1864">
        <f t="shared" si="2"/>
        <v>39032000</v>
      </c>
      <c r="Y123" s="23">
        <f t="shared" si="3"/>
        <v>0</v>
      </c>
    </row>
    <row r="124" spans="1:25" ht="30" x14ac:dyDescent="0.25">
      <c r="A124" s="865">
        <v>1</v>
      </c>
      <c r="B124" s="865">
        <v>1</v>
      </c>
      <c r="C124" s="865">
        <v>96</v>
      </c>
      <c r="D124" s="865"/>
      <c r="E124" s="865"/>
      <c r="F124" s="865"/>
      <c r="G124" s="865"/>
      <c r="H124" s="1061" t="s">
        <v>506</v>
      </c>
      <c r="I124" s="1063">
        <v>18000000</v>
      </c>
      <c r="J124" s="1061" t="s">
        <v>1773</v>
      </c>
      <c r="K124" s="1061" t="s">
        <v>3595</v>
      </c>
      <c r="L124" s="1063"/>
      <c r="M124" s="1063"/>
      <c r="N124" s="1063"/>
      <c r="O124" s="1063"/>
      <c r="P124" s="1063"/>
      <c r="Q124" s="1063"/>
      <c r="R124" s="1063"/>
      <c r="S124" s="1063"/>
      <c r="T124" s="1063"/>
      <c r="U124" s="1063"/>
      <c r="V124" s="1063"/>
      <c r="W124" s="1063"/>
      <c r="X124" s="1866">
        <f t="shared" si="2"/>
        <v>0</v>
      </c>
      <c r="Y124" s="23">
        <f t="shared" si="3"/>
        <v>18000000</v>
      </c>
    </row>
    <row r="125" spans="1:25" x14ac:dyDescent="0.25">
      <c r="A125" s="1"/>
      <c r="B125" s="1"/>
      <c r="C125" s="1"/>
      <c r="D125" s="1">
        <v>5</v>
      </c>
      <c r="E125" s="1">
        <v>1</v>
      </c>
      <c r="F125" s="1"/>
      <c r="G125" s="1"/>
      <c r="H125" s="4" t="s">
        <v>16</v>
      </c>
      <c r="I125" s="73"/>
      <c r="J125" s="1"/>
      <c r="K125" s="4" t="s">
        <v>3595</v>
      </c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1864">
        <f t="shared" si="2"/>
        <v>0</v>
      </c>
      <c r="Y125" s="23">
        <f t="shared" si="3"/>
        <v>0</v>
      </c>
    </row>
    <row r="126" spans="1:25" ht="30" x14ac:dyDescent="0.25">
      <c r="A126" s="1"/>
      <c r="B126" s="1"/>
      <c r="C126" s="1"/>
      <c r="D126" s="1"/>
      <c r="E126" s="1"/>
      <c r="F126" s="1">
        <v>1</v>
      </c>
      <c r="G126" s="1"/>
      <c r="H126" s="4" t="s">
        <v>18</v>
      </c>
      <c r="I126" s="73"/>
      <c r="J126" s="1"/>
      <c r="K126" s="4" t="s">
        <v>3595</v>
      </c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1864">
        <f t="shared" si="2"/>
        <v>0</v>
      </c>
      <c r="Y126" s="23">
        <f t="shared" si="3"/>
        <v>0</v>
      </c>
    </row>
    <row r="127" spans="1:25" x14ac:dyDescent="0.25">
      <c r="A127" s="1"/>
      <c r="B127" s="1"/>
      <c r="C127" s="1"/>
      <c r="D127" s="1"/>
      <c r="E127" s="1"/>
      <c r="F127" s="1"/>
      <c r="G127" s="1489" t="s">
        <v>3366</v>
      </c>
      <c r="H127" s="4" t="s">
        <v>20</v>
      </c>
      <c r="I127" s="73">
        <v>18000000</v>
      </c>
      <c r="J127" s="4" t="s">
        <v>1773</v>
      </c>
      <c r="K127" s="4" t="s">
        <v>3595</v>
      </c>
      <c r="L127" s="73">
        <v>1500000</v>
      </c>
      <c r="M127" s="73">
        <v>1500000</v>
      </c>
      <c r="N127" s="73">
        <v>1500000</v>
      </c>
      <c r="O127" s="73">
        <v>1500000</v>
      </c>
      <c r="P127" s="73">
        <v>1500000</v>
      </c>
      <c r="Q127" s="73">
        <v>1500000</v>
      </c>
      <c r="R127" s="73">
        <v>1500000</v>
      </c>
      <c r="S127" s="73">
        <v>1500000</v>
      </c>
      <c r="T127" s="73">
        <v>1500000</v>
      </c>
      <c r="U127" s="73">
        <v>1500000</v>
      </c>
      <c r="V127" s="73">
        <v>1500000</v>
      </c>
      <c r="W127" s="73">
        <v>1500000</v>
      </c>
      <c r="X127" s="1864">
        <f t="shared" si="2"/>
        <v>18000000</v>
      </c>
      <c r="Y127" s="23">
        <f t="shared" si="3"/>
        <v>0</v>
      </c>
    </row>
    <row r="128" spans="1:25" ht="30" x14ac:dyDescent="0.25">
      <c r="A128" s="865">
        <v>1</v>
      </c>
      <c r="B128" s="865">
        <v>1</v>
      </c>
      <c r="C128" s="865">
        <v>97</v>
      </c>
      <c r="D128" s="865"/>
      <c r="E128" s="865"/>
      <c r="F128" s="865"/>
      <c r="G128" s="865"/>
      <c r="H128" s="1061" t="s">
        <v>1225</v>
      </c>
      <c r="I128" s="1063">
        <v>56400000</v>
      </c>
      <c r="J128" s="1061" t="s">
        <v>1773</v>
      </c>
      <c r="K128" s="1061" t="s">
        <v>3595</v>
      </c>
      <c r="L128" s="1063"/>
      <c r="M128" s="1063"/>
      <c r="N128" s="1063"/>
      <c r="O128" s="1063"/>
      <c r="P128" s="1063"/>
      <c r="Q128" s="1063"/>
      <c r="R128" s="1063"/>
      <c r="S128" s="1063"/>
      <c r="T128" s="1063"/>
      <c r="U128" s="1063"/>
      <c r="V128" s="1063"/>
      <c r="W128" s="1063"/>
      <c r="X128" s="1866">
        <f t="shared" si="2"/>
        <v>0</v>
      </c>
      <c r="Y128" s="23">
        <f t="shared" si="3"/>
        <v>56400000</v>
      </c>
    </row>
    <row r="129" spans="1:25" x14ac:dyDescent="0.25">
      <c r="A129" s="1"/>
      <c r="B129" s="1"/>
      <c r="C129" s="1"/>
      <c r="D129" s="1">
        <v>5</v>
      </c>
      <c r="E129" s="1">
        <v>1</v>
      </c>
      <c r="F129" s="1"/>
      <c r="G129" s="1"/>
      <c r="H129" s="4" t="s">
        <v>16</v>
      </c>
      <c r="I129" s="73"/>
      <c r="J129" s="1"/>
      <c r="K129" s="4" t="s">
        <v>3595</v>
      </c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1864">
        <f t="shared" si="2"/>
        <v>0</v>
      </c>
      <c r="Y129" s="23">
        <f t="shared" si="3"/>
        <v>0</v>
      </c>
    </row>
    <row r="130" spans="1:25" ht="30" x14ac:dyDescent="0.25">
      <c r="A130" s="1"/>
      <c r="B130" s="1"/>
      <c r="C130" s="1"/>
      <c r="D130" s="1"/>
      <c r="E130" s="1"/>
      <c r="F130" s="1">
        <v>1</v>
      </c>
      <c r="G130" s="1"/>
      <c r="H130" s="4" t="s">
        <v>1774</v>
      </c>
      <c r="I130" s="73"/>
      <c r="J130" s="1"/>
      <c r="K130" s="4" t="s">
        <v>3595</v>
      </c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1864">
        <f t="shared" si="2"/>
        <v>0</v>
      </c>
      <c r="Y130" s="23">
        <f t="shared" si="3"/>
        <v>0</v>
      </c>
    </row>
    <row r="131" spans="1:25" ht="30" x14ac:dyDescent="0.25">
      <c r="A131" s="1"/>
      <c r="B131" s="1"/>
      <c r="C131" s="1"/>
      <c r="D131" s="1"/>
      <c r="E131" s="1"/>
      <c r="F131" s="1"/>
      <c r="G131" s="1489" t="s">
        <v>3366</v>
      </c>
      <c r="H131" s="4" t="s">
        <v>1774</v>
      </c>
      <c r="I131" s="73">
        <v>56400000</v>
      </c>
      <c r="J131" s="4" t="s">
        <v>1773</v>
      </c>
      <c r="K131" s="4" t="s">
        <v>3595</v>
      </c>
      <c r="L131" s="73">
        <v>4700000</v>
      </c>
      <c r="M131" s="73">
        <v>4700000</v>
      </c>
      <c r="N131" s="73">
        <v>4700000</v>
      </c>
      <c r="O131" s="73">
        <v>4700000</v>
      </c>
      <c r="P131" s="73">
        <v>4700000</v>
      </c>
      <c r="Q131" s="73">
        <v>4700000</v>
      </c>
      <c r="R131" s="73">
        <v>4700000</v>
      </c>
      <c r="S131" s="73">
        <v>4700000</v>
      </c>
      <c r="T131" s="73">
        <v>4700000</v>
      </c>
      <c r="U131" s="73">
        <v>4700000</v>
      </c>
      <c r="V131" s="73">
        <v>4700000</v>
      </c>
      <c r="W131" s="73">
        <v>4700000</v>
      </c>
      <c r="X131" s="1864">
        <f t="shared" si="2"/>
        <v>56400000</v>
      </c>
      <c r="Y131" s="23">
        <f t="shared" si="3"/>
        <v>0</v>
      </c>
    </row>
    <row r="132" spans="1:25" ht="30" x14ac:dyDescent="0.25">
      <c r="A132" s="865">
        <v>1</v>
      </c>
      <c r="B132" s="865">
        <v>2</v>
      </c>
      <c r="C132" s="865"/>
      <c r="D132" s="865"/>
      <c r="E132" s="865"/>
      <c r="F132" s="865"/>
      <c r="G132" s="1490"/>
      <c r="H132" s="1061" t="s">
        <v>1711</v>
      </c>
      <c r="I132" s="1063"/>
      <c r="J132" s="1061"/>
      <c r="K132" s="1061" t="s">
        <v>3595</v>
      </c>
      <c r="L132" s="1063"/>
      <c r="M132" s="1063"/>
      <c r="N132" s="1063"/>
      <c r="O132" s="1063"/>
      <c r="P132" s="1063"/>
      <c r="Q132" s="1063"/>
      <c r="R132" s="1063"/>
      <c r="S132" s="1063"/>
      <c r="T132" s="1063"/>
      <c r="U132" s="1063"/>
      <c r="V132" s="1063"/>
      <c r="W132" s="1063"/>
      <c r="X132" s="1866">
        <f t="shared" si="2"/>
        <v>0</v>
      </c>
      <c r="Y132" s="23">
        <f t="shared" si="3"/>
        <v>0</v>
      </c>
    </row>
    <row r="133" spans="1:25" ht="30" x14ac:dyDescent="0.25">
      <c r="A133" s="865">
        <v>1</v>
      </c>
      <c r="B133" s="865">
        <v>2</v>
      </c>
      <c r="C133" s="1490" t="s">
        <v>3366</v>
      </c>
      <c r="D133" s="865"/>
      <c r="E133" s="865"/>
      <c r="F133" s="865"/>
      <c r="G133" s="865"/>
      <c r="H133" s="1061" t="s">
        <v>394</v>
      </c>
      <c r="I133" s="1063">
        <v>3243107999</v>
      </c>
      <c r="J133" s="865"/>
      <c r="K133" s="1061" t="s">
        <v>3595</v>
      </c>
      <c r="L133" s="1063"/>
      <c r="M133" s="1063"/>
      <c r="N133" s="1063"/>
      <c r="O133" s="1063"/>
      <c r="P133" s="1063"/>
      <c r="Q133" s="1063"/>
      <c r="R133" s="1063"/>
      <c r="S133" s="1063"/>
      <c r="T133" s="1063"/>
      <c r="U133" s="1063"/>
      <c r="V133" s="1063"/>
      <c r="W133" s="1063"/>
      <c r="X133" s="1866">
        <f t="shared" si="2"/>
        <v>0</v>
      </c>
      <c r="Y133" s="23">
        <f t="shared" si="3"/>
        <v>3243107999</v>
      </c>
    </row>
    <row r="134" spans="1:25" x14ac:dyDescent="0.25">
      <c r="A134" s="1"/>
      <c r="B134" s="1"/>
      <c r="C134" s="1"/>
      <c r="D134" s="1">
        <v>5</v>
      </c>
      <c r="E134" s="1">
        <v>3</v>
      </c>
      <c r="F134" s="1"/>
      <c r="G134" s="1"/>
      <c r="H134" s="4" t="s">
        <v>397</v>
      </c>
      <c r="I134" s="73"/>
      <c r="J134" s="1"/>
      <c r="K134" s="4" t="s">
        <v>3595</v>
      </c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1864">
        <f t="shared" si="2"/>
        <v>0</v>
      </c>
      <c r="Y134" s="23">
        <f t="shared" si="3"/>
        <v>0</v>
      </c>
    </row>
    <row r="135" spans="1:25" x14ac:dyDescent="0.25">
      <c r="A135" s="1"/>
      <c r="B135" s="1"/>
      <c r="C135" s="1"/>
      <c r="D135" s="1"/>
      <c r="E135" s="1"/>
      <c r="F135" s="1">
        <v>1</v>
      </c>
      <c r="G135" s="1"/>
      <c r="H135" s="4" t="s">
        <v>2665</v>
      </c>
      <c r="I135" s="73"/>
      <c r="J135" s="1"/>
      <c r="K135" s="4" t="s">
        <v>3595</v>
      </c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1864">
        <f t="shared" si="2"/>
        <v>0</v>
      </c>
      <c r="Y135" s="23">
        <f t="shared" si="3"/>
        <v>0</v>
      </c>
    </row>
    <row r="136" spans="1:25" ht="30" x14ac:dyDescent="0.25">
      <c r="A136" s="1"/>
      <c r="B136" s="1"/>
      <c r="C136" s="1"/>
      <c r="D136" s="1"/>
      <c r="E136" s="1"/>
      <c r="F136" s="1"/>
      <c r="G136" s="1489" t="s">
        <v>3366</v>
      </c>
      <c r="H136" s="4" t="s">
        <v>2667</v>
      </c>
      <c r="I136" s="73">
        <v>2470000000</v>
      </c>
      <c r="J136" s="1" t="s">
        <v>1506</v>
      </c>
      <c r="K136" s="4" t="s">
        <v>3595</v>
      </c>
      <c r="L136" s="73">
        <v>2066619763.1800001</v>
      </c>
      <c r="M136" s="98">
        <v>142685411.18000001</v>
      </c>
      <c r="N136" s="73">
        <v>109275411.18000001</v>
      </c>
      <c r="O136" s="73">
        <v>151419414.46000001</v>
      </c>
      <c r="P136" s="73"/>
      <c r="Q136" s="73"/>
      <c r="R136" s="73"/>
      <c r="S136" s="73"/>
      <c r="T136" s="73"/>
      <c r="U136" s="73"/>
      <c r="V136" s="73"/>
      <c r="W136" s="73"/>
      <c r="X136" s="1864">
        <f t="shared" si="2"/>
        <v>2470000000</v>
      </c>
      <c r="Y136" s="23">
        <f t="shared" si="3"/>
        <v>0</v>
      </c>
    </row>
    <row r="137" spans="1:25" ht="30" x14ac:dyDescent="0.25">
      <c r="A137" s="1"/>
      <c r="B137" s="1"/>
      <c r="C137" s="1"/>
      <c r="D137" s="1">
        <v>5</v>
      </c>
      <c r="E137" s="1">
        <v>3</v>
      </c>
      <c r="F137" s="1">
        <v>2</v>
      </c>
      <c r="G137" s="1"/>
      <c r="H137" s="4" t="s">
        <v>399</v>
      </c>
      <c r="I137" s="73"/>
      <c r="J137" s="1"/>
      <c r="K137" s="4" t="s">
        <v>3595</v>
      </c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1864">
        <f t="shared" si="2"/>
        <v>0</v>
      </c>
      <c r="Y137" s="23">
        <f t="shared" si="3"/>
        <v>0</v>
      </c>
    </row>
    <row r="138" spans="1:25" ht="30" x14ac:dyDescent="0.25">
      <c r="A138" s="1"/>
      <c r="B138" s="1"/>
      <c r="C138" s="1"/>
      <c r="D138" s="1"/>
      <c r="E138" s="1"/>
      <c r="F138" s="1"/>
      <c r="G138" s="1489" t="s">
        <v>3366</v>
      </c>
      <c r="H138" s="4" t="s">
        <v>401</v>
      </c>
      <c r="I138" s="73">
        <v>1150000</v>
      </c>
      <c r="J138" s="1" t="s">
        <v>1506</v>
      </c>
      <c r="K138" s="4" t="s">
        <v>3595</v>
      </c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>
        <v>1150000</v>
      </c>
      <c r="X138" s="1864">
        <f t="shared" si="2"/>
        <v>1150000</v>
      </c>
      <c r="Y138" s="23">
        <f t="shared" si="3"/>
        <v>0</v>
      </c>
    </row>
    <row r="139" spans="1:25" ht="30" x14ac:dyDescent="0.25">
      <c r="A139" s="1"/>
      <c r="B139" s="1"/>
      <c r="C139" s="1"/>
      <c r="D139" s="1"/>
      <c r="E139" s="1"/>
      <c r="F139" s="1"/>
      <c r="G139" s="1489" t="s">
        <v>3386</v>
      </c>
      <c r="H139" s="4" t="s">
        <v>404</v>
      </c>
      <c r="I139" s="73">
        <v>49527832</v>
      </c>
      <c r="J139" s="1" t="s">
        <v>1506</v>
      </c>
      <c r="K139" s="4" t="s">
        <v>3595</v>
      </c>
      <c r="L139" s="73">
        <v>49527832</v>
      </c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1864">
        <f t="shared" si="2"/>
        <v>49527832</v>
      </c>
      <c r="Y139" s="23">
        <f t="shared" si="3"/>
        <v>0</v>
      </c>
    </row>
    <row r="140" spans="1:25" ht="30" x14ac:dyDescent="0.25">
      <c r="A140" s="1"/>
      <c r="B140" s="1"/>
      <c r="C140" s="1"/>
      <c r="D140" s="1"/>
      <c r="E140" s="1"/>
      <c r="F140" s="1"/>
      <c r="G140" s="1489" t="s">
        <v>3386</v>
      </c>
      <c r="H140" s="4" t="s">
        <v>404</v>
      </c>
      <c r="I140" s="73">
        <v>10105000</v>
      </c>
      <c r="J140" s="1" t="s">
        <v>1223</v>
      </c>
      <c r="K140" s="4" t="s">
        <v>3595</v>
      </c>
      <c r="L140" s="73"/>
      <c r="M140" s="73"/>
      <c r="N140" s="73"/>
      <c r="O140" s="73"/>
      <c r="P140" s="73"/>
      <c r="Q140" s="73"/>
      <c r="R140" s="73"/>
      <c r="S140" s="73">
        <v>10105000</v>
      </c>
      <c r="T140" s="73"/>
      <c r="U140" s="73"/>
      <c r="V140" s="73"/>
      <c r="W140" s="73"/>
      <c r="X140" s="1864">
        <f t="shared" si="2"/>
        <v>10105000</v>
      </c>
      <c r="Y140" s="23">
        <f t="shared" si="3"/>
        <v>0</v>
      </c>
    </row>
    <row r="141" spans="1:25" ht="30" x14ac:dyDescent="0.25">
      <c r="A141" s="1"/>
      <c r="B141" s="1"/>
      <c r="C141" s="1"/>
      <c r="D141" s="1"/>
      <c r="E141" s="1"/>
      <c r="F141" s="1"/>
      <c r="G141" s="1489" t="s">
        <v>3386</v>
      </c>
      <c r="H141" s="4" t="s">
        <v>404</v>
      </c>
      <c r="I141" s="73">
        <v>21250000</v>
      </c>
      <c r="J141" s="4" t="s">
        <v>3339</v>
      </c>
      <c r="K141" s="4" t="s">
        <v>3595</v>
      </c>
      <c r="L141" s="73"/>
      <c r="M141" s="73"/>
      <c r="N141" s="73"/>
      <c r="O141" s="73">
        <v>21250000</v>
      </c>
      <c r="P141" s="73"/>
      <c r="Q141" s="73"/>
      <c r="R141" s="73"/>
      <c r="S141" s="73"/>
      <c r="T141" s="73"/>
      <c r="U141" s="73"/>
      <c r="V141" s="73"/>
      <c r="W141" s="73"/>
      <c r="X141" s="1864">
        <f t="shared" si="2"/>
        <v>21250000</v>
      </c>
      <c r="Y141" s="23">
        <f t="shared" si="3"/>
        <v>0</v>
      </c>
    </row>
    <row r="142" spans="1:25" ht="30" x14ac:dyDescent="0.25">
      <c r="A142" s="1"/>
      <c r="B142" s="1"/>
      <c r="C142" s="1"/>
      <c r="D142" s="1"/>
      <c r="E142" s="1"/>
      <c r="F142" s="1"/>
      <c r="G142" s="1489" t="s">
        <v>3386</v>
      </c>
      <c r="H142" s="4" t="s">
        <v>3266</v>
      </c>
      <c r="I142" s="73">
        <v>0</v>
      </c>
      <c r="J142" s="1">
        <v>0</v>
      </c>
      <c r="K142" s="4" t="s">
        <v>3595</v>
      </c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1864">
        <f t="shared" si="2"/>
        <v>0</v>
      </c>
      <c r="Y142" s="23">
        <f t="shared" si="3"/>
        <v>0</v>
      </c>
    </row>
    <row r="143" spans="1:25" ht="30" x14ac:dyDescent="0.25">
      <c r="A143" s="1"/>
      <c r="B143" s="1"/>
      <c r="C143" s="1"/>
      <c r="D143" s="1">
        <v>5</v>
      </c>
      <c r="E143" s="1">
        <v>3</v>
      </c>
      <c r="F143" s="1">
        <v>3</v>
      </c>
      <c r="G143" s="1"/>
      <c r="H143" s="4" t="s">
        <v>3267</v>
      </c>
      <c r="I143" s="73">
        <v>658800000</v>
      </c>
      <c r="J143" s="1" t="s">
        <v>1506</v>
      </c>
      <c r="K143" s="4" t="s">
        <v>3595</v>
      </c>
      <c r="L143" s="73">
        <v>5433766</v>
      </c>
      <c r="M143" s="73"/>
      <c r="N143" s="73"/>
      <c r="O143" s="73">
        <v>51799996.719999999</v>
      </c>
      <c r="P143" s="73">
        <v>195482263.18000001</v>
      </c>
      <c r="Q143" s="73">
        <v>167058263.18000001</v>
      </c>
      <c r="R143" s="73">
        <v>26672213.18</v>
      </c>
      <c r="S143" s="73">
        <v>35898263.18</v>
      </c>
      <c r="T143" s="73">
        <v>100852263.18000001</v>
      </c>
      <c r="U143" s="73">
        <v>8227269.0199999996</v>
      </c>
      <c r="V143" s="73">
        <v>34262851.18</v>
      </c>
      <c r="W143" s="73">
        <v>33112851.18</v>
      </c>
      <c r="X143" s="1864">
        <f t="shared" ref="X143:X173" si="4">SUM(L143:W143)</f>
        <v>658800000</v>
      </c>
      <c r="Y143" s="23">
        <f t="shared" ref="Y143:Y173" si="5">I143-X143</f>
        <v>0</v>
      </c>
    </row>
    <row r="144" spans="1:25" ht="45" x14ac:dyDescent="0.25">
      <c r="A144" s="1"/>
      <c r="B144" s="1"/>
      <c r="C144" s="1"/>
      <c r="D144" s="1"/>
      <c r="E144" s="1"/>
      <c r="F144" s="1"/>
      <c r="G144" s="1489" t="s">
        <v>3386</v>
      </c>
      <c r="H144" s="4" t="s">
        <v>406</v>
      </c>
      <c r="I144" s="98">
        <v>22775167</v>
      </c>
      <c r="J144" s="1" t="s">
        <v>1220</v>
      </c>
      <c r="K144" s="4" t="s">
        <v>3595</v>
      </c>
      <c r="L144" s="98"/>
      <c r="M144" s="98"/>
      <c r="N144" s="98"/>
      <c r="O144" s="98"/>
      <c r="P144" s="98">
        <v>22775167</v>
      </c>
      <c r="Q144" s="98"/>
      <c r="R144" s="98"/>
      <c r="S144" s="98"/>
      <c r="T144" s="98"/>
      <c r="U144" s="98"/>
      <c r="V144" s="98"/>
      <c r="W144" s="98"/>
      <c r="X144" s="1864">
        <f t="shared" si="4"/>
        <v>22775167</v>
      </c>
      <c r="Y144" s="23">
        <f t="shared" si="5"/>
        <v>0</v>
      </c>
    </row>
    <row r="145" spans="1:25" ht="45" x14ac:dyDescent="0.25">
      <c r="A145" s="1"/>
      <c r="B145" s="1"/>
      <c r="C145" s="1"/>
      <c r="D145" s="1"/>
      <c r="E145" s="1"/>
      <c r="F145" s="1"/>
      <c r="G145" s="1489" t="s">
        <v>3389</v>
      </c>
      <c r="H145" s="4" t="s">
        <v>406</v>
      </c>
      <c r="I145" s="73">
        <v>9500000</v>
      </c>
      <c r="J145" s="1" t="s">
        <v>1506</v>
      </c>
      <c r="K145" s="4" t="s">
        <v>3595</v>
      </c>
      <c r="L145" s="73">
        <v>9500000</v>
      </c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1864">
        <f t="shared" si="4"/>
        <v>9500000</v>
      </c>
      <c r="Y145" s="23">
        <f t="shared" si="5"/>
        <v>0</v>
      </c>
    </row>
    <row r="146" spans="1:25" ht="55.15" customHeight="1" x14ac:dyDescent="0.25">
      <c r="A146" s="1869">
        <v>2</v>
      </c>
      <c r="B146" s="1869"/>
      <c r="C146" s="1869"/>
      <c r="D146" s="1869"/>
      <c r="E146" s="1869"/>
      <c r="F146" s="1869"/>
      <c r="G146" s="1869"/>
      <c r="H146" s="1870" t="s">
        <v>3603</v>
      </c>
      <c r="I146" s="1871">
        <f>I147</f>
        <v>6979246</v>
      </c>
      <c r="J146" s="1869"/>
      <c r="K146" s="1870"/>
      <c r="L146" s="1871"/>
      <c r="M146" s="1871"/>
      <c r="N146" s="1871"/>
      <c r="O146" s="1871"/>
      <c r="P146" s="1871"/>
      <c r="Q146" s="1871"/>
      <c r="R146" s="1871"/>
      <c r="S146" s="1871"/>
      <c r="T146" s="1871"/>
      <c r="U146" s="1871"/>
      <c r="V146" s="1871"/>
      <c r="W146" s="1871"/>
      <c r="X146" s="1872">
        <f t="shared" si="4"/>
        <v>0</v>
      </c>
      <c r="Y146" s="23">
        <f t="shared" si="5"/>
        <v>6979246</v>
      </c>
    </row>
    <row r="147" spans="1:25" ht="90" x14ac:dyDescent="0.25">
      <c r="A147" s="865">
        <v>2</v>
      </c>
      <c r="B147" s="865">
        <v>1</v>
      </c>
      <c r="C147" s="1490" t="s">
        <v>3392</v>
      </c>
      <c r="D147" s="865"/>
      <c r="E147" s="865"/>
      <c r="F147" s="865"/>
      <c r="G147" s="865"/>
      <c r="H147" s="1061" t="s">
        <v>1400</v>
      </c>
      <c r="I147" s="1063">
        <v>6979246</v>
      </c>
      <c r="J147" s="1061" t="s">
        <v>2177</v>
      </c>
      <c r="K147" s="1061" t="s">
        <v>3595</v>
      </c>
      <c r="L147" s="1063"/>
      <c r="M147" s="1063"/>
      <c r="N147" s="1063"/>
      <c r="O147" s="1063"/>
      <c r="P147" s="1063"/>
      <c r="Q147" s="1063"/>
      <c r="R147" s="1063"/>
      <c r="S147" s="1063"/>
      <c r="T147" s="1063"/>
      <c r="U147" s="1063"/>
      <c r="V147" s="1063"/>
      <c r="W147" s="1063"/>
      <c r="X147" s="1866">
        <f t="shared" si="4"/>
        <v>0</v>
      </c>
      <c r="Y147" s="23">
        <f t="shared" si="5"/>
        <v>6979246</v>
      </c>
    </row>
    <row r="148" spans="1:25" x14ac:dyDescent="0.25">
      <c r="A148" s="1"/>
      <c r="B148" s="1"/>
      <c r="C148" s="1"/>
      <c r="D148" s="1">
        <v>5</v>
      </c>
      <c r="E148" s="1">
        <v>2</v>
      </c>
      <c r="F148" s="1"/>
      <c r="G148" s="1"/>
      <c r="H148" s="4" t="s">
        <v>277</v>
      </c>
      <c r="I148" s="73"/>
      <c r="J148" s="4"/>
      <c r="K148" s="4" t="s">
        <v>3595</v>
      </c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1864">
        <f t="shared" si="4"/>
        <v>0</v>
      </c>
      <c r="Y148" s="23">
        <f t="shared" si="5"/>
        <v>0</v>
      </c>
    </row>
    <row r="149" spans="1:25" x14ac:dyDescent="0.25">
      <c r="A149" s="1"/>
      <c r="B149" s="1"/>
      <c r="C149" s="1"/>
      <c r="D149" s="1"/>
      <c r="E149" s="1"/>
      <c r="F149" s="1">
        <v>1</v>
      </c>
      <c r="G149" s="1"/>
      <c r="H149" s="4" t="s">
        <v>84</v>
      </c>
      <c r="I149" s="73"/>
      <c r="J149" s="4"/>
      <c r="K149" s="4" t="s">
        <v>3595</v>
      </c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1864">
        <f t="shared" si="4"/>
        <v>0</v>
      </c>
      <c r="Y149" s="23">
        <f t="shared" si="5"/>
        <v>0</v>
      </c>
    </row>
    <row r="150" spans="1:25" ht="30" x14ac:dyDescent="0.25">
      <c r="A150" s="1"/>
      <c r="B150" s="1"/>
      <c r="C150" s="1"/>
      <c r="D150" s="1"/>
      <c r="E150" s="1"/>
      <c r="F150" s="1"/>
      <c r="G150" s="1489" t="s">
        <v>3389</v>
      </c>
      <c r="H150" s="4" t="s">
        <v>1404</v>
      </c>
      <c r="I150" s="73">
        <v>4000000</v>
      </c>
      <c r="J150" s="4" t="s">
        <v>2177</v>
      </c>
      <c r="K150" s="4" t="s">
        <v>3595</v>
      </c>
      <c r="L150" s="73">
        <v>341000</v>
      </c>
      <c r="M150" s="73">
        <v>341000</v>
      </c>
      <c r="N150" s="73">
        <v>341000</v>
      </c>
      <c r="O150" s="73">
        <v>341000</v>
      </c>
      <c r="P150" s="73">
        <v>341000</v>
      </c>
      <c r="Q150" s="73">
        <v>341000</v>
      </c>
      <c r="R150" s="73">
        <v>341000</v>
      </c>
      <c r="S150" s="73">
        <v>341000</v>
      </c>
      <c r="T150" s="73">
        <v>341000</v>
      </c>
      <c r="U150" s="73">
        <v>198185</v>
      </c>
      <c r="V150" s="73">
        <v>341000</v>
      </c>
      <c r="W150" s="73">
        <v>391815</v>
      </c>
      <c r="X150" s="1864">
        <f t="shared" si="4"/>
        <v>4000000</v>
      </c>
      <c r="Y150" s="23">
        <f t="shared" si="5"/>
        <v>0</v>
      </c>
    </row>
    <row r="151" spans="1:25" x14ac:dyDescent="0.25">
      <c r="A151" s="1"/>
      <c r="B151" s="1"/>
      <c r="C151" s="1"/>
      <c r="D151" s="1">
        <v>5</v>
      </c>
      <c r="E151" s="1">
        <v>2</v>
      </c>
      <c r="F151" s="1">
        <v>6</v>
      </c>
      <c r="G151" s="1"/>
      <c r="H151" s="4" t="s">
        <v>206</v>
      </c>
      <c r="I151" s="73"/>
      <c r="J151" s="4"/>
      <c r="K151" s="4" t="s">
        <v>3595</v>
      </c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1864">
        <f t="shared" si="4"/>
        <v>0</v>
      </c>
      <c r="Y151" s="23">
        <f t="shared" si="5"/>
        <v>0</v>
      </c>
    </row>
    <row r="152" spans="1:25" ht="30" x14ac:dyDescent="0.25">
      <c r="A152" s="1"/>
      <c r="B152" s="1"/>
      <c r="C152" s="1"/>
      <c r="D152" s="1"/>
      <c r="E152" s="1"/>
      <c r="F152" s="1"/>
      <c r="G152" s="1489" t="s">
        <v>3386</v>
      </c>
      <c r="H152" s="4" t="s">
        <v>208</v>
      </c>
      <c r="I152" s="73">
        <v>2979246</v>
      </c>
      <c r="J152" s="4" t="s">
        <v>2177</v>
      </c>
      <c r="K152" s="4" t="s">
        <v>3595</v>
      </c>
      <c r="L152" s="73">
        <v>240000</v>
      </c>
      <c r="M152" s="73">
        <v>240000</v>
      </c>
      <c r="N152" s="73">
        <v>240000</v>
      </c>
      <c r="O152" s="73">
        <v>240000</v>
      </c>
      <c r="P152" s="73">
        <v>622185</v>
      </c>
      <c r="Q152" s="73">
        <v>240000</v>
      </c>
      <c r="R152" s="73">
        <v>240000</v>
      </c>
      <c r="S152" s="73">
        <v>240000</v>
      </c>
      <c r="T152" s="73">
        <v>240000</v>
      </c>
      <c r="U152" s="73"/>
      <c r="V152" s="73">
        <v>240000</v>
      </c>
      <c r="W152" s="73">
        <v>197061</v>
      </c>
      <c r="X152" s="1864">
        <f t="shared" si="4"/>
        <v>2979246</v>
      </c>
      <c r="Y152" s="23">
        <f t="shared" si="5"/>
        <v>0</v>
      </c>
    </row>
    <row r="153" spans="1:25" ht="30" x14ac:dyDescent="0.25">
      <c r="A153" s="1869">
        <v>4</v>
      </c>
      <c r="B153" s="1869"/>
      <c r="C153" s="1869"/>
      <c r="D153" s="1869"/>
      <c r="E153" s="1869"/>
      <c r="F153" s="1869"/>
      <c r="G153" s="1869"/>
      <c r="H153" s="1870" t="s">
        <v>3604</v>
      </c>
      <c r="I153" s="1871">
        <f>I154+I163</f>
        <v>56220000</v>
      </c>
      <c r="J153" s="1869"/>
      <c r="K153" s="1870"/>
      <c r="L153" s="1871"/>
      <c r="M153" s="1871"/>
      <c r="N153" s="1871"/>
      <c r="O153" s="1871"/>
      <c r="P153" s="1871"/>
      <c r="Q153" s="1871"/>
      <c r="R153" s="1871"/>
      <c r="S153" s="1871"/>
      <c r="T153" s="1871"/>
      <c r="U153" s="1871"/>
      <c r="V153" s="1871"/>
      <c r="W153" s="1871"/>
      <c r="X153" s="1872">
        <f t="shared" si="4"/>
        <v>0</v>
      </c>
      <c r="Y153" s="23">
        <f t="shared" si="5"/>
        <v>56220000</v>
      </c>
    </row>
    <row r="154" spans="1:25" ht="30" x14ac:dyDescent="0.25">
      <c r="A154" s="865">
        <v>4</v>
      </c>
      <c r="B154" s="865">
        <v>3</v>
      </c>
      <c r="C154" s="1490" t="s">
        <v>3386</v>
      </c>
      <c r="D154" s="865"/>
      <c r="E154" s="865"/>
      <c r="F154" s="865"/>
      <c r="G154" s="865"/>
      <c r="H154" s="865" t="s">
        <v>461</v>
      </c>
      <c r="I154" s="1063">
        <v>40000000</v>
      </c>
      <c r="J154" s="1061" t="s">
        <v>3401</v>
      </c>
      <c r="K154" s="1061" t="s">
        <v>3595</v>
      </c>
      <c r="L154" s="1063"/>
      <c r="M154" s="1063"/>
      <c r="N154" s="1063"/>
      <c r="O154" s="1063"/>
      <c r="P154" s="1063"/>
      <c r="Q154" s="1063"/>
      <c r="R154" s="1063"/>
      <c r="S154" s="1063"/>
      <c r="T154" s="1063"/>
      <c r="U154" s="1063"/>
      <c r="V154" s="1063"/>
      <c r="W154" s="1063"/>
      <c r="X154" s="1866">
        <f t="shared" si="4"/>
        <v>0</v>
      </c>
      <c r="Y154" s="23">
        <f t="shared" si="5"/>
        <v>40000000</v>
      </c>
    </row>
    <row r="155" spans="1:25" x14ac:dyDescent="0.25">
      <c r="A155" s="1"/>
      <c r="B155" s="1"/>
      <c r="C155" s="1"/>
      <c r="D155" s="1">
        <v>5</v>
      </c>
      <c r="E155" s="1">
        <v>2</v>
      </c>
      <c r="F155" s="1"/>
      <c r="G155" s="1"/>
      <c r="H155" s="4" t="s">
        <v>462</v>
      </c>
      <c r="I155" s="73"/>
      <c r="J155" s="1"/>
      <c r="K155" s="4" t="s">
        <v>3595</v>
      </c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1864">
        <f t="shared" si="4"/>
        <v>0</v>
      </c>
      <c r="Y155" s="23">
        <f t="shared" si="5"/>
        <v>0</v>
      </c>
    </row>
    <row r="156" spans="1:25" x14ac:dyDescent="0.25">
      <c r="A156" s="1"/>
      <c r="B156" s="1"/>
      <c r="C156" s="1"/>
      <c r="D156" s="1"/>
      <c r="E156" s="1"/>
      <c r="F156" s="1">
        <v>1</v>
      </c>
      <c r="G156" s="1"/>
      <c r="H156" s="4" t="s">
        <v>84</v>
      </c>
      <c r="I156" s="73"/>
      <c r="J156" s="4"/>
      <c r="K156" s="4" t="s">
        <v>3595</v>
      </c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1864">
        <f t="shared" si="4"/>
        <v>0</v>
      </c>
      <c r="Y156" s="23">
        <f t="shared" si="5"/>
        <v>0</v>
      </c>
    </row>
    <row r="157" spans="1:25" ht="30" x14ac:dyDescent="0.25">
      <c r="A157" s="1"/>
      <c r="B157" s="1"/>
      <c r="C157" s="1"/>
      <c r="D157" s="1"/>
      <c r="E157" s="1"/>
      <c r="F157" s="1"/>
      <c r="G157" s="1489" t="s">
        <v>3391</v>
      </c>
      <c r="H157" s="4" t="s">
        <v>307</v>
      </c>
      <c r="I157" s="73">
        <v>560000</v>
      </c>
      <c r="J157" s="4" t="s">
        <v>1777</v>
      </c>
      <c r="K157" s="4" t="s">
        <v>3595</v>
      </c>
      <c r="L157" s="73"/>
      <c r="M157" s="73"/>
      <c r="N157" s="73"/>
      <c r="O157" s="73"/>
      <c r="P157" s="73"/>
      <c r="Q157" s="73"/>
      <c r="R157" s="73"/>
      <c r="S157" s="73">
        <v>560000</v>
      </c>
      <c r="T157" s="73"/>
      <c r="U157" s="73"/>
      <c r="V157" s="73"/>
      <c r="W157" s="73"/>
      <c r="X157" s="1864">
        <f t="shared" si="4"/>
        <v>560000</v>
      </c>
      <c r="Y157" s="23">
        <f t="shared" si="5"/>
        <v>0</v>
      </c>
    </row>
    <row r="158" spans="1:25" ht="30" x14ac:dyDescent="0.25">
      <c r="A158" s="1"/>
      <c r="B158" s="1"/>
      <c r="C158" s="1"/>
      <c r="D158" s="1"/>
      <c r="E158" s="1"/>
      <c r="F158" s="1"/>
      <c r="G158" s="1489" t="s">
        <v>3393</v>
      </c>
      <c r="H158" s="4" t="s">
        <v>325</v>
      </c>
      <c r="I158" s="73">
        <v>90000</v>
      </c>
      <c r="J158" s="4" t="s">
        <v>1777</v>
      </c>
      <c r="K158" s="4" t="s">
        <v>3595</v>
      </c>
      <c r="L158" s="73"/>
      <c r="M158" s="73"/>
      <c r="N158" s="73"/>
      <c r="O158" s="73"/>
      <c r="P158" s="73"/>
      <c r="Q158" s="73"/>
      <c r="R158" s="73"/>
      <c r="S158" s="73">
        <v>90000</v>
      </c>
      <c r="T158" s="73"/>
      <c r="U158" s="73"/>
      <c r="V158" s="73"/>
      <c r="W158" s="73"/>
      <c r="X158" s="1864">
        <f t="shared" si="4"/>
        <v>90000</v>
      </c>
      <c r="Y158" s="23">
        <f t="shared" si="5"/>
        <v>0</v>
      </c>
    </row>
    <row r="159" spans="1:25" x14ac:dyDescent="0.25">
      <c r="A159" s="1"/>
      <c r="B159" s="1"/>
      <c r="C159" s="1"/>
      <c r="D159" s="1">
        <v>5</v>
      </c>
      <c r="E159" s="1">
        <v>2</v>
      </c>
      <c r="F159" s="1">
        <v>2</v>
      </c>
      <c r="G159" s="1"/>
      <c r="H159" s="4" t="s">
        <v>294</v>
      </c>
      <c r="I159" s="73"/>
      <c r="J159" s="4"/>
      <c r="K159" s="4" t="s">
        <v>3595</v>
      </c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1864">
        <f t="shared" si="4"/>
        <v>0</v>
      </c>
      <c r="Y159" s="23">
        <f t="shared" si="5"/>
        <v>0</v>
      </c>
    </row>
    <row r="160" spans="1:25" ht="45" x14ac:dyDescent="0.25">
      <c r="A160" s="1"/>
      <c r="B160" s="1"/>
      <c r="C160" s="1"/>
      <c r="D160" s="1"/>
      <c r="E160" s="1"/>
      <c r="F160" s="1"/>
      <c r="G160" s="1489" t="s">
        <v>3389</v>
      </c>
      <c r="H160" s="4" t="s">
        <v>411</v>
      </c>
      <c r="I160" s="73">
        <v>600000</v>
      </c>
      <c r="J160" s="4" t="s">
        <v>1777</v>
      </c>
      <c r="K160" s="4" t="s">
        <v>3595</v>
      </c>
      <c r="L160" s="73"/>
      <c r="M160" s="73"/>
      <c r="N160" s="73"/>
      <c r="O160" s="73"/>
      <c r="P160" s="73"/>
      <c r="Q160" s="73"/>
      <c r="R160" s="73"/>
      <c r="S160" s="73">
        <v>600000</v>
      </c>
      <c r="T160" s="73"/>
      <c r="U160" s="73"/>
      <c r="V160" s="73"/>
      <c r="W160" s="73"/>
      <c r="X160" s="1864">
        <f t="shared" si="4"/>
        <v>600000</v>
      </c>
      <c r="Y160" s="23">
        <f t="shared" si="5"/>
        <v>0</v>
      </c>
    </row>
    <row r="161" spans="1:25" x14ac:dyDescent="0.25">
      <c r="A161" s="1"/>
      <c r="B161" s="1"/>
      <c r="C161" s="1"/>
      <c r="D161" s="1">
        <v>5</v>
      </c>
      <c r="E161" s="1">
        <v>2</v>
      </c>
      <c r="F161" s="1">
        <v>4</v>
      </c>
      <c r="G161" s="1"/>
      <c r="H161" s="4" t="s">
        <v>442</v>
      </c>
      <c r="I161" s="73"/>
      <c r="J161" s="4"/>
      <c r="K161" s="4" t="s">
        <v>3595</v>
      </c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1864">
        <f t="shared" si="4"/>
        <v>0</v>
      </c>
      <c r="Y161" s="23">
        <f t="shared" si="5"/>
        <v>0</v>
      </c>
    </row>
    <row r="162" spans="1:25" ht="30" x14ac:dyDescent="0.25">
      <c r="A162" s="1"/>
      <c r="B162" s="1"/>
      <c r="C162" s="1"/>
      <c r="D162" s="1"/>
      <c r="E162" s="1"/>
      <c r="F162" s="1"/>
      <c r="G162" s="1489" t="s">
        <v>3366</v>
      </c>
      <c r="H162" s="4" t="s">
        <v>1655</v>
      </c>
      <c r="I162" s="73">
        <v>38750000</v>
      </c>
      <c r="J162" s="4" t="s">
        <v>1777</v>
      </c>
      <c r="K162" s="4" t="s">
        <v>3595</v>
      </c>
      <c r="L162" s="73"/>
      <c r="M162" s="73"/>
      <c r="N162" s="73"/>
      <c r="O162" s="73"/>
      <c r="P162" s="73"/>
      <c r="Q162" s="73"/>
      <c r="R162" s="73"/>
      <c r="S162" s="73">
        <v>38750000</v>
      </c>
      <c r="T162" s="73"/>
      <c r="U162" s="73"/>
      <c r="V162" s="73"/>
      <c r="W162" s="73"/>
      <c r="X162" s="1864">
        <f t="shared" si="4"/>
        <v>38750000</v>
      </c>
      <c r="Y162" s="23">
        <f t="shared" si="5"/>
        <v>0</v>
      </c>
    </row>
    <row r="163" spans="1:25" ht="30" x14ac:dyDescent="0.25">
      <c r="A163" s="865">
        <v>4</v>
      </c>
      <c r="B163" s="865">
        <v>3</v>
      </c>
      <c r="C163" s="1490" t="s">
        <v>3388</v>
      </c>
      <c r="D163" s="865"/>
      <c r="E163" s="865"/>
      <c r="F163" s="865"/>
      <c r="G163" s="865"/>
      <c r="H163" s="1061" t="s">
        <v>431</v>
      </c>
      <c r="I163" s="1063">
        <v>16220000</v>
      </c>
      <c r="J163" s="1061" t="s">
        <v>1777</v>
      </c>
      <c r="K163" s="1061" t="s">
        <v>3595</v>
      </c>
      <c r="L163" s="1063"/>
      <c r="M163" s="1063"/>
      <c r="N163" s="1063"/>
      <c r="O163" s="1063"/>
      <c r="P163" s="1063"/>
      <c r="Q163" s="1063"/>
      <c r="R163" s="1063"/>
      <c r="S163" s="1063"/>
      <c r="T163" s="1063"/>
      <c r="U163" s="1063"/>
      <c r="V163" s="1063"/>
      <c r="W163" s="1063"/>
      <c r="X163" s="1866">
        <f t="shared" si="4"/>
        <v>0</v>
      </c>
      <c r="Y163" s="23">
        <f t="shared" si="5"/>
        <v>16220000</v>
      </c>
    </row>
    <row r="164" spans="1:25" x14ac:dyDescent="0.25">
      <c r="A164" s="1"/>
      <c r="B164" s="1"/>
      <c r="C164" s="1"/>
      <c r="D164" s="1">
        <v>5</v>
      </c>
      <c r="E164" s="1">
        <v>2</v>
      </c>
      <c r="F164" s="1"/>
      <c r="G164" s="1"/>
      <c r="H164" s="4" t="s">
        <v>304</v>
      </c>
      <c r="I164" s="73"/>
      <c r="J164" s="4"/>
      <c r="K164" s="4" t="s">
        <v>3595</v>
      </c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1864">
        <f t="shared" si="4"/>
        <v>0</v>
      </c>
      <c r="Y164" s="23">
        <f t="shared" si="5"/>
        <v>0</v>
      </c>
    </row>
    <row r="165" spans="1:25" x14ac:dyDescent="0.25">
      <c r="A165" s="1"/>
      <c r="B165" s="1"/>
      <c r="C165" s="1"/>
      <c r="D165" s="1"/>
      <c r="E165" s="1"/>
      <c r="F165" s="1">
        <v>1</v>
      </c>
      <c r="G165" s="1"/>
      <c r="H165" s="4" t="s">
        <v>84</v>
      </c>
      <c r="I165" s="73"/>
      <c r="J165" s="4"/>
      <c r="K165" s="4" t="s">
        <v>3595</v>
      </c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1864">
        <f t="shared" si="4"/>
        <v>0</v>
      </c>
      <c r="Y165" s="23">
        <f t="shared" si="5"/>
        <v>0</v>
      </c>
    </row>
    <row r="166" spans="1:25" ht="30" x14ac:dyDescent="0.25">
      <c r="A166" s="1"/>
      <c r="B166" s="1"/>
      <c r="C166" s="1"/>
      <c r="D166" s="1"/>
      <c r="E166" s="1"/>
      <c r="F166" s="1"/>
      <c r="G166" s="1489" t="s">
        <v>3391</v>
      </c>
      <c r="H166" s="4" t="s">
        <v>307</v>
      </c>
      <c r="I166" s="73">
        <v>400000</v>
      </c>
      <c r="J166" s="4" t="s">
        <v>1777</v>
      </c>
      <c r="K166" s="4" t="s">
        <v>3595</v>
      </c>
      <c r="L166" s="73"/>
      <c r="M166" s="73"/>
      <c r="N166" s="73"/>
      <c r="O166" s="73"/>
      <c r="P166" s="73"/>
      <c r="Q166" s="73"/>
      <c r="R166" s="73"/>
      <c r="S166" s="73">
        <v>400000</v>
      </c>
      <c r="T166" s="73"/>
      <c r="U166" s="73"/>
      <c r="V166" s="73"/>
      <c r="W166" s="73"/>
      <c r="X166" s="1864">
        <f t="shared" si="4"/>
        <v>400000</v>
      </c>
      <c r="Y166" s="23">
        <f t="shared" si="5"/>
        <v>0</v>
      </c>
    </row>
    <row r="167" spans="1:25" ht="30" x14ac:dyDescent="0.25">
      <c r="A167" s="1"/>
      <c r="B167" s="1"/>
      <c r="C167" s="1"/>
      <c r="D167" s="1">
        <v>5</v>
      </c>
      <c r="E167" s="1">
        <v>2</v>
      </c>
      <c r="F167" s="1">
        <v>1</v>
      </c>
      <c r="G167" s="1"/>
      <c r="H167" s="4" t="s">
        <v>325</v>
      </c>
      <c r="I167" s="73"/>
      <c r="J167" s="4"/>
      <c r="K167" s="4" t="s">
        <v>3595</v>
      </c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1864">
        <f t="shared" si="4"/>
        <v>0</v>
      </c>
      <c r="Y167" s="23">
        <f t="shared" si="5"/>
        <v>0</v>
      </c>
    </row>
    <row r="168" spans="1:25" ht="30" x14ac:dyDescent="0.25">
      <c r="A168" s="1"/>
      <c r="B168" s="1"/>
      <c r="C168" s="1"/>
      <c r="D168" s="1"/>
      <c r="E168" s="1"/>
      <c r="F168" s="1"/>
      <c r="G168" s="1489" t="s">
        <v>3393</v>
      </c>
      <c r="H168" s="4" t="s">
        <v>326</v>
      </c>
      <c r="I168" s="73">
        <v>90000</v>
      </c>
      <c r="J168" s="4" t="s">
        <v>1777</v>
      </c>
      <c r="K168" s="4" t="s">
        <v>3595</v>
      </c>
      <c r="L168" s="73"/>
      <c r="M168" s="73"/>
      <c r="N168" s="73"/>
      <c r="O168" s="73"/>
      <c r="P168" s="73"/>
      <c r="Q168" s="73"/>
      <c r="R168" s="73"/>
      <c r="S168" s="73">
        <v>90000</v>
      </c>
      <c r="T168" s="73"/>
      <c r="U168" s="73"/>
      <c r="V168" s="73"/>
      <c r="W168" s="73"/>
      <c r="X168" s="1864">
        <f t="shared" si="4"/>
        <v>90000</v>
      </c>
      <c r="Y168" s="23">
        <f t="shared" si="5"/>
        <v>0</v>
      </c>
    </row>
    <row r="169" spans="1:25" ht="30" x14ac:dyDescent="0.25">
      <c r="A169" s="1"/>
      <c r="B169" s="1"/>
      <c r="C169" s="1"/>
      <c r="D169" s="1"/>
      <c r="E169" s="1"/>
      <c r="F169" s="1"/>
      <c r="G169" s="1">
        <v>90</v>
      </c>
      <c r="H169" s="4" t="s">
        <v>421</v>
      </c>
      <c r="I169" s="73">
        <v>130000</v>
      </c>
      <c r="J169" s="4" t="s">
        <v>1777</v>
      </c>
      <c r="K169" s="4" t="s">
        <v>3595</v>
      </c>
      <c r="L169" s="73"/>
      <c r="M169" s="73"/>
      <c r="N169" s="73"/>
      <c r="O169" s="73"/>
      <c r="P169" s="73"/>
      <c r="Q169" s="73"/>
      <c r="R169" s="73"/>
      <c r="S169" s="73">
        <v>130000</v>
      </c>
      <c r="T169" s="73"/>
      <c r="U169" s="73"/>
      <c r="V169" s="73"/>
      <c r="W169" s="73"/>
      <c r="X169" s="1864">
        <f t="shared" si="4"/>
        <v>130000</v>
      </c>
      <c r="Y169" s="23">
        <f t="shared" si="5"/>
        <v>0</v>
      </c>
    </row>
    <row r="170" spans="1:25" x14ac:dyDescent="0.25">
      <c r="A170" s="1"/>
      <c r="B170" s="1"/>
      <c r="C170" s="1"/>
      <c r="D170" s="1">
        <v>5</v>
      </c>
      <c r="E170" s="1">
        <v>2</v>
      </c>
      <c r="F170" s="1">
        <v>2</v>
      </c>
      <c r="G170" s="1"/>
      <c r="H170" s="4" t="s">
        <v>349</v>
      </c>
      <c r="I170" s="73"/>
      <c r="J170" s="4"/>
      <c r="K170" s="4" t="s">
        <v>3595</v>
      </c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1864">
        <f t="shared" si="4"/>
        <v>0</v>
      </c>
      <c r="Y170" s="23">
        <f t="shared" si="5"/>
        <v>0</v>
      </c>
    </row>
    <row r="171" spans="1:25" ht="45" x14ac:dyDescent="0.25">
      <c r="A171" s="1"/>
      <c r="B171" s="1"/>
      <c r="C171" s="1"/>
      <c r="D171" s="1"/>
      <c r="E171" s="1"/>
      <c r="F171" s="1"/>
      <c r="G171" s="1489" t="s">
        <v>3389</v>
      </c>
      <c r="H171" s="4" t="s">
        <v>411</v>
      </c>
      <c r="I171" s="73">
        <v>600000</v>
      </c>
      <c r="J171" s="4" t="s">
        <v>1777</v>
      </c>
      <c r="K171" s="4" t="s">
        <v>3595</v>
      </c>
      <c r="L171" s="73"/>
      <c r="M171" s="73"/>
      <c r="N171" s="73"/>
      <c r="O171" s="73"/>
      <c r="P171" s="73"/>
      <c r="Q171" s="73"/>
      <c r="R171" s="73"/>
      <c r="S171" s="73">
        <v>600000</v>
      </c>
      <c r="T171" s="73"/>
      <c r="U171" s="73"/>
      <c r="V171" s="73"/>
      <c r="W171" s="73"/>
      <c r="X171" s="1864">
        <f t="shared" si="4"/>
        <v>600000</v>
      </c>
      <c r="Y171" s="23">
        <f t="shared" si="5"/>
        <v>0</v>
      </c>
    </row>
    <row r="172" spans="1:25" x14ac:dyDescent="0.25">
      <c r="A172" s="1"/>
      <c r="B172" s="1"/>
      <c r="C172" s="1"/>
      <c r="D172" s="1">
        <v>5</v>
      </c>
      <c r="E172" s="1">
        <v>2</v>
      </c>
      <c r="F172" s="1">
        <v>4</v>
      </c>
      <c r="G172" s="1"/>
      <c r="H172" s="1" t="s">
        <v>442</v>
      </c>
      <c r="I172" s="73"/>
      <c r="J172" s="4"/>
      <c r="K172" s="4" t="s">
        <v>3595</v>
      </c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1864">
        <f t="shared" si="4"/>
        <v>0</v>
      </c>
      <c r="Y172" s="23">
        <f t="shared" si="5"/>
        <v>0</v>
      </c>
    </row>
    <row r="173" spans="1:25" ht="30" x14ac:dyDescent="0.25">
      <c r="A173" s="1"/>
      <c r="B173" s="1"/>
      <c r="C173" s="1"/>
      <c r="D173" s="1"/>
      <c r="E173" s="1"/>
      <c r="F173" s="1"/>
      <c r="G173" s="1489" t="s">
        <v>3366</v>
      </c>
      <c r="H173" s="1" t="s">
        <v>2262</v>
      </c>
      <c r="I173" s="73">
        <v>15000000</v>
      </c>
      <c r="J173" s="4" t="s">
        <v>1777</v>
      </c>
      <c r="K173" s="4" t="s">
        <v>3595</v>
      </c>
      <c r="L173" s="73"/>
      <c r="M173" s="73"/>
      <c r="N173" s="73"/>
      <c r="O173" s="73"/>
      <c r="P173" s="73"/>
      <c r="Q173" s="73"/>
      <c r="R173" s="73"/>
      <c r="S173" s="73">
        <v>15000000</v>
      </c>
      <c r="T173" s="73"/>
      <c r="U173" s="73"/>
      <c r="V173" s="73"/>
      <c r="W173" s="73"/>
      <c r="X173" s="1864">
        <f t="shared" si="4"/>
        <v>15000000</v>
      </c>
      <c r="Y173" s="23">
        <f t="shared" si="5"/>
        <v>0</v>
      </c>
    </row>
    <row r="174" spans="1:25" x14ac:dyDescent="0.25">
      <c r="V174" s="2243" t="s">
        <v>3382</v>
      </c>
      <c r="W174" s="2243"/>
    </row>
    <row r="178" spans="22:23" x14ac:dyDescent="0.25">
      <c r="V178" s="2213" t="s">
        <v>3383</v>
      </c>
      <c r="W178" s="2213"/>
    </row>
  </sheetData>
  <autoFilter ref="A12:X173" xr:uid="{9300FD39-0527-49D5-8ACB-7EBC8FB7439A}"/>
  <mergeCells count="17">
    <mergeCell ref="A11:C11"/>
    <mergeCell ref="D11:G11"/>
    <mergeCell ref="J11:W11"/>
    <mergeCell ref="V174:W174"/>
    <mergeCell ref="V178:W178"/>
    <mergeCell ref="A1:X1"/>
    <mergeCell ref="A2:X2"/>
    <mergeCell ref="D4:I4"/>
    <mergeCell ref="D5:I5"/>
    <mergeCell ref="D6:I6"/>
    <mergeCell ref="L9:W9"/>
    <mergeCell ref="X9:X10"/>
    <mergeCell ref="D7:I7"/>
    <mergeCell ref="A9:G10"/>
    <mergeCell ref="H9:H10"/>
    <mergeCell ref="I9:I10"/>
    <mergeCell ref="J9:J10"/>
  </mergeCells>
  <pageMargins left="0.5" right="0.5" top="1" bottom="1" header="0.3" footer="0.3"/>
  <pageSetup paperSize="5" scale="55" orientation="landscape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DCA7A-7AE1-48EB-9103-B9E79379C48C}">
  <dimension ref="A1:Y113"/>
  <sheetViews>
    <sheetView topLeftCell="J2" zoomScale="80" zoomScaleNormal="80" workbookViewId="0">
      <selection activeCell="S113" sqref="S113"/>
    </sheetView>
  </sheetViews>
  <sheetFormatPr defaultRowHeight="15" x14ac:dyDescent="0.25"/>
  <cols>
    <col min="1" max="3" width="3.28515625" customWidth="1"/>
    <col min="4" max="4" width="2.5703125" customWidth="1"/>
    <col min="5" max="7" width="3.28515625" customWidth="1"/>
    <col min="8" max="8" width="28" customWidth="1"/>
    <col min="9" max="9" width="18.5703125" customWidth="1"/>
    <col min="10" max="10" width="9" customWidth="1"/>
    <col min="11" max="11" width="13" customWidth="1"/>
    <col min="12" max="14" width="12.85546875" bestFit="1" customWidth="1"/>
    <col min="15" max="15" width="13.85546875" bestFit="1" customWidth="1"/>
    <col min="16" max="16" width="13.7109375" customWidth="1"/>
    <col min="17" max="18" width="13.85546875" bestFit="1" customWidth="1"/>
    <col min="19" max="19" width="12.85546875" bestFit="1" customWidth="1"/>
    <col min="20" max="20" width="13.85546875" bestFit="1" customWidth="1"/>
    <col min="21" max="21" width="9.42578125" bestFit="1" customWidth="1"/>
    <col min="22" max="22" width="13.85546875" bestFit="1" customWidth="1"/>
    <col min="23" max="23" width="12.85546875" bestFit="1" customWidth="1"/>
    <col min="24" max="24" width="13.85546875" bestFit="1" customWidth="1"/>
    <col min="25" max="25" width="19.7109375" customWidth="1"/>
    <col min="26" max="26" width="24.42578125" customWidth="1"/>
    <col min="27" max="27" width="15.5703125" customWidth="1"/>
  </cols>
  <sheetData>
    <row r="1" spans="1:25" ht="28.5" x14ac:dyDescent="0.25">
      <c r="A1" s="2222" t="s">
        <v>3653</v>
      </c>
      <c r="B1" s="2222"/>
      <c r="C1" s="2222"/>
      <c r="D1" s="2222"/>
      <c r="E1" s="2222"/>
      <c r="F1" s="2222"/>
      <c r="G1" s="2222"/>
      <c r="H1" s="2222"/>
      <c r="I1" s="2222"/>
      <c r="J1" s="2222"/>
      <c r="K1" s="2222"/>
      <c r="L1" s="2222"/>
      <c r="M1" s="2222"/>
      <c r="N1" s="2222"/>
      <c r="O1" s="2222"/>
      <c r="P1" s="2222"/>
      <c r="Q1" s="2222"/>
      <c r="R1" s="2222"/>
      <c r="S1" s="2222"/>
      <c r="T1" s="2222"/>
      <c r="U1" s="2222"/>
      <c r="V1" s="2222"/>
      <c r="W1" s="2222"/>
      <c r="X1" s="2222"/>
    </row>
    <row r="2" spans="1:25" ht="28.5" x14ac:dyDescent="0.25">
      <c r="A2" s="2222" t="s">
        <v>1737</v>
      </c>
      <c r="B2" s="2222"/>
      <c r="C2" s="2222"/>
      <c r="D2" s="2222"/>
      <c r="E2" s="2222"/>
      <c r="F2" s="2222"/>
      <c r="G2" s="2222"/>
      <c r="H2" s="2222"/>
      <c r="I2" s="2222"/>
      <c r="J2" s="2222"/>
      <c r="K2" s="2222"/>
      <c r="L2" s="2222"/>
      <c r="M2" s="2222"/>
      <c r="N2" s="2222"/>
      <c r="O2" s="2222"/>
      <c r="P2" s="2222"/>
      <c r="Q2" s="2222"/>
      <c r="R2" s="2222"/>
      <c r="S2" s="2222"/>
      <c r="T2" s="2222"/>
      <c r="U2" s="2222"/>
      <c r="V2" s="2222"/>
      <c r="W2" s="2222"/>
      <c r="X2" s="2222"/>
    </row>
    <row r="3" spans="1:25" x14ac:dyDescent="0.25">
      <c r="F3" s="5"/>
    </row>
    <row r="4" spans="1:25" x14ac:dyDescent="0.25">
      <c r="A4" t="s">
        <v>977</v>
      </c>
      <c r="G4" t="s">
        <v>62</v>
      </c>
      <c r="H4" t="s">
        <v>1</v>
      </c>
    </row>
    <row r="5" spans="1:25" x14ac:dyDescent="0.25">
      <c r="A5" t="s">
        <v>979</v>
      </c>
      <c r="G5" t="s">
        <v>62</v>
      </c>
      <c r="H5" t="s">
        <v>3613</v>
      </c>
    </row>
    <row r="6" spans="1:25" x14ac:dyDescent="0.25">
      <c r="A6" t="s">
        <v>1189</v>
      </c>
      <c r="G6" t="s">
        <v>62</v>
      </c>
      <c r="H6" t="s">
        <v>3614</v>
      </c>
    </row>
    <row r="7" spans="1:25" x14ac:dyDescent="0.25">
      <c r="A7" t="s">
        <v>983</v>
      </c>
      <c r="G7" t="s">
        <v>62</v>
      </c>
      <c r="H7" t="s">
        <v>3615</v>
      </c>
    </row>
    <row r="8" spans="1:25" x14ac:dyDescent="0.25">
      <c r="F8" s="5"/>
    </row>
    <row r="9" spans="1:25" ht="14.45" customHeight="1" x14ac:dyDescent="0.25">
      <c r="A9" s="2231" t="s">
        <v>3359</v>
      </c>
      <c r="B9" s="2231"/>
      <c r="C9" s="2231"/>
      <c r="D9" s="2231"/>
      <c r="E9" s="2231"/>
      <c r="F9" s="2231"/>
      <c r="G9" s="2231"/>
      <c r="H9" s="2216" t="s">
        <v>3579</v>
      </c>
      <c r="I9" s="2232" t="s">
        <v>3361</v>
      </c>
      <c r="J9" s="2234" t="s">
        <v>3362</v>
      </c>
      <c r="K9" s="1863" t="s">
        <v>3580</v>
      </c>
      <c r="L9" s="2236" t="s">
        <v>3581</v>
      </c>
      <c r="M9" s="2237"/>
      <c r="N9" s="2237"/>
      <c r="O9" s="2237"/>
      <c r="P9" s="2237"/>
      <c r="Q9" s="2237"/>
      <c r="R9" s="2237"/>
      <c r="S9" s="2237"/>
      <c r="T9" s="2237"/>
      <c r="U9" s="2237"/>
      <c r="V9" s="2237"/>
      <c r="W9" s="2238"/>
      <c r="X9" s="2239" t="s">
        <v>26</v>
      </c>
    </row>
    <row r="10" spans="1:25" ht="28.9" customHeight="1" x14ac:dyDescent="0.25">
      <c r="A10" s="2231"/>
      <c r="B10" s="2231"/>
      <c r="C10" s="2231"/>
      <c r="D10" s="2231"/>
      <c r="E10" s="2231"/>
      <c r="F10" s="2231"/>
      <c r="G10" s="2231"/>
      <c r="H10" s="2216"/>
      <c r="I10" s="2233"/>
      <c r="J10" s="2235"/>
      <c r="K10" s="1863" t="s">
        <v>3582</v>
      </c>
      <c r="L10" s="1861" t="s">
        <v>3583</v>
      </c>
      <c r="M10" s="1861" t="s">
        <v>3584</v>
      </c>
      <c r="N10" s="1861" t="s">
        <v>3585</v>
      </c>
      <c r="O10" s="1861" t="s">
        <v>3586</v>
      </c>
      <c r="P10" s="1861" t="s">
        <v>3587</v>
      </c>
      <c r="Q10" s="1861" t="s">
        <v>3588</v>
      </c>
      <c r="R10" s="1861" t="s">
        <v>3589</v>
      </c>
      <c r="S10" s="1861" t="s">
        <v>3590</v>
      </c>
      <c r="T10" s="1861" t="s">
        <v>3591</v>
      </c>
      <c r="U10" s="1861" t="s">
        <v>3592</v>
      </c>
      <c r="V10" s="1861" t="s">
        <v>3593</v>
      </c>
      <c r="W10" s="1861" t="s">
        <v>3594</v>
      </c>
      <c r="X10" s="2240"/>
    </row>
    <row r="11" spans="1:25" x14ac:dyDescent="0.25">
      <c r="A11" s="2225">
        <v>1</v>
      </c>
      <c r="B11" s="2225"/>
      <c r="C11" s="2225"/>
      <c r="D11" s="2225">
        <v>2</v>
      </c>
      <c r="E11" s="2225"/>
      <c r="F11" s="2225"/>
      <c r="G11" s="2225"/>
      <c r="H11" s="1548">
        <v>3</v>
      </c>
      <c r="I11" s="890">
        <v>4</v>
      </c>
      <c r="J11" s="2226">
        <v>5</v>
      </c>
      <c r="K11" s="2227"/>
      <c r="L11" s="2227"/>
      <c r="M11" s="2227"/>
      <c r="N11" s="2227"/>
      <c r="O11" s="2227"/>
      <c r="P11" s="2227"/>
      <c r="Q11" s="2227"/>
      <c r="R11" s="2227"/>
      <c r="S11" s="2227"/>
      <c r="T11" s="2227"/>
      <c r="U11" s="2227"/>
      <c r="V11" s="2227"/>
      <c r="W11" s="2228"/>
      <c r="X11" s="1862">
        <v>6</v>
      </c>
    </row>
    <row r="12" spans="1:25" x14ac:dyDescent="0.25">
      <c r="A12" s="25" t="s">
        <v>998</v>
      </c>
      <c r="B12" s="25" t="s">
        <v>999</v>
      </c>
      <c r="C12" s="25" t="s">
        <v>1000</v>
      </c>
      <c r="D12" s="25" t="s">
        <v>998</v>
      </c>
      <c r="E12" s="25" t="s">
        <v>999</v>
      </c>
      <c r="F12" s="25" t="s">
        <v>1000</v>
      </c>
      <c r="G12" s="25" t="s">
        <v>1001</v>
      </c>
      <c r="H12" s="1"/>
      <c r="I12" s="73"/>
      <c r="J12" s="4"/>
      <c r="K12" s="4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1"/>
    </row>
    <row r="13" spans="1:25" ht="30" x14ac:dyDescent="0.25">
      <c r="A13" s="1868">
        <v>1</v>
      </c>
      <c r="B13" s="1869"/>
      <c r="C13" s="1869"/>
      <c r="D13" s="1869"/>
      <c r="E13" s="1869"/>
      <c r="F13" s="1869"/>
      <c r="G13" s="1869"/>
      <c r="H13" s="1870" t="s">
        <v>3</v>
      </c>
      <c r="I13" s="1871">
        <f>I14+I19+I29+I39+I49+I56+I61+I66+I70</f>
        <v>194906750</v>
      </c>
      <c r="J13" s="1869"/>
      <c r="K13" s="1870"/>
      <c r="L13" s="1871"/>
      <c r="M13" s="1871"/>
      <c r="N13" s="1871"/>
      <c r="O13" s="1871"/>
      <c r="P13" s="1871"/>
      <c r="Q13" s="1871"/>
      <c r="R13" s="1871"/>
      <c r="S13" s="1871"/>
      <c r="T13" s="1871"/>
      <c r="U13" s="1871"/>
      <c r="V13" s="1871"/>
      <c r="W13" s="1871"/>
      <c r="X13" s="1869"/>
    </row>
    <row r="14" spans="1:25" ht="28.9" customHeight="1" x14ac:dyDescent="0.25">
      <c r="A14" s="865">
        <v>1</v>
      </c>
      <c r="B14" s="865">
        <v>2</v>
      </c>
      <c r="C14" s="865">
        <v>90</v>
      </c>
      <c r="D14" s="865"/>
      <c r="E14" s="865"/>
      <c r="F14" s="865"/>
      <c r="G14" s="865"/>
      <c r="H14" s="1061" t="s">
        <v>2654</v>
      </c>
      <c r="I14" s="1063">
        <v>50750000</v>
      </c>
      <c r="J14" s="1061" t="s">
        <v>1223</v>
      </c>
      <c r="K14" s="1061" t="s">
        <v>3597</v>
      </c>
      <c r="L14" s="1063"/>
      <c r="M14" s="1063"/>
      <c r="N14" s="1063"/>
      <c r="O14" s="1063"/>
      <c r="P14" s="1063"/>
      <c r="Q14" s="1063"/>
      <c r="R14" s="1063"/>
      <c r="S14" s="1063"/>
      <c r="T14" s="1063"/>
      <c r="U14" s="1063"/>
      <c r="V14" s="1063"/>
      <c r="W14" s="1063"/>
      <c r="X14" s="1866">
        <f>SUM(L14:W14)</f>
        <v>0</v>
      </c>
      <c r="Y14" s="23">
        <f>I14-X14</f>
        <v>50750000</v>
      </c>
    </row>
    <row r="15" spans="1:25" x14ac:dyDescent="0.25">
      <c r="A15" s="1"/>
      <c r="B15" s="1"/>
      <c r="C15" s="1"/>
      <c r="D15" s="1">
        <v>5</v>
      </c>
      <c r="E15" s="1">
        <v>2</v>
      </c>
      <c r="F15" s="1"/>
      <c r="G15" s="1"/>
      <c r="H15" s="4" t="s">
        <v>277</v>
      </c>
      <c r="I15" s="73"/>
      <c r="J15" s="4"/>
      <c r="K15" s="4" t="s">
        <v>3597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1864">
        <f t="shared" ref="X15:X78" si="0">SUM(L15:W15)</f>
        <v>0</v>
      </c>
      <c r="Y15" s="23">
        <f t="shared" ref="Y15:Y78" si="1">I15-X15</f>
        <v>0</v>
      </c>
    </row>
    <row r="16" spans="1:25" ht="43.15" customHeight="1" x14ac:dyDescent="0.25">
      <c r="A16" s="1"/>
      <c r="B16" s="1"/>
      <c r="C16" s="1"/>
      <c r="D16" s="1"/>
      <c r="E16" s="1"/>
      <c r="F16" s="1">
        <v>2</v>
      </c>
      <c r="G16" s="1"/>
      <c r="H16" s="4" t="s">
        <v>478</v>
      </c>
      <c r="I16" s="73"/>
      <c r="J16" s="4"/>
      <c r="K16" s="4" t="s">
        <v>3597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1864">
        <f t="shared" si="0"/>
        <v>0</v>
      </c>
      <c r="Y16" s="23">
        <f t="shared" si="1"/>
        <v>0</v>
      </c>
    </row>
    <row r="17" spans="1:25" ht="28.9" customHeight="1" x14ac:dyDescent="0.25">
      <c r="A17" s="1"/>
      <c r="B17" s="1"/>
      <c r="C17" s="1"/>
      <c r="D17" s="1"/>
      <c r="E17" s="1"/>
      <c r="F17" s="1"/>
      <c r="G17" s="1489" t="s">
        <v>3366</v>
      </c>
      <c r="H17" s="4" t="s">
        <v>2660</v>
      </c>
      <c r="I17" s="73">
        <v>750000</v>
      </c>
      <c r="J17" s="4" t="s">
        <v>1223</v>
      </c>
      <c r="K17" s="4" t="s">
        <v>3597</v>
      </c>
      <c r="L17" s="73"/>
      <c r="M17" s="73"/>
      <c r="N17" s="73"/>
      <c r="O17" s="73">
        <v>750000</v>
      </c>
      <c r="P17" s="73"/>
      <c r="Q17" s="73"/>
      <c r="R17" s="73"/>
      <c r="S17" s="73"/>
      <c r="T17" s="73"/>
      <c r="U17" s="73"/>
      <c r="V17" s="73"/>
      <c r="W17" s="73"/>
      <c r="X17" s="1864">
        <f t="shared" si="0"/>
        <v>750000</v>
      </c>
      <c r="Y17" s="23">
        <f t="shared" si="1"/>
        <v>0</v>
      </c>
    </row>
    <row r="18" spans="1:25" x14ac:dyDescent="0.25">
      <c r="A18" s="1"/>
      <c r="B18" s="1"/>
      <c r="C18" s="1"/>
      <c r="D18" s="1"/>
      <c r="E18" s="1"/>
      <c r="F18" s="1"/>
      <c r="G18" s="1489" t="s">
        <v>3389</v>
      </c>
      <c r="H18" s="1" t="s">
        <v>2661</v>
      </c>
      <c r="I18" s="73">
        <v>50000000</v>
      </c>
      <c r="J18" s="4" t="s">
        <v>1223</v>
      </c>
      <c r="K18" s="4" t="s">
        <v>3597</v>
      </c>
      <c r="L18" s="73"/>
      <c r="M18" s="73"/>
      <c r="N18" s="73"/>
      <c r="O18" s="73">
        <v>50000000</v>
      </c>
      <c r="P18" s="73"/>
      <c r="Q18" s="73"/>
      <c r="R18" s="73"/>
      <c r="S18" s="73"/>
      <c r="T18" s="73"/>
      <c r="U18" s="73"/>
      <c r="V18" s="73"/>
      <c r="W18" s="73"/>
      <c r="X18" s="1864">
        <f t="shared" si="0"/>
        <v>50000000</v>
      </c>
      <c r="Y18" s="23">
        <f t="shared" si="1"/>
        <v>0</v>
      </c>
    </row>
    <row r="19" spans="1:25" ht="43.15" customHeight="1" x14ac:dyDescent="0.25">
      <c r="A19" s="865">
        <v>1</v>
      </c>
      <c r="B19" s="865">
        <v>4</v>
      </c>
      <c r="C19" s="1490" t="s">
        <v>3366</v>
      </c>
      <c r="D19" s="865"/>
      <c r="E19" s="865"/>
      <c r="F19" s="865"/>
      <c r="G19" s="865"/>
      <c r="H19" s="1061" t="s">
        <v>340</v>
      </c>
      <c r="I19" s="1063">
        <v>35400000</v>
      </c>
      <c r="J19" s="1061" t="s">
        <v>1506</v>
      </c>
      <c r="K19" s="1061" t="s">
        <v>3597</v>
      </c>
      <c r="L19" s="1063"/>
      <c r="M19" s="1063"/>
      <c r="N19" s="1063"/>
      <c r="O19" s="1063"/>
      <c r="P19" s="1063"/>
      <c r="Q19" s="1063"/>
      <c r="R19" s="1063"/>
      <c r="S19" s="1063"/>
      <c r="T19" s="1063"/>
      <c r="U19" s="1063"/>
      <c r="V19" s="1063"/>
      <c r="W19" s="1063"/>
      <c r="X19" s="1866">
        <f t="shared" si="0"/>
        <v>0</v>
      </c>
      <c r="Y19" s="23">
        <f t="shared" si="1"/>
        <v>35400000</v>
      </c>
    </row>
    <row r="20" spans="1:25" x14ac:dyDescent="0.25">
      <c r="A20" s="1"/>
      <c r="B20" s="1"/>
      <c r="C20" s="1"/>
      <c r="D20" s="1">
        <v>5</v>
      </c>
      <c r="E20" s="1">
        <v>2</v>
      </c>
      <c r="F20" s="1"/>
      <c r="G20" s="1"/>
      <c r="H20" s="4" t="s">
        <v>277</v>
      </c>
      <c r="I20" s="73"/>
      <c r="J20" s="1"/>
      <c r="K20" s="4" t="s">
        <v>3597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1864">
        <f t="shared" si="0"/>
        <v>0</v>
      </c>
      <c r="Y20" s="23">
        <f t="shared" si="1"/>
        <v>0</v>
      </c>
    </row>
    <row r="21" spans="1:25" ht="28.9" customHeight="1" x14ac:dyDescent="0.25">
      <c r="A21" s="1"/>
      <c r="B21" s="1"/>
      <c r="C21" s="1"/>
      <c r="D21" s="1"/>
      <c r="E21" s="1"/>
      <c r="F21" s="1">
        <v>1</v>
      </c>
      <c r="G21" s="1"/>
      <c r="H21" s="4" t="s">
        <v>84</v>
      </c>
      <c r="I21" s="73"/>
      <c r="J21" s="1"/>
      <c r="K21" s="4" t="s">
        <v>3597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1864">
        <f t="shared" si="0"/>
        <v>0</v>
      </c>
      <c r="Y21" s="23">
        <f t="shared" si="1"/>
        <v>0</v>
      </c>
    </row>
    <row r="22" spans="1:25" ht="45" x14ac:dyDescent="0.25">
      <c r="A22" s="1"/>
      <c r="B22" s="1"/>
      <c r="C22" s="1"/>
      <c r="D22" s="1"/>
      <c r="E22" s="1"/>
      <c r="F22" s="1"/>
      <c r="G22" s="1489" t="s">
        <v>3391</v>
      </c>
      <c r="H22" s="4" t="s">
        <v>283</v>
      </c>
      <c r="I22" s="73">
        <v>30000000</v>
      </c>
      <c r="J22" s="4" t="s">
        <v>1506</v>
      </c>
      <c r="K22" s="4" t="s">
        <v>3597</v>
      </c>
      <c r="L22" s="73"/>
      <c r="M22" s="73"/>
      <c r="N22" s="73"/>
      <c r="O22" s="73"/>
      <c r="P22" s="73"/>
      <c r="Q22" s="73"/>
      <c r="R22" s="73"/>
      <c r="S22" s="73"/>
      <c r="T22" s="73">
        <v>30000000</v>
      </c>
      <c r="U22" s="73"/>
      <c r="V22" s="73"/>
      <c r="W22" s="73"/>
      <c r="X22" s="1864">
        <f t="shared" si="0"/>
        <v>30000000</v>
      </c>
      <c r="Y22" s="23">
        <f t="shared" si="1"/>
        <v>0</v>
      </c>
    </row>
    <row r="23" spans="1:25" ht="28.9" customHeight="1" x14ac:dyDescent="0.25">
      <c r="A23" s="1"/>
      <c r="B23" s="1"/>
      <c r="C23" s="1"/>
      <c r="D23" s="1"/>
      <c r="E23" s="1"/>
      <c r="F23" s="1"/>
      <c r="G23" s="1489" t="s">
        <v>3393</v>
      </c>
      <c r="H23" s="1" t="s">
        <v>973</v>
      </c>
      <c r="I23" s="73">
        <v>360000</v>
      </c>
      <c r="J23" s="4" t="s">
        <v>1506</v>
      </c>
      <c r="K23" s="4" t="s">
        <v>3597</v>
      </c>
      <c r="L23" s="73"/>
      <c r="M23" s="73"/>
      <c r="N23" s="73"/>
      <c r="O23" s="73"/>
      <c r="P23" s="73"/>
      <c r="Q23" s="73"/>
      <c r="R23" s="73"/>
      <c r="S23" s="73"/>
      <c r="T23" s="73">
        <v>360000</v>
      </c>
      <c r="U23" s="73"/>
      <c r="V23" s="73"/>
      <c r="W23" s="73"/>
      <c r="X23" s="1864">
        <f t="shared" si="0"/>
        <v>360000</v>
      </c>
      <c r="Y23" s="23">
        <f t="shared" si="1"/>
        <v>0</v>
      </c>
    </row>
    <row r="24" spans="1:25" ht="28.9" customHeight="1" x14ac:dyDescent="0.25">
      <c r="A24" s="1"/>
      <c r="B24" s="1"/>
      <c r="C24" s="1"/>
      <c r="D24" s="1"/>
      <c r="E24" s="1"/>
      <c r="F24" s="1"/>
      <c r="G24" s="1">
        <v>90</v>
      </c>
      <c r="H24" s="4" t="s">
        <v>285</v>
      </c>
      <c r="I24" s="73">
        <v>640000</v>
      </c>
      <c r="J24" s="4" t="s">
        <v>1506</v>
      </c>
      <c r="K24" s="4" t="s">
        <v>3597</v>
      </c>
      <c r="L24" s="73"/>
      <c r="M24" s="73"/>
      <c r="N24" s="73"/>
      <c r="O24" s="73"/>
      <c r="P24" s="73"/>
      <c r="Q24" s="73"/>
      <c r="R24" s="73"/>
      <c r="S24" s="73"/>
      <c r="T24" s="73">
        <v>640000</v>
      </c>
      <c r="U24" s="73"/>
      <c r="V24" s="73"/>
      <c r="W24" s="73"/>
      <c r="X24" s="1864">
        <f t="shared" si="0"/>
        <v>640000</v>
      </c>
      <c r="Y24" s="23">
        <f t="shared" si="1"/>
        <v>0</v>
      </c>
    </row>
    <row r="25" spans="1:25" ht="14.45" customHeight="1" x14ac:dyDescent="0.25">
      <c r="A25" s="1"/>
      <c r="B25" s="1"/>
      <c r="C25" s="1"/>
      <c r="D25" s="1">
        <v>5</v>
      </c>
      <c r="E25" s="1">
        <v>2</v>
      </c>
      <c r="F25" s="1">
        <v>2</v>
      </c>
      <c r="G25" s="1"/>
      <c r="H25" s="1" t="s">
        <v>349</v>
      </c>
      <c r="I25" s="73"/>
      <c r="J25" s="1"/>
      <c r="K25" s="4" t="s">
        <v>3597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1864">
        <f t="shared" si="0"/>
        <v>0</v>
      </c>
      <c r="Y25" s="23">
        <f t="shared" si="1"/>
        <v>0</v>
      </c>
    </row>
    <row r="26" spans="1:25" ht="72" customHeight="1" x14ac:dyDescent="0.25">
      <c r="A26" s="1"/>
      <c r="B26" s="1"/>
      <c r="C26" s="1"/>
      <c r="D26" s="1"/>
      <c r="E26" s="1"/>
      <c r="F26" s="1"/>
      <c r="G26" s="1489" t="s">
        <v>3391</v>
      </c>
      <c r="H26" s="4" t="s">
        <v>333</v>
      </c>
      <c r="I26" s="73">
        <v>400000</v>
      </c>
      <c r="J26" s="4" t="s">
        <v>1506</v>
      </c>
      <c r="K26" s="4" t="s">
        <v>3597</v>
      </c>
      <c r="L26" s="73"/>
      <c r="M26" s="73"/>
      <c r="N26" s="73"/>
      <c r="O26" s="73"/>
      <c r="P26" s="73"/>
      <c r="Q26" s="73"/>
      <c r="R26" s="73"/>
      <c r="S26" s="73"/>
      <c r="T26" s="73">
        <v>400000</v>
      </c>
      <c r="U26" s="73"/>
      <c r="V26" s="73"/>
      <c r="W26" s="73"/>
      <c r="X26" s="1864">
        <f t="shared" si="0"/>
        <v>400000</v>
      </c>
      <c r="Y26" s="23">
        <f t="shared" si="1"/>
        <v>0</v>
      </c>
    </row>
    <row r="27" spans="1:25" ht="45" x14ac:dyDescent="0.25">
      <c r="A27" s="1"/>
      <c r="B27" s="1"/>
      <c r="C27" s="1"/>
      <c r="D27" s="1">
        <v>5</v>
      </c>
      <c r="E27" s="1">
        <v>2</v>
      </c>
      <c r="F27" s="1">
        <v>7</v>
      </c>
      <c r="G27" s="1"/>
      <c r="H27" s="4" t="s">
        <v>353</v>
      </c>
      <c r="I27" s="73"/>
      <c r="J27" s="1"/>
      <c r="K27" s="4" t="s">
        <v>3597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1864">
        <f t="shared" si="0"/>
        <v>0</v>
      </c>
      <c r="Y27" s="23">
        <f t="shared" si="1"/>
        <v>0</v>
      </c>
    </row>
    <row r="28" spans="1:25" x14ac:dyDescent="0.25">
      <c r="A28" s="1"/>
      <c r="B28" s="1"/>
      <c r="C28" s="1"/>
      <c r="D28" s="1"/>
      <c r="E28" s="1"/>
      <c r="F28" s="1"/>
      <c r="G28" s="1">
        <v>91</v>
      </c>
      <c r="H28" s="4" t="s">
        <v>355</v>
      </c>
      <c r="I28" s="73">
        <v>4000000</v>
      </c>
      <c r="J28" s="4" t="s">
        <v>1506</v>
      </c>
      <c r="K28" s="4" t="s">
        <v>3597</v>
      </c>
      <c r="L28" s="73"/>
      <c r="M28" s="73"/>
      <c r="N28" s="73"/>
      <c r="O28" s="73"/>
      <c r="P28" s="73"/>
      <c r="Q28" s="73"/>
      <c r="R28" s="73"/>
      <c r="S28" s="73"/>
      <c r="T28" s="73">
        <v>4000000</v>
      </c>
      <c r="U28" s="73"/>
      <c r="V28" s="73"/>
      <c r="W28" s="73"/>
      <c r="X28" s="1864">
        <f t="shared" si="0"/>
        <v>4000000</v>
      </c>
      <c r="Y28" s="23">
        <f t="shared" si="1"/>
        <v>0</v>
      </c>
    </row>
    <row r="29" spans="1:25" ht="43.15" customHeight="1" x14ac:dyDescent="0.25">
      <c r="A29" s="865">
        <v>1</v>
      </c>
      <c r="B29" s="865">
        <v>4</v>
      </c>
      <c r="C29" s="1490" t="s">
        <v>3366</v>
      </c>
      <c r="D29" s="865"/>
      <c r="E29" s="865"/>
      <c r="F29" s="865"/>
      <c r="G29" s="865"/>
      <c r="H29" s="1061" t="s">
        <v>356</v>
      </c>
      <c r="I29" s="1063">
        <v>33176000</v>
      </c>
      <c r="J29" s="865" t="s">
        <v>1506</v>
      </c>
      <c r="K29" s="1061" t="s">
        <v>3597</v>
      </c>
      <c r="L29" s="1063"/>
      <c r="M29" s="1063"/>
      <c r="N29" s="1063"/>
      <c r="O29" s="1063"/>
      <c r="P29" s="1063"/>
      <c r="Q29" s="1063"/>
      <c r="R29" s="1063"/>
      <c r="S29" s="1063"/>
      <c r="T29" s="1063"/>
      <c r="U29" s="1063"/>
      <c r="V29" s="1063"/>
      <c r="W29" s="1063"/>
      <c r="X29" s="1866">
        <f t="shared" si="0"/>
        <v>0</v>
      </c>
      <c r="Y29" s="23">
        <f t="shared" si="1"/>
        <v>33176000</v>
      </c>
    </row>
    <row r="30" spans="1:25" x14ac:dyDescent="0.25">
      <c r="A30" s="1"/>
      <c r="B30" s="1"/>
      <c r="C30" s="1"/>
      <c r="D30" s="1">
        <v>5</v>
      </c>
      <c r="E30" s="1">
        <v>2</v>
      </c>
      <c r="F30" s="1"/>
      <c r="G30" s="1"/>
      <c r="H30" s="4" t="s">
        <v>277</v>
      </c>
      <c r="I30" s="73"/>
      <c r="J30" s="1"/>
      <c r="K30" s="4" t="s">
        <v>3597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1864">
        <f t="shared" si="0"/>
        <v>0</v>
      </c>
      <c r="Y30" s="23">
        <f t="shared" si="1"/>
        <v>0</v>
      </c>
    </row>
    <row r="31" spans="1:25" x14ac:dyDescent="0.25">
      <c r="A31" s="1"/>
      <c r="B31" s="1"/>
      <c r="C31" s="1"/>
      <c r="D31" s="1"/>
      <c r="E31" s="1"/>
      <c r="F31" s="1">
        <v>1</v>
      </c>
      <c r="G31" s="1"/>
      <c r="H31" s="4" t="s">
        <v>84</v>
      </c>
      <c r="I31" s="73"/>
      <c r="J31" s="1"/>
      <c r="K31" s="4" t="s">
        <v>3597</v>
      </c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1864">
        <f t="shared" si="0"/>
        <v>0</v>
      </c>
      <c r="Y31" s="23">
        <f t="shared" si="1"/>
        <v>0</v>
      </c>
    </row>
    <row r="32" spans="1:25" ht="45" x14ac:dyDescent="0.25">
      <c r="A32" s="1"/>
      <c r="B32" s="1"/>
      <c r="C32" s="1"/>
      <c r="D32" s="1"/>
      <c r="E32" s="1"/>
      <c r="F32" s="1"/>
      <c r="G32" s="1489" t="s">
        <v>3391</v>
      </c>
      <c r="H32" s="4" t="s">
        <v>283</v>
      </c>
      <c r="I32" s="73">
        <v>24000000</v>
      </c>
      <c r="J32" s="1" t="s">
        <v>1506</v>
      </c>
      <c r="K32" s="4" t="s">
        <v>3597</v>
      </c>
      <c r="L32" s="73">
        <v>6000000</v>
      </c>
      <c r="M32" s="73"/>
      <c r="N32" s="73">
        <v>6000000</v>
      </c>
      <c r="O32" s="73"/>
      <c r="P32" s="73"/>
      <c r="Q32" s="73">
        <v>6000000</v>
      </c>
      <c r="R32" s="73"/>
      <c r="S32" s="73"/>
      <c r="T32" s="73"/>
      <c r="U32" s="73"/>
      <c r="V32" s="73"/>
      <c r="W32" s="73">
        <v>6000000</v>
      </c>
      <c r="X32" s="1864">
        <f t="shared" si="0"/>
        <v>24000000</v>
      </c>
      <c r="Y32" s="23">
        <f t="shared" si="1"/>
        <v>0</v>
      </c>
    </row>
    <row r="33" spans="1:25" ht="28.9" customHeight="1" x14ac:dyDescent="0.25">
      <c r="A33" s="1"/>
      <c r="B33" s="1"/>
      <c r="C33" s="1"/>
      <c r="D33" s="1"/>
      <c r="E33" s="1"/>
      <c r="F33" s="1"/>
      <c r="G33" s="1489" t="s">
        <v>3393</v>
      </c>
      <c r="H33" s="1" t="s">
        <v>973</v>
      </c>
      <c r="I33" s="73">
        <v>360000</v>
      </c>
      <c r="J33" s="1" t="s">
        <v>1506</v>
      </c>
      <c r="K33" s="4" t="s">
        <v>3597</v>
      </c>
      <c r="L33" s="73">
        <v>90000</v>
      </c>
      <c r="M33" s="73"/>
      <c r="N33" s="73">
        <v>90000</v>
      </c>
      <c r="O33" s="73"/>
      <c r="P33" s="73"/>
      <c r="Q33" s="73">
        <v>90000</v>
      </c>
      <c r="R33" s="73"/>
      <c r="S33" s="73"/>
      <c r="T33" s="73"/>
      <c r="U33" s="73"/>
      <c r="V33" s="73"/>
      <c r="W33" s="73">
        <v>90000</v>
      </c>
      <c r="X33" s="1864">
        <f t="shared" si="0"/>
        <v>360000</v>
      </c>
      <c r="Y33" s="23">
        <f t="shared" si="1"/>
        <v>0</v>
      </c>
    </row>
    <row r="34" spans="1:25" ht="30" x14ac:dyDescent="0.25">
      <c r="A34" s="1"/>
      <c r="B34" s="1"/>
      <c r="C34" s="1"/>
      <c r="D34" s="1"/>
      <c r="E34" s="1"/>
      <c r="F34" s="1"/>
      <c r="G34" s="1">
        <v>90</v>
      </c>
      <c r="H34" s="4" t="s">
        <v>285</v>
      </c>
      <c r="I34" s="73">
        <v>416000</v>
      </c>
      <c r="J34" s="1" t="s">
        <v>1506</v>
      </c>
      <c r="K34" s="4" t="s">
        <v>3597</v>
      </c>
      <c r="L34" s="73">
        <v>104000</v>
      </c>
      <c r="M34" s="73"/>
      <c r="N34" s="73">
        <v>104000</v>
      </c>
      <c r="O34" s="73"/>
      <c r="P34" s="73"/>
      <c r="Q34" s="73">
        <v>104000</v>
      </c>
      <c r="R34" s="73"/>
      <c r="S34" s="73"/>
      <c r="T34" s="73"/>
      <c r="U34" s="73"/>
      <c r="V34" s="73"/>
      <c r="W34" s="73">
        <v>104000</v>
      </c>
      <c r="X34" s="1864">
        <f t="shared" si="0"/>
        <v>416000</v>
      </c>
      <c r="Y34" s="23">
        <f t="shared" si="1"/>
        <v>0</v>
      </c>
    </row>
    <row r="35" spans="1:25" x14ac:dyDescent="0.25">
      <c r="A35" s="1"/>
      <c r="B35" s="1"/>
      <c r="C35" s="1"/>
      <c r="D35" s="1">
        <v>5</v>
      </c>
      <c r="E35" s="1">
        <v>2</v>
      </c>
      <c r="F35" s="1">
        <v>2</v>
      </c>
      <c r="G35" s="1"/>
      <c r="H35" s="1" t="s">
        <v>349</v>
      </c>
      <c r="I35" s="73"/>
      <c r="J35" s="1"/>
      <c r="K35" s="4" t="s">
        <v>3597</v>
      </c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1864">
        <f t="shared" si="0"/>
        <v>0</v>
      </c>
      <c r="Y35" s="23">
        <f t="shared" si="1"/>
        <v>0</v>
      </c>
    </row>
    <row r="36" spans="1:25" ht="43.15" customHeight="1" x14ac:dyDescent="0.25">
      <c r="A36" s="1"/>
      <c r="B36" s="1"/>
      <c r="C36" s="1"/>
      <c r="D36" s="1"/>
      <c r="E36" s="1"/>
      <c r="F36" s="1"/>
      <c r="G36" s="1489" t="s">
        <v>3390</v>
      </c>
      <c r="H36" s="4" t="s">
        <v>333</v>
      </c>
      <c r="I36" s="73">
        <v>400000</v>
      </c>
      <c r="J36" s="1" t="s">
        <v>1506</v>
      </c>
      <c r="K36" s="4" t="s">
        <v>3597</v>
      </c>
      <c r="L36" s="73">
        <v>100000</v>
      </c>
      <c r="M36" s="73"/>
      <c r="N36" s="73">
        <v>100000</v>
      </c>
      <c r="O36" s="73"/>
      <c r="P36" s="73"/>
      <c r="Q36" s="73">
        <v>100000</v>
      </c>
      <c r="R36" s="73"/>
      <c r="S36" s="73"/>
      <c r="T36" s="73"/>
      <c r="U36" s="73"/>
      <c r="V36" s="73"/>
      <c r="W36" s="73">
        <v>100000</v>
      </c>
      <c r="X36" s="1864">
        <f t="shared" si="0"/>
        <v>400000</v>
      </c>
      <c r="Y36" s="23">
        <f t="shared" si="1"/>
        <v>0</v>
      </c>
    </row>
    <row r="37" spans="1:25" ht="45" x14ac:dyDescent="0.25">
      <c r="A37" s="1"/>
      <c r="B37" s="1"/>
      <c r="C37" s="1"/>
      <c r="D37" s="1">
        <v>5</v>
      </c>
      <c r="E37" s="1">
        <v>2</v>
      </c>
      <c r="F37" s="1">
        <v>7</v>
      </c>
      <c r="G37" s="1"/>
      <c r="H37" s="4" t="s">
        <v>353</v>
      </c>
      <c r="I37" s="73"/>
      <c r="J37" s="1"/>
      <c r="K37" s="4" t="s">
        <v>3597</v>
      </c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1864">
        <f t="shared" si="0"/>
        <v>0</v>
      </c>
      <c r="Y37" s="23">
        <f t="shared" si="1"/>
        <v>0</v>
      </c>
    </row>
    <row r="38" spans="1:25" x14ac:dyDescent="0.25">
      <c r="A38" s="1"/>
      <c r="B38" s="1"/>
      <c r="C38" s="1"/>
      <c r="D38" s="1"/>
      <c r="E38" s="1"/>
      <c r="F38" s="1"/>
      <c r="G38" s="1">
        <v>91</v>
      </c>
      <c r="H38" s="1" t="s">
        <v>359</v>
      </c>
      <c r="I38" s="73">
        <v>8000000</v>
      </c>
      <c r="J38" s="1" t="s">
        <v>1506</v>
      </c>
      <c r="K38" s="4" t="s">
        <v>3597</v>
      </c>
      <c r="L38" s="73">
        <v>2000000</v>
      </c>
      <c r="M38" s="73"/>
      <c r="N38" s="73">
        <v>2000000</v>
      </c>
      <c r="O38" s="73"/>
      <c r="P38" s="73"/>
      <c r="Q38" s="73">
        <v>2000000</v>
      </c>
      <c r="R38" s="73"/>
      <c r="S38" s="73"/>
      <c r="T38" s="73"/>
      <c r="U38" s="73"/>
      <c r="V38" s="73"/>
      <c r="W38" s="73">
        <v>2000000</v>
      </c>
      <c r="X38" s="1864">
        <f t="shared" si="0"/>
        <v>8000000</v>
      </c>
      <c r="Y38" s="23">
        <f t="shared" si="1"/>
        <v>0</v>
      </c>
    </row>
    <row r="39" spans="1:25" ht="43.15" customHeight="1" x14ac:dyDescent="0.25">
      <c r="A39" s="865">
        <v>1</v>
      </c>
      <c r="B39" s="865">
        <v>4</v>
      </c>
      <c r="C39" s="1490" t="s">
        <v>3386</v>
      </c>
      <c r="D39" s="865"/>
      <c r="E39" s="865"/>
      <c r="F39" s="865"/>
      <c r="G39" s="865"/>
      <c r="H39" s="1061" t="s">
        <v>361</v>
      </c>
      <c r="I39" s="1063">
        <v>24160000</v>
      </c>
      <c r="J39" s="865" t="s">
        <v>1220</v>
      </c>
      <c r="K39" s="1061" t="s">
        <v>3597</v>
      </c>
      <c r="L39" s="1063"/>
      <c r="M39" s="1063"/>
      <c r="N39" s="1063"/>
      <c r="O39" s="1063"/>
      <c r="P39" s="1063"/>
      <c r="Q39" s="1063"/>
      <c r="R39" s="1063"/>
      <c r="S39" s="1063"/>
      <c r="T39" s="1063"/>
      <c r="U39" s="1063"/>
      <c r="V39" s="1063"/>
      <c r="W39" s="1063"/>
      <c r="X39" s="1866">
        <f t="shared" si="0"/>
        <v>0</v>
      </c>
      <c r="Y39" s="23">
        <f t="shared" si="1"/>
        <v>24160000</v>
      </c>
    </row>
    <row r="40" spans="1:25" x14ac:dyDescent="0.25">
      <c r="A40" s="1"/>
      <c r="B40" s="1"/>
      <c r="C40" s="1"/>
      <c r="D40" s="1">
        <v>5</v>
      </c>
      <c r="E40" s="1">
        <v>2</v>
      </c>
      <c r="F40" s="1"/>
      <c r="G40" s="1"/>
      <c r="H40" s="4" t="s">
        <v>277</v>
      </c>
      <c r="I40" s="73"/>
      <c r="J40" s="1"/>
      <c r="K40" s="4" t="s">
        <v>3597</v>
      </c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1864">
        <f t="shared" si="0"/>
        <v>0</v>
      </c>
      <c r="Y40" s="23">
        <f t="shared" si="1"/>
        <v>0</v>
      </c>
    </row>
    <row r="41" spans="1:25" ht="28.9" customHeight="1" x14ac:dyDescent="0.25">
      <c r="A41" s="1"/>
      <c r="B41" s="1"/>
      <c r="C41" s="1"/>
      <c r="D41" s="1"/>
      <c r="E41" s="1"/>
      <c r="F41" s="1">
        <v>1</v>
      </c>
      <c r="G41" s="1"/>
      <c r="H41" s="4" t="s">
        <v>84</v>
      </c>
      <c r="I41" s="73"/>
      <c r="J41" s="1"/>
      <c r="K41" s="4" t="s">
        <v>3597</v>
      </c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1864">
        <f t="shared" si="0"/>
        <v>0</v>
      </c>
      <c r="Y41" s="23">
        <f t="shared" si="1"/>
        <v>0</v>
      </c>
    </row>
    <row r="42" spans="1:25" ht="45" x14ac:dyDescent="0.25">
      <c r="A42" s="1"/>
      <c r="B42" s="1"/>
      <c r="C42" s="1"/>
      <c r="D42" s="1"/>
      <c r="E42" s="1"/>
      <c r="F42" s="1"/>
      <c r="G42" s="1489" t="s">
        <v>3391</v>
      </c>
      <c r="H42" s="4" t="s">
        <v>283</v>
      </c>
      <c r="I42" s="73">
        <v>15000000</v>
      </c>
      <c r="J42" s="1" t="s">
        <v>1220</v>
      </c>
      <c r="K42" s="4" t="s">
        <v>3597</v>
      </c>
      <c r="L42" s="73"/>
      <c r="M42" s="73"/>
      <c r="N42" s="73">
        <v>7500000</v>
      </c>
      <c r="O42" s="73"/>
      <c r="P42" s="73"/>
      <c r="Q42" s="73">
        <v>7500000</v>
      </c>
      <c r="R42" s="73"/>
      <c r="S42" s="73"/>
      <c r="T42" s="73"/>
      <c r="U42" s="73"/>
      <c r="V42" s="73"/>
      <c r="W42" s="73"/>
      <c r="X42" s="1864">
        <f t="shared" si="0"/>
        <v>15000000</v>
      </c>
      <c r="Y42" s="23">
        <f t="shared" si="1"/>
        <v>0</v>
      </c>
    </row>
    <row r="43" spans="1:25" ht="28.9" customHeight="1" x14ac:dyDescent="0.25">
      <c r="A43" s="1"/>
      <c r="B43" s="1"/>
      <c r="C43" s="1"/>
      <c r="D43" s="1"/>
      <c r="E43" s="1"/>
      <c r="F43" s="1"/>
      <c r="G43" s="1489" t="s">
        <v>3393</v>
      </c>
      <c r="H43" s="1" t="s">
        <v>973</v>
      </c>
      <c r="I43" s="73">
        <v>360000</v>
      </c>
      <c r="J43" s="1" t="s">
        <v>1220</v>
      </c>
      <c r="K43" s="4" t="s">
        <v>3597</v>
      </c>
      <c r="L43" s="73"/>
      <c r="M43" s="73"/>
      <c r="N43" s="73">
        <v>180000</v>
      </c>
      <c r="O43" s="73"/>
      <c r="P43" s="73"/>
      <c r="Q43" s="73">
        <v>180000</v>
      </c>
      <c r="R43" s="73"/>
      <c r="S43" s="73"/>
      <c r="T43" s="73"/>
      <c r="U43" s="73"/>
      <c r="V43" s="73"/>
      <c r="W43" s="73"/>
      <c r="X43" s="1864">
        <f t="shared" si="0"/>
        <v>360000</v>
      </c>
      <c r="Y43" s="23">
        <f t="shared" si="1"/>
        <v>0</v>
      </c>
    </row>
    <row r="44" spans="1:25" ht="30" x14ac:dyDescent="0.25">
      <c r="A44" s="1"/>
      <c r="B44" s="1"/>
      <c r="C44" s="1"/>
      <c r="D44" s="1"/>
      <c r="E44" s="1"/>
      <c r="F44" s="1"/>
      <c r="G44" s="1">
        <v>90</v>
      </c>
      <c r="H44" s="4" t="s">
        <v>285</v>
      </c>
      <c r="I44" s="73">
        <v>400000</v>
      </c>
      <c r="J44" s="1" t="s">
        <v>1220</v>
      </c>
      <c r="K44" s="4" t="s">
        <v>3597</v>
      </c>
      <c r="L44" s="73"/>
      <c r="M44" s="73"/>
      <c r="N44" s="73">
        <v>200000</v>
      </c>
      <c r="O44" s="73"/>
      <c r="P44" s="73"/>
      <c r="Q44" s="73">
        <v>200000</v>
      </c>
      <c r="R44" s="73"/>
      <c r="S44" s="73"/>
      <c r="T44" s="73"/>
      <c r="U44" s="73"/>
      <c r="V44" s="73"/>
      <c r="W44" s="73"/>
      <c r="X44" s="1864">
        <f t="shared" si="0"/>
        <v>400000</v>
      </c>
      <c r="Y44" s="23">
        <f t="shared" si="1"/>
        <v>0</v>
      </c>
    </row>
    <row r="45" spans="1:25" x14ac:dyDescent="0.25">
      <c r="A45" s="1"/>
      <c r="B45" s="1"/>
      <c r="C45" s="1"/>
      <c r="D45" s="1">
        <v>5</v>
      </c>
      <c r="E45" s="1">
        <v>2</v>
      </c>
      <c r="F45" s="1">
        <v>2</v>
      </c>
      <c r="G45" s="1"/>
      <c r="H45" s="4" t="s">
        <v>349</v>
      </c>
      <c r="I45" s="73"/>
      <c r="J45" s="1"/>
      <c r="K45" s="4" t="s">
        <v>3597</v>
      </c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1864">
        <f t="shared" si="0"/>
        <v>0</v>
      </c>
      <c r="Y45" s="23">
        <f t="shared" si="1"/>
        <v>0</v>
      </c>
    </row>
    <row r="46" spans="1:25" ht="43.15" customHeight="1" x14ac:dyDescent="0.25">
      <c r="A46" s="1"/>
      <c r="B46" s="1"/>
      <c r="C46" s="1"/>
      <c r="D46" s="1"/>
      <c r="E46" s="1"/>
      <c r="F46" s="1"/>
      <c r="G46" s="1489" t="s">
        <v>3390</v>
      </c>
      <c r="H46" s="4" t="s">
        <v>333</v>
      </c>
      <c r="I46" s="73">
        <v>400000</v>
      </c>
      <c r="J46" s="1" t="s">
        <v>1220</v>
      </c>
      <c r="K46" s="4" t="s">
        <v>3597</v>
      </c>
      <c r="L46" s="73"/>
      <c r="M46" s="73"/>
      <c r="N46" s="73">
        <v>200000</v>
      </c>
      <c r="O46" s="73"/>
      <c r="P46" s="73"/>
      <c r="Q46" s="73">
        <v>200000</v>
      </c>
      <c r="R46" s="73"/>
      <c r="S46" s="73"/>
      <c r="T46" s="73"/>
      <c r="U46" s="73"/>
      <c r="V46" s="73"/>
      <c r="W46" s="73"/>
      <c r="X46" s="1864">
        <f t="shared" si="0"/>
        <v>400000</v>
      </c>
      <c r="Y46" s="23">
        <f t="shared" si="1"/>
        <v>0</v>
      </c>
    </row>
    <row r="47" spans="1:25" ht="45" x14ac:dyDescent="0.25">
      <c r="A47" s="1"/>
      <c r="B47" s="1"/>
      <c r="C47" s="1"/>
      <c r="D47" s="1">
        <v>5</v>
      </c>
      <c r="E47" s="1">
        <v>2</v>
      </c>
      <c r="F47" s="1">
        <v>7</v>
      </c>
      <c r="G47" s="1"/>
      <c r="H47" s="4" t="s">
        <v>353</v>
      </c>
      <c r="I47" s="73"/>
      <c r="J47" s="1"/>
      <c r="K47" s="4" t="s">
        <v>3597</v>
      </c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1864">
        <f t="shared" si="0"/>
        <v>0</v>
      </c>
      <c r="Y47" s="23">
        <f t="shared" si="1"/>
        <v>0</v>
      </c>
    </row>
    <row r="48" spans="1:25" x14ac:dyDescent="0.25">
      <c r="A48" s="1"/>
      <c r="B48" s="1"/>
      <c r="C48" s="1"/>
      <c r="D48" s="1"/>
      <c r="E48" s="1"/>
      <c r="F48" s="1"/>
      <c r="G48" s="1">
        <v>91</v>
      </c>
      <c r="H48" s="4" t="s">
        <v>359</v>
      </c>
      <c r="I48" s="73">
        <v>8000000</v>
      </c>
      <c r="J48" s="1" t="s">
        <v>1220</v>
      </c>
      <c r="K48" s="4" t="s">
        <v>3597</v>
      </c>
      <c r="L48" s="73"/>
      <c r="M48" s="73"/>
      <c r="N48" s="73">
        <v>4000000</v>
      </c>
      <c r="O48" s="73"/>
      <c r="P48" s="73"/>
      <c r="Q48" s="73">
        <v>4000000</v>
      </c>
      <c r="R48" s="73"/>
      <c r="S48" s="73"/>
      <c r="T48" s="73"/>
      <c r="U48" s="73"/>
      <c r="V48" s="73"/>
      <c r="W48" s="73"/>
      <c r="X48" s="1864">
        <f t="shared" si="0"/>
        <v>8000000</v>
      </c>
      <c r="Y48" s="23">
        <f t="shared" si="1"/>
        <v>0</v>
      </c>
    </row>
    <row r="49" spans="1:25" ht="43.15" customHeight="1" x14ac:dyDescent="0.25">
      <c r="A49" s="865">
        <v>1</v>
      </c>
      <c r="B49" s="865">
        <v>4</v>
      </c>
      <c r="C49" s="1490" t="s">
        <v>3388</v>
      </c>
      <c r="D49" s="865"/>
      <c r="E49" s="865"/>
      <c r="F49" s="865"/>
      <c r="G49" s="865"/>
      <c r="H49" s="1061" t="s">
        <v>1791</v>
      </c>
      <c r="I49" s="1063">
        <v>34540000</v>
      </c>
      <c r="J49" s="1061" t="s">
        <v>1220</v>
      </c>
      <c r="K49" s="1061" t="s">
        <v>3597</v>
      </c>
      <c r="L49" s="1063"/>
      <c r="M49" s="1063"/>
      <c r="N49" s="1063"/>
      <c r="O49" s="1063"/>
      <c r="P49" s="1063"/>
      <c r="Q49" s="1063"/>
      <c r="R49" s="1063"/>
      <c r="S49" s="1063"/>
      <c r="T49" s="1063"/>
      <c r="U49" s="1063"/>
      <c r="V49" s="1063"/>
      <c r="W49" s="1063"/>
      <c r="X49" s="1866">
        <f t="shared" si="0"/>
        <v>0</v>
      </c>
      <c r="Y49" s="23">
        <f t="shared" si="1"/>
        <v>34540000</v>
      </c>
    </row>
    <row r="50" spans="1:25" x14ac:dyDescent="0.25">
      <c r="A50" s="1"/>
      <c r="B50" s="1"/>
      <c r="C50" s="1"/>
      <c r="D50" s="1">
        <v>5</v>
      </c>
      <c r="E50" s="1">
        <v>2</v>
      </c>
      <c r="F50" s="1"/>
      <c r="G50" s="1"/>
      <c r="H50" s="4" t="s">
        <v>277</v>
      </c>
      <c r="I50" s="73"/>
      <c r="J50" s="1"/>
      <c r="K50" s="4" t="s">
        <v>3597</v>
      </c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1864">
        <f t="shared" si="0"/>
        <v>0</v>
      </c>
      <c r="Y50" s="23">
        <f t="shared" si="1"/>
        <v>0</v>
      </c>
    </row>
    <row r="51" spans="1:25" ht="14.45" customHeight="1" x14ac:dyDescent="0.25">
      <c r="A51" s="1"/>
      <c r="B51" s="1"/>
      <c r="C51" s="1"/>
      <c r="D51" s="1"/>
      <c r="E51" s="1"/>
      <c r="F51" s="1">
        <v>1</v>
      </c>
      <c r="G51" s="1"/>
      <c r="H51" s="4" t="s">
        <v>84</v>
      </c>
      <c r="I51" s="73"/>
      <c r="J51" s="1"/>
      <c r="K51" s="4" t="s">
        <v>3597</v>
      </c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1864">
        <f t="shared" si="0"/>
        <v>0</v>
      </c>
      <c r="Y51" s="23">
        <f t="shared" si="1"/>
        <v>0</v>
      </c>
    </row>
    <row r="52" spans="1:25" ht="28.9" customHeight="1" x14ac:dyDescent="0.25">
      <c r="A52" s="1"/>
      <c r="B52" s="1"/>
      <c r="C52" s="1"/>
      <c r="D52" s="1"/>
      <c r="E52" s="1"/>
      <c r="F52" s="1"/>
      <c r="G52" s="1489" t="s">
        <v>3390</v>
      </c>
      <c r="H52" s="4" t="s">
        <v>280</v>
      </c>
      <c r="I52" s="73">
        <v>1800000</v>
      </c>
      <c r="J52" s="4" t="s">
        <v>1220</v>
      </c>
      <c r="K52" s="4" t="s">
        <v>3597</v>
      </c>
      <c r="L52" s="73"/>
      <c r="M52" s="73"/>
      <c r="N52" s="73"/>
      <c r="O52" s="73"/>
      <c r="P52" s="73"/>
      <c r="Q52" s="73">
        <v>900000</v>
      </c>
      <c r="R52" s="73">
        <v>900000</v>
      </c>
      <c r="S52" s="73"/>
      <c r="T52" s="73"/>
      <c r="U52" s="73"/>
      <c r="V52" s="73"/>
      <c r="W52" s="73"/>
      <c r="X52" s="1864">
        <f t="shared" si="0"/>
        <v>1800000</v>
      </c>
      <c r="Y52" s="23">
        <f t="shared" si="1"/>
        <v>0</v>
      </c>
    </row>
    <row r="53" spans="1:25" ht="28.9" customHeight="1" x14ac:dyDescent="0.25">
      <c r="A53" s="1"/>
      <c r="B53" s="1"/>
      <c r="C53" s="1"/>
      <c r="D53" s="1"/>
      <c r="E53" s="1"/>
      <c r="F53" s="1"/>
      <c r="G53" s="1489" t="s">
        <v>3391</v>
      </c>
      <c r="H53" s="4" t="s">
        <v>283</v>
      </c>
      <c r="I53" s="73">
        <v>2640000</v>
      </c>
      <c r="J53" s="4" t="s">
        <v>1220</v>
      </c>
      <c r="K53" s="4" t="s">
        <v>3597</v>
      </c>
      <c r="L53" s="73"/>
      <c r="M53" s="73"/>
      <c r="N53" s="73"/>
      <c r="O53" s="73"/>
      <c r="P53" s="73"/>
      <c r="Q53" s="73">
        <v>1320000</v>
      </c>
      <c r="R53" s="73">
        <v>1320000</v>
      </c>
      <c r="S53" s="73"/>
      <c r="T53" s="73"/>
      <c r="U53" s="73"/>
      <c r="V53" s="73"/>
      <c r="W53" s="73"/>
      <c r="X53" s="1864">
        <f t="shared" si="0"/>
        <v>2640000</v>
      </c>
      <c r="Y53" s="23">
        <f t="shared" si="1"/>
        <v>0</v>
      </c>
    </row>
    <row r="54" spans="1:25" x14ac:dyDescent="0.25">
      <c r="A54" s="1"/>
      <c r="B54" s="1"/>
      <c r="C54" s="1"/>
      <c r="D54" s="1">
        <v>5</v>
      </c>
      <c r="E54" s="1">
        <v>2</v>
      </c>
      <c r="F54" s="1">
        <v>2</v>
      </c>
      <c r="G54" s="1"/>
      <c r="H54" s="4" t="s">
        <v>294</v>
      </c>
      <c r="I54" s="73"/>
      <c r="J54" s="1"/>
      <c r="K54" s="4" t="s">
        <v>3597</v>
      </c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1864">
        <f t="shared" si="0"/>
        <v>0</v>
      </c>
      <c r="Y54" s="23">
        <f t="shared" si="1"/>
        <v>0</v>
      </c>
    </row>
    <row r="55" spans="1:25" ht="30" x14ac:dyDescent="0.25">
      <c r="A55" s="1"/>
      <c r="B55" s="1"/>
      <c r="C55" s="1"/>
      <c r="D55" s="1"/>
      <c r="E55" s="1"/>
      <c r="F55" s="1"/>
      <c r="G55" s="1489" t="s">
        <v>3366</v>
      </c>
      <c r="H55" s="4" t="s">
        <v>529</v>
      </c>
      <c r="I55" s="73">
        <v>30100000</v>
      </c>
      <c r="J55" s="4" t="s">
        <v>1220</v>
      </c>
      <c r="K55" s="4" t="s">
        <v>3597</v>
      </c>
      <c r="L55" s="73"/>
      <c r="M55" s="73"/>
      <c r="N55" s="73"/>
      <c r="O55" s="73"/>
      <c r="P55" s="73"/>
      <c r="Q55" s="73">
        <v>15050000</v>
      </c>
      <c r="R55" s="73">
        <v>15050000</v>
      </c>
      <c r="S55" s="73"/>
      <c r="T55" s="73"/>
      <c r="U55" s="73"/>
      <c r="V55" s="73"/>
      <c r="W55" s="73"/>
      <c r="X55" s="1864">
        <f t="shared" si="0"/>
        <v>30100000</v>
      </c>
      <c r="Y55" s="23">
        <f t="shared" si="1"/>
        <v>0</v>
      </c>
    </row>
    <row r="56" spans="1:25" ht="43.15" customHeight="1" x14ac:dyDescent="0.25">
      <c r="A56" s="865">
        <v>1</v>
      </c>
      <c r="B56" s="865">
        <v>4</v>
      </c>
      <c r="C56" s="1490" t="s">
        <v>3389</v>
      </c>
      <c r="D56" s="865"/>
      <c r="E56" s="865"/>
      <c r="F56" s="865"/>
      <c r="G56" s="865"/>
      <c r="H56" s="1061" t="s">
        <v>1792</v>
      </c>
      <c r="I56" s="1063">
        <v>6105000</v>
      </c>
      <c r="J56" s="865" t="s">
        <v>1220</v>
      </c>
      <c r="K56" s="1061" t="s">
        <v>3597</v>
      </c>
      <c r="L56" s="1063"/>
      <c r="M56" s="1063"/>
      <c r="N56" s="1063"/>
      <c r="O56" s="1063"/>
      <c r="P56" s="1063"/>
      <c r="Q56" s="1063"/>
      <c r="R56" s="1063"/>
      <c r="S56" s="1063"/>
      <c r="T56" s="1063"/>
      <c r="U56" s="1063"/>
      <c r="V56" s="1063"/>
      <c r="W56" s="1063"/>
      <c r="X56" s="1866">
        <f t="shared" si="0"/>
        <v>0</v>
      </c>
      <c r="Y56" s="23">
        <f t="shared" si="1"/>
        <v>6105000</v>
      </c>
    </row>
    <row r="57" spans="1:25" ht="43.15" customHeight="1" x14ac:dyDescent="0.25">
      <c r="A57" s="1"/>
      <c r="B57" s="1"/>
      <c r="C57" s="1"/>
      <c r="D57" s="1">
        <v>5</v>
      </c>
      <c r="E57" s="1">
        <v>2</v>
      </c>
      <c r="F57" s="1"/>
      <c r="G57" s="1"/>
      <c r="H57" s="4" t="s">
        <v>82</v>
      </c>
      <c r="I57" s="73"/>
      <c r="J57" s="1"/>
      <c r="K57" s="4" t="s">
        <v>3597</v>
      </c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1864">
        <f t="shared" si="0"/>
        <v>0</v>
      </c>
      <c r="Y57" s="23">
        <f t="shared" si="1"/>
        <v>0</v>
      </c>
    </row>
    <row r="58" spans="1:25" ht="43.15" customHeight="1" x14ac:dyDescent="0.25">
      <c r="A58" s="1"/>
      <c r="B58" s="1"/>
      <c r="C58" s="1"/>
      <c r="D58" s="1"/>
      <c r="E58" s="1"/>
      <c r="F58" s="1">
        <v>1</v>
      </c>
      <c r="G58" s="1"/>
      <c r="H58" s="4" t="s">
        <v>84</v>
      </c>
      <c r="I58" s="73"/>
      <c r="J58" s="1"/>
      <c r="K58" s="4" t="s">
        <v>3597</v>
      </c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1864">
        <f t="shared" si="0"/>
        <v>0</v>
      </c>
      <c r="Y58" s="23">
        <f t="shared" si="1"/>
        <v>0</v>
      </c>
    </row>
    <row r="59" spans="1:25" ht="45" x14ac:dyDescent="0.25">
      <c r="A59" s="1"/>
      <c r="B59" s="1"/>
      <c r="C59" s="1"/>
      <c r="D59" s="1"/>
      <c r="E59" s="1"/>
      <c r="F59" s="1"/>
      <c r="G59" s="1489" t="s">
        <v>3390</v>
      </c>
      <c r="H59" s="4" t="s">
        <v>280</v>
      </c>
      <c r="I59" s="73">
        <v>2505000</v>
      </c>
      <c r="J59" s="1" t="s">
        <v>1220</v>
      </c>
      <c r="K59" s="4" t="s">
        <v>3597</v>
      </c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>
        <v>2505000</v>
      </c>
      <c r="X59" s="1864">
        <f t="shared" si="0"/>
        <v>2505000</v>
      </c>
      <c r="Y59" s="23">
        <f t="shared" si="1"/>
        <v>0</v>
      </c>
    </row>
    <row r="60" spans="1:25" ht="45" x14ac:dyDescent="0.25">
      <c r="A60" s="1"/>
      <c r="B60" s="1"/>
      <c r="C60" s="1"/>
      <c r="D60" s="1"/>
      <c r="E60" s="1"/>
      <c r="F60" s="1"/>
      <c r="G60" s="1489" t="s">
        <v>3391</v>
      </c>
      <c r="H60" s="4" t="s">
        <v>379</v>
      </c>
      <c r="I60" s="73">
        <v>3600000</v>
      </c>
      <c r="J60" s="1" t="s">
        <v>1220</v>
      </c>
      <c r="K60" s="4" t="s">
        <v>3597</v>
      </c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>
        <v>3600000</v>
      </c>
      <c r="X60" s="1864">
        <f t="shared" si="0"/>
        <v>3600000</v>
      </c>
      <c r="Y60" s="23">
        <f t="shared" si="1"/>
        <v>0</v>
      </c>
    </row>
    <row r="61" spans="1:25" ht="43.15" customHeight="1" x14ac:dyDescent="0.25">
      <c r="A61" s="865">
        <v>1</v>
      </c>
      <c r="B61" s="865">
        <v>4</v>
      </c>
      <c r="C61" s="1490" t="s">
        <v>3389</v>
      </c>
      <c r="D61" s="865"/>
      <c r="E61" s="865"/>
      <c r="F61" s="865"/>
      <c r="G61" s="865"/>
      <c r="H61" s="1061" t="s">
        <v>1793</v>
      </c>
      <c r="I61" s="1063">
        <v>7615000</v>
      </c>
      <c r="J61" s="1061" t="s">
        <v>3295</v>
      </c>
      <c r="K61" s="1061" t="s">
        <v>3597</v>
      </c>
      <c r="L61" s="1063"/>
      <c r="M61" s="1063"/>
      <c r="N61" s="1063"/>
      <c r="O61" s="1063"/>
      <c r="P61" s="1063"/>
      <c r="Q61" s="1063"/>
      <c r="R61" s="1063"/>
      <c r="S61" s="1063"/>
      <c r="T61" s="1063"/>
      <c r="U61" s="1063"/>
      <c r="V61" s="1063"/>
      <c r="W61" s="1063"/>
      <c r="X61" s="1866">
        <f t="shared" si="0"/>
        <v>0</v>
      </c>
      <c r="Y61" s="23">
        <f t="shared" si="1"/>
        <v>7615000</v>
      </c>
    </row>
    <row r="62" spans="1:25" ht="43.15" customHeight="1" x14ac:dyDescent="0.25">
      <c r="A62" s="1"/>
      <c r="B62" s="1"/>
      <c r="C62" s="1"/>
      <c r="D62" s="1">
        <v>5</v>
      </c>
      <c r="E62" s="1">
        <v>2</v>
      </c>
      <c r="F62" s="1"/>
      <c r="G62" s="1"/>
      <c r="H62" s="4" t="s">
        <v>82</v>
      </c>
      <c r="I62" s="73"/>
      <c r="J62" s="4"/>
      <c r="K62" s="4" t="s">
        <v>3597</v>
      </c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1864">
        <f t="shared" si="0"/>
        <v>0</v>
      </c>
      <c r="Y62" s="23">
        <f t="shared" si="1"/>
        <v>0</v>
      </c>
    </row>
    <row r="63" spans="1:25" ht="43.15" customHeight="1" x14ac:dyDescent="0.25">
      <c r="A63" s="1"/>
      <c r="B63" s="1"/>
      <c r="C63" s="1"/>
      <c r="D63" s="1"/>
      <c r="E63" s="1"/>
      <c r="F63" s="1">
        <v>1</v>
      </c>
      <c r="G63" s="1"/>
      <c r="H63" s="4" t="s">
        <v>84</v>
      </c>
      <c r="I63" s="73"/>
      <c r="J63" s="4"/>
      <c r="K63" s="4" t="s">
        <v>3597</v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1864">
        <f t="shared" si="0"/>
        <v>0</v>
      </c>
      <c r="Y63" s="23">
        <f t="shared" si="1"/>
        <v>0</v>
      </c>
    </row>
    <row r="64" spans="1:25" ht="45" x14ac:dyDescent="0.25">
      <c r="A64" s="1"/>
      <c r="B64" s="1"/>
      <c r="C64" s="1"/>
      <c r="D64" s="1"/>
      <c r="E64" s="1"/>
      <c r="F64" s="1"/>
      <c r="G64" s="1489" t="s">
        <v>3390</v>
      </c>
      <c r="H64" s="4" t="s">
        <v>280</v>
      </c>
      <c r="I64" s="73">
        <v>6175000</v>
      </c>
      <c r="J64" s="4" t="s">
        <v>3295</v>
      </c>
      <c r="K64" s="4" t="s">
        <v>3597</v>
      </c>
      <c r="L64" s="73"/>
      <c r="M64" s="73"/>
      <c r="N64" s="73"/>
      <c r="O64" s="73"/>
      <c r="P64" s="73"/>
      <c r="Q64" s="73"/>
      <c r="R64" s="73"/>
      <c r="S64" s="73">
        <v>6175000</v>
      </c>
      <c r="T64" s="73"/>
      <c r="U64" s="73"/>
      <c r="V64" s="73"/>
      <c r="W64" s="73"/>
      <c r="X64" s="1864">
        <f t="shared" si="0"/>
        <v>6175000</v>
      </c>
      <c r="Y64" s="23">
        <f t="shared" si="1"/>
        <v>0</v>
      </c>
    </row>
    <row r="65" spans="1:25" ht="45" x14ac:dyDescent="0.25">
      <c r="A65" s="1"/>
      <c r="B65" s="1"/>
      <c r="C65" s="1"/>
      <c r="D65" s="1"/>
      <c r="E65" s="1"/>
      <c r="F65" s="1"/>
      <c r="G65" s="1489" t="s">
        <v>3391</v>
      </c>
      <c r="H65" s="4" t="s">
        <v>379</v>
      </c>
      <c r="I65" s="73">
        <v>1440000</v>
      </c>
      <c r="J65" s="4" t="s">
        <v>3295</v>
      </c>
      <c r="K65" s="4" t="s">
        <v>3597</v>
      </c>
      <c r="L65" s="73"/>
      <c r="M65" s="73"/>
      <c r="N65" s="73"/>
      <c r="O65" s="73"/>
      <c r="P65" s="73"/>
      <c r="Q65" s="73"/>
      <c r="R65" s="73"/>
      <c r="S65" s="73">
        <v>1440000</v>
      </c>
      <c r="T65" s="73"/>
      <c r="U65" s="73"/>
      <c r="V65" s="73"/>
      <c r="W65" s="73"/>
      <c r="X65" s="1864">
        <f t="shared" si="0"/>
        <v>1440000</v>
      </c>
      <c r="Y65" s="23">
        <f t="shared" si="1"/>
        <v>0</v>
      </c>
    </row>
    <row r="66" spans="1:25" ht="43.15" customHeight="1" x14ac:dyDescent="0.25">
      <c r="A66" s="865">
        <v>1</v>
      </c>
      <c r="B66" s="865">
        <v>4</v>
      </c>
      <c r="C66" s="1490" t="s">
        <v>3389</v>
      </c>
      <c r="D66" s="865"/>
      <c r="E66" s="865"/>
      <c r="F66" s="865"/>
      <c r="G66" s="865"/>
      <c r="H66" s="1061" t="s">
        <v>1794</v>
      </c>
      <c r="I66" s="1063">
        <v>1660750</v>
      </c>
      <c r="J66" s="1061" t="s">
        <v>1775</v>
      </c>
      <c r="K66" s="1061" t="s">
        <v>3597</v>
      </c>
      <c r="L66" s="1063"/>
      <c r="M66" s="1063"/>
      <c r="N66" s="1063"/>
      <c r="O66" s="1063"/>
      <c r="P66" s="1063"/>
      <c r="Q66" s="1063"/>
      <c r="R66" s="1063"/>
      <c r="S66" s="1063"/>
      <c r="T66" s="1063"/>
      <c r="U66" s="1063"/>
      <c r="V66" s="1063"/>
      <c r="W66" s="1063"/>
      <c r="X66" s="1866">
        <f t="shared" si="0"/>
        <v>0</v>
      </c>
      <c r="Y66" s="23">
        <f t="shared" si="1"/>
        <v>1660750</v>
      </c>
    </row>
    <row r="67" spans="1:25" ht="57.6" customHeight="1" x14ac:dyDescent="0.25">
      <c r="A67" s="1"/>
      <c r="B67" s="1"/>
      <c r="C67" s="1"/>
      <c r="D67" s="1">
        <v>5</v>
      </c>
      <c r="E67" s="1">
        <v>2</v>
      </c>
      <c r="F67" s="1"/>
      <c r="G67" s="1"/>
      <c r="H67" s="4" t="s">
        <v>82</v>
      </c>
      <c r="I67" s="73"/>
      <c r="J67" s="1"/>
      <c r="K67" s="4" t="s">
        <v>3597</v>
      </c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1864">
        <f t="shared" si="0"/>
        <v>0</v>
      </c>
      <c r="Y67" s="23">
        <f t="shared" si="1"/>
        <v>0</v>
      </c>
    </row>
    <row r="68" spans="1:25" x14ac:dyDescent="0.25">
      <c r="A68" s="1"/>
      <c r="B68" s="1"/>
      <c r="C68" s="1"/>
      <c r="D68" s="1"/>
      <c r="E68" s="1"/>
      <c r="F68" s="1">
        <v>1</v>
      </c>
      <c r="G68" s="1"/>
      <c r="H68" s="4" t="s">
        <v>84</v>
      </c>
      <c r="I68" s="73"/>
      <c r="J68" s="1"/>
      <c r="K68" s="4" t="s">
        <v>3597</v>
      </c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1864">
        <f t="shared" si="0"/>
        <v>0</v>
      </c>
      <c r="Y68" s="23">
        <f t="shared" si="1"/>
        <v>0</v>
      </c>
    </row>
    <row r="69" spans="1:25" ht="45" x14ac:dyDescent="0.25">
      <c r="A69" s="1"/>
      <c r="B69" s="1"/>
      <c r="C69" s="1"/>
      <c r="D69" s="1"/>
      <c r="E69" s="1"/>
      <c r="F69" s="1"/>
      <c r="G69" s="1489" t="s">
        <v>3390</v>
      </c>
      <c r="H69" s="4" t="s">
        <v>280</v>
      </c>
      <c r="I69" s="73">
        <v>1660750</v>
      </c>
      <c r="J69" s="4" t="s">
        <v>1775</v>
      </c>
      <c r="K69" s="4" t="s">
        <v>3597</v>
      </c>
      <c r="L69" s="73"/>
      <c r="M69" s="73"/>
      <c r="N69" s="73">
        <v>1660750</v>
      </c>
      <c r="O69" s="73"/>
      <c r="P69" s="73"/>
      <c r="Q69" s="73"/>
      <c r="R69" s="73"/>
      <c r="S69" s="73"/>
      <c r="T69" s="73"/>
      <c r="U69" s="73"/>
      <c r="V69" s="73"/>
      <c r="W69" s="73"/>
      <c r="X69" s="1864">
        <f t="shared" si="0"/>
        <v>1660750</v>
      </c>
      <c r="Y69" s="23">
        <f t="shared" si="1"/>
        <v>0</v>
      </c>
    </row>
    <row r="70" spans="1:25" ht="43.15" customHeight="1" x14ac:dyDescent="0.25">
      <c r="A70" s="865">
        <v>1</v>
      </c>
      <c r="B70" s="865">
        <v>4</v>
      </c>
      <c r="C70" s="1490" t="s">
        <v>3392</v>
      </c>
      <c r="D70" s="865"/>
      <c r="E70" s="865"/>
      <c r="F70" s="865"/>
      <c r="G70" s="865"/>
      <c r="H70" s="1061" t="s">
        <v>370</v>
      </c>
      <c r="I70" s="1063">
        <v>1500000</v>
      </c>
      <c r="J70" s="865" t="s">
        <v>1506</v>
      </c>
      <c r="K70" s="1061" t="s">
        <v>3597</v>
      </c>
      <c r="L70" s="1063"/>
      <c r="M70" s="1063"/>
      <c r="N70" s="1063"/>
      <c r="O70" s="1063"/>
      <c r="P70" s="1063"/>
      <c r="Q70" s="1063"/>
      <c r="R70" s="1063"/>
      <c r="S70" s="1063"/>
      <c r="T70" s="1063"/>
      <c r="U70" s="1063"/>
      <c r="V70" s="1063"/>
      <c r="W70" s="1063"/>
      <c r="X70" s="1866">
        <f t="shared" si="0"/>
        <v>0</v>
      </c>
      <c r="Y70" s="23">
        <f t="shared" si="1"/>
        <v>1500000</v>
      </c>
    </row>
    <row r="71" spans="1:25" x14ac:dyDescent="0.25">
      <c r="A71" s="1"/>
      <c r="B71" s="1"/>
      <c r="C71" s="1"/>
      <c r="D71" s="1">
        <v>5</v>
      </c>
      <c r="E71" s="1">
        <v>2</v>
      </c>
      <c r="F71" s="1"/>
      <c r="G71" s="1"/>
      <c r="H71" s="4" t="s">
        <v>82</v>
      </c>
      <c r="I71" s="73"/>
      <c r="J71" s="1"/>
      <c r="K71" s="4" t="s">
        <v>3597</v>
      </c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1864">
        <f t="shared" si="0"/>
        <v>0</v>
      </c>
      <c r="Y71" s="23">
        <f t="shared" si="1"/>
        <v>0</v>
      </c>
    </row>
    <row r="72" spans="1:25" x14ac:dyDescent="0.25">
      <c r="A72" s="1"/>
      <c r="B72" s="1"/>
      <c r="C72" s="1"/>
      <c r="D72" s="1"/>
      <c r="E72" s="1"/>
      <c r="F72" s="1">
        <v>1</v>
      </c>
      <c r="G72" s="1"/>
      <c r="H72" s="4" t="s">
        <v>84</v>
      </c>
      <c r="I72" s="73"/>
      <c r="J72" s="1"/>
      <c r="K72" s="4" t="s">
        <v>3597</v>
      </c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1864">
        <f t="shared" si="0"/>
        <v>0</v>
      </c>
      <c r="Y72" s="23">
        <f t="shared" si="1"/>
        <v>0</v>
      </c>
    </row>
    <row r="73" spans="1:25" ht="57.6" customHeight="1" x14ac:dyDescent="0.25">
      <c r="A73" s="1"/>
      <c r="B73" s="1"/>
      <c r="C73" s="1"/>
      <c r="D73" s="1"/>
      <c r="E73" s="1"/>
      <c r="F73" s="1"/>
      <c r="G73" s="1489" t="s">
        <v>3390</v>
      </c>
      <c r="H73" s="4" t="s">
        <v>280</v>
      </c>
      <c r="I73" s="73">
        <v>1500000</v>
      </c>
      <c r="J73" s="1" t="s">
        <v>1506</v>
      </c>
      <c r="K73" s="4" t="s">
        <v>3597</v>
      </c>
      <c r="L73" s="73"/>
      <c r="M73" s="73"/>
      <c r="N73" s="73">
        <v>1500000</v>
      </c>
      <c r="O73" s="73"/>
      <c r="P73" s="73"/>
      <c r="Q73" s="73"/>
      <c r="R73" s="73"/>
      <c r="S73" s="73"/>
      <c r="T73" s="73"/>
      <c r="U73" s="73"/>
      <c r="V73" s="73"/>
      <c r="W73" s="73"/>
      <c r="X73" s="1864">
        <f t="shared" si="0"/>
        <v>1500000</v>
      </c>
      <c r="Y73" s="23">
        <f t="shared" si="1"/>
        <v>0</v>
      </c>
    </row>
    <row r="74" spans="1:25" ht="26.45" customHeight="1" x14ac:dyDescent="0.25">
      <c r="A74" s="1869">
        <v>2</v>
      </c>
      <c r="B74" s="1869"/>
      <c r="C74" s="1869"/>
      <c r="D74" s="1869"/>
      <c r="E74" s="1869"/>
      <c r="F74" s="1869"/>
      <c r="G74" s="1869"/>
      <c r="H74" s="1870" t="s">
        <v>3603</v>
      </c>
      <c r="I74" s="1871">
        <f>I75+I80</f>
        <v>67878000</v>
      </c>
      <c r="J74" s="1869"/>
      <c r="K74" s="1870"/>
      <c r="L74" s="1871"/>
      <c r="M74" s="1871"/>
      <c r="N74" s="1871"/>
      <c r="O74" s="1871"/>
      <c r="P74" s="1871"/>
      <c r="Q74" s="1871"/>
      <c r="R74" s="1871"/>
      <c r="S74" s="1871"/>
      <c r="T74" s="1871"/>
      <c r="U74" s="1871"/>
      <c r="V74" s="1871"/>
      <c r="W74" s="1871"/>
      <c r="X74" s="1872">
        <f t="shared" si="0"/>
        <v>0</v>
      </c>
      <c r="Y74" s="23">
        <f t="shared" si="1"/>
        <v>67878000</v>
      </c>
    </row>
    <row r="75" spans="1:25" ht="28.9" customHeight="1" x14ac:dyDescent="0.25">
      <c r="A75" s="865">
        <v>2</v>
      </c>
      <c r="B75" s="865">
        <v>6</v>
      </c>
      <c r="C75" s="1490" t="s">
        <v>3386</v>
      </c>
      <c r="D75" s="865"/>
      <c r="E75" s="865"/>
      <c r="F75" s="865"/>
      <c r="G75" s="865"/>
      <c r="H75" s="1061" t="s">
        <v>820</v>
      </c>
      <c r="I75" s="1063">
        <v>4986000</v>
      </c>
      <c r="J75" s="865" t="s">
        <v>1506</v>
      </c>
      <c r="K75" s="1061" t="s">
        <v>3597</v>
      </c>
      <c r="L75" s="1063"/>
      <c r="M75" s="1063"/>
      <c r="N75" s="1063"/>
      <c r="O75" s="1063"/>
      <c r="P75" s="1063"/>
      <c r="Q75" s="1063"/>
      <c r="R75" s="1063"/>
      <c r="S75" s="1063"/>
      <c r="T75" s="1063"/>
      <c r="U75" s="1063"/>
      <c r="V75" s="1063"/>
      <c r="W75" s="1063"/>
      <c r="X75" s="1866">
        <f t="shared" si="0"/>
        <v>0</v>
      </c>
      <c r="Y75" s="23">
        <f t="shared" si="1"/>
        <v>4986000</v>
      </c>
    </row>
    <row r="76" spans="1:25" x14ac:dyDescent="0.25">
      <c r="A76" s="1"/>
      <c r="B76" s="1"/>
      <c r="C76" s="1"/>
      <c r="D76" s="1">
        <v>5</v>
      </c>
      <c r="E76" s="1">
        <v>2</v>
      </c>
      <c r="F76" s="1"/>
      <c r="G76" s="1"/>
      <c r="H76" s="4" t="s">
        <v>277</v>
      </c>
      <c r="I76" s="73"/>
      <c r="J76" s="1"/>
      <c r="K76" s="4" t="s">
        <v>3597</v>
      </c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1864">
        <f t="shared" si="0"/>
        <v>0</v>
      </c>
      <c r="Y76" s="23">
        <f t="shared" si="1"/>
        <v>0</v>
      </c>
    </row>
    <row r="77" spans="1:25" ht="43.15" customHeight="1" x14ac:dyDescent="0.25">
      <c r="A77" s="1"/>
      <c r="B77" s="1"/>
      <c r="C77" s="1"/>
      <c r="D77" s="1"/>
      <c r="E77" s="1"/>
      <c r="F77" s="1">
        <v>1</v>
      </c>
      <c r="G77" s="1"/>
      <c r="H77" s="4" t="s">
        <v>824</v>
      </c>
      <c r="I77" s="73"/>
      <c r="J77" s="1"/>
      <c r="K77" s="4" t="s">
        <v>3597</v>
      </c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1864">
        <f t="shared" si="0"/>
        <v>0</v>
      </c>
      <c r="Y77" s="23">
        <f t="shared" si="1"/>
        <v>0</v>
      </c>
    </row>
    <row r="78" spans="1:25" ht="30" x14ac:dyDescent="0.25">
      <c r="A78" s="1"/>
      <c r="B78" s="1"/>
      <c r="C78" s="1"/>
      <c r="D78" s="1"/>
      <c r="E78" s="1"/>
      <c r="F78" s="1"/>
      <c r="G78" s="1489" t="s">
        <v>3390</v>
      </c>
      <c r="H78" s="4" t="s">
        <v>826</v>
      </c>
      <c r="I78" s="73">
        <v>4986000</v>
      </c>
      <c r="J78" s="1" t="s">
        <v>1506</v>
      </c>
      <c r="K78" s="4" t="s">
        <v>3597</v>
      </c>
      <c r="L78" s="73">
        <v>4986000</v>
      </c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1864">
        <f t="shared" si="0"/>
        <v>4986000</v>
      </c>
      <c r="Y78" s="23">
        <f t="shared" si="1"/>
        <v>0</v>
      </c>
    </row>
    <row r="79" spans="1:25" x14ac:dyDescent="0.25">
      <c r="A79" s="865">
        <v>2</v>
      </c>
      <c r="B79" s="865">
        <v>8</v>
      </c>
      <c r="C79" s="865"/>
      <c r="D79" s="865"/>
      <c r="E79" s="865"/>
      <c r="F79" s="865"/>
      <c r="G79" s="1490"/>
      <c r="H79" s="1061"/>
      <c r="I79" s="1063"/>
      <c r="J79" s="865"/>
      <c r="K79" s="1061" t="s">
        <v>3597</v>
      </c>
      <c r="L79" s="1063"/>
      <c r="M79" s="1063"/>
      <c r="N79" s="1063"/>
      <c r="O79" s="1063"/>
      <c r="P79" s="1063"/>
      <c r="Q79" s="1063"/>
      <c r="R79" s="1063"/>
      <c r="S79" s="1063"/>
      <c r="T79" s="1063"/>
      <c r="U79" s="1063"/>
      <c r="V79" s="1063"/>
      <c r="W79" s="1063"/>
      <c r="X79" s="1866">
        <f t="shared" ref="X79:X108" si="2">SUM(L79:W79)</f>
        <v>0</v>
      </c>
      <c r="Y79" s="23">
        <f t="shared" ref="Y79:Y108" si="3">I79-X79</f>
        <v>0</v>
      </c>
    </row>
    <row r="80" spans="1:25" ht="28.9" customHeight="1" x14ac:dyDescent="0.25">
      <c r="A80" s="865">
        <v>2</v>
      </c>
      <c r="B80" s="865">
        <v>8</v>
      </c>
      <c r="C80" s="1490" t="s">
        <v>3388</v>
      </c>
      <c r="D80" s="865"/>
      <c r="E80" s="865"/>
      <c r="F80" s="865"/>
      <c r="G80" s="865"/>
      <c r="H80" s="1061" t="s">
        <v>3004</v>
      </c>
      <c r="I80" s="1063">
        <v>62892000</v>
      </c>
      <c r="J80" s="865" t="s">
        <v>1220</v>
      </c>
      <c r="K80" s="1061" t="s">
        <v>3597</v>
      </c>
      <c r="L80" s="1063"/>
      <c r="M80" s="1063"/>
      <c r="N80" s="1063"/>
      <c r="O80" s="1063"/>
      <c r="P80" s="1063"/>
      <c r="Q80" s="1063"/>
      <c r="R80" s="1063"/>
      <c r="S80" s="1063"/>
      <c r="T80" s="1063"/>
      <c r="U80" s="1063"/>
      <c r="V80" s="1063"/>
      <c r="W80" s="1063"/>
      <c r="X80" s="1866">
        <f t="shared" si="2"/>
        <v>0</v>
      </c>
      <c r="Y80" s="23">
        <f t="shared" si="3"/>
        <v>62892000</v>
      </c>
    </row>
    <row r="81" spans="1:25" x14ac:dyDescent="0.25">
      <c r="A81" s="1"/>
      <c r="B81" s="1"/>
      <c r="C81" s="1"/>
      <c r="D81" s="1">
        <v>5</v>
      </c>
      <c r="E81" s="1">
        <v>2</v>
      </c>
      <c r="F81" s="1"/>
      <c r="G81" s="1"/>
      <c r="H81" s="4" t="s">
        <v>462</v>
      </c>
      <c r="I81" s="73"/>
      <c r="J81" s="1"/>
      <c r="K81" s="4" t="s">
        <v>3597</v>
      </c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1864">
        <f t="shared" si="2"/>
        <v>0</v>
      </c>
      <c r="Y81" s="23">
        <f t="shared" si="3"/>
        <v>0</v>
      </c>
    </row>
    <row r="82" spans="1:25" ht="28.9" customHeight="1" x14ac:dyDescent="0.25">
      <c r="A82" s="1"/>
      <c r="B82" s="1"/>
      <c r="C82" s="1"/>
      <c r="D82" s="1"/>
      <c r="E82" s="1"/>
      <c r="F82" s="1">
        <v>1</v>
      </c>
      <c r="G82" s="1"/>
      <c r="H82" s="4" t="s">
        <v>84</v>
      </c>
      <c r="I82" s="73"/>
      <c r="J82" s="1"/>
      <c r="K82" s="4" t="s">
        <v>3597</v>
      </c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1864">
        <f t="shared" si="2"/>
        <v>0</v>
      </c>
      <c r="Y82" s="23">
        <f t="shared" si="3"/>
        <v>0</v>
      </c>
    </row>
    <row r="83" spans="1:25" ht="30" x14ac:dyDescent="0.25">
      <c r="A83" s="1"/>
      <c r="B83" s="1"/>
      <c r="C83" s="1"/>
      <c r="D83" s="1"/>
      <c r="E83" s="1"/>
      <c r="F83" s="1"/>
      <c r="G83" s="1489" t="s">
        <v>3391</v>
      </c>
      <c r="H83" s="4" t="s">
        <v>307</v>
      </c>
      <c r="I83" s="73">
        <v>1400000</v>
      </c>
      <c r="J83" s="1" t="s">
        <v>1220</v>
      </c>
      <c r="K83" s="4" t="s">
        <v>3597</v>
      </c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>
        <v>1400000</v>
      </c>
      <c r="X83" s="1864">
        <f t="shared" si="2"/>
        <v>1400000</v>
      </c>
      <c r="Y83" s="23">
        <f t="shared" si="3"/>
        <v>0</v>
      </c>
    </row>
    <row r="84" spans="1:25" ht="30" x14ac:dyDescent="0.25">
      <c r="A84" s="1"/>
      <c r="B84" s="1"/>
      <c r="C84" s="1"/>
      <c r="D84" s="1"/>
      <c r="E84" s="1"/>
      <c r="F84" s="1"/>
      <c r="G84" s="1489" t="s">
        <v>3366</v>
      </c>
      <c r="H84" s="4" t="s">
        <v>679</v>
      </c>
      <c r="I84" s="73">
        <v>3887000</v>
      </c>
      <c r="J84" s="1" t="s">
        <v>1220</v>
      </c>
      <c r="K84" s="4" t="s">
        <v>3597</v>
      </c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>
        <v>3887000</v>
      </c>
      <c r="X84" s="1864">
        <f t="shared" si="2"/>
        <v>3887000</v>
      </c>
      <c r="Y84" s="23">
        <f t="shared" si="3"/>
        <v>0</v>
      </c>
    </row>
    <row r="85" spans="1:25" ht="28.9" customHeight="1" x14ac:dyDescent="0.25">
      <c r="A85" s="1"/>
      <c r="B85" s="1"/>
      <c r="C85" s="1"/>
      <c r="D85" s="1"/>
      <c r="E85" s="1"/>
      <c r="F85" s="1"/>
      <c r="G85" s="1489" t="s">
        <v>3393</v>
      </c>
      <c r="H85" s="4" t="s">
        <v>325</v>
      </c>
      <c r="I85" s="73">
        <v>900000</v>
      </c>
      <c r="J85" s="1" t="s">
        <v>1220</v>
      </c>
      <c r="K85" s="4" t="s">
        <v>3597</v>
      </c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>
        <v>900000</v>
      </c>
      <c r="X85" s="1864">
        <f t="shared" si="2"/>
        <v>900000</v>
      </c>
      <c r="Y85" s="23">
        <f t="shared" si="3"/>
        <v>0</v>
      </c>
    </row>
    <row r="86" spans="1:25" ht="28.9" customHeight="1" x14ac:dyDescent="0.25">
      <c r="A86" s="1"/>
      <c r="B86" s="1"/>
      <c r="C86" s="1"/>
      <c r="D86" s="1"/>
      <c r="E86" s="1"/>
      <c r="F86" s="1"/>
      <c r="G86" s="1489" t="s">
        <v>3417</v>
      </c>
      <c r="H86" s="1" t="s">
        <v>483</v>
      </c>
      <c r="I86" s="73">
        <v>65000</v>
      </c>
      <c r="J86" s="1" t="s">
        <v>1220</v>
      </c>
      <c r="K86" s="4" t="s">
        <v>3597</v>
      </c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>
        <v>65000</v>
      </c>
      <c r="X86" s="1864">
        <f t="shared" si="2"/>
        <v>65000</v>
      </c>
      <c r="Y86" s="23">
        <f t="shared" si="3"/>
        <v>0</v>
      </c>
    </row>
    <row r="87" spans="1:25" ht="28.9" customHeight="1" x14ac:dyDescent="0.25">
      <c r="A87" s="1"/>
      <c r="B87" s="1"/>
      <c r="C87" s="1"/>
      <c r="D87" s="1">
        <v>5</v>
      </c>
      <c r="E87" s="1">
        <v>2</v>
      </c>
      <c r="F87" s="1">
        <v>2</v>
      </c>
      <c r="G87" s="1"/>
      <c r="H87" s="1" t="s">
        <v>294</v>
      </c>
      <c r="I87" s="73"/>
      <c r="J87" s="1"/>
      <c r="K87" s="4" t="s">
        <v>3597</v>
      </c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1864">
        <f t="shared" si="2"/>
        <v>0</v>
      </c>
      <c r="Y87" s="23">
        <f t="shared" si="3"/>
        <v>0</v>
      </c>
    </row>
    <row r="88" spans="1:25" ht="28.9" customHeight="1" x14ac:dyDescent="0.25">
      <c r="A88" s="1"/>
      <c r="B88" s="1"/>
      <c r="C88" s="1"/>
      <c r="D88" s="1"/>
      <c r="E88" s="1"/>
      <c r="F88" s="1"/>
      <c r="G88" s="1489" t="s">
        <v>3366</v>
      </c>
      <c r="H88" s="4" t="s">
        <v>484</v>
      </c>
      <c r="I88" s="73">
        <v>1150000</v>
      </c>
      <c r="J88" s="1" t="s">
        <v>1220</v>
      </c>
      <c r="K88" s="4" t="s">
        <v>3597</v>
      </c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>
        <v>1150000</v>
      </c>
      <c r="X88" s="1864">
        <f t="shared" si="2"/>
        <v>1150000</v>
      </c>
      <c r="Y88" s="23">
        <f t="shared" si="3"/>
        <v>0</v>
      </c>
    </row>
    <row r="89" spans="1:25" ht="28.9" customHeight="1" x14ac:dyDescent="0.25">
      <c r="A89" s="1"/>
      <c r="B89" s="1"/>
      <c r="C89" s="1"/>
      <c r="D89" s="1"/>
      <c r="E89" s="1"/>
      <c r="F89" s="1"/>
      <c r="G89" s="1489" t="s">
        <v>3389</v>
      </c>
      <c r="H89" s="4" t="s">
        <v>1649</v>
      </c>
      <c r="I89" s="73">
        <v>1800000</v>
      </c>
      <c r="J89" s="1" t="s">
        <v>1220</v>
      </c>
      <c r="K89" s="4" t="s">
        <v>3597</v>
      </c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>
        <v>1800000</v>
      </c>
      <c r="X89" s="1864">
        <f t="shared" si="2"/>
        <v>1800000</v>
      </c>
      <c r="Y89" s="23">
        <f t="shared" si="3"/>
        <v>0</v>
      </c>
    </row>
    <row r="90" spans="1:25" ht="43.15" customHeight="1" x14ac:dyDescent="0.25">
      <c r="A90" s="1"/>
      <c r="B90" s="1"/>
      <c r="C90" s="1"/>
      <c r="D90" s="1">
        <v>5</v>
      </c>
      <c r="E90" s="1">
        <v>2</v>
      </c>
      <c r="F90" s="1">
        <v>7</v>
      </c>
      <c r="G90" s="1"/>
      <c r="H90" s="4" t="s">
        <v>1420</v>
      </c>
      <c r="I90" s="73"/>
      <c r="J90" s="1"/>
      <c r="K90" s="4" t="s">
        <v>3597</v>
      </c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1864">
        <f t="shared" si="2"/>
        <v>0</v>
      </c>
      <c r="Y90" s="23">
        <f t="shared" si="3"/>
        <v>0</v>
      </c>
    </row>
    <row r="91" spans="1:25" ht="57.6" customHeight="1" x14ac:dyDescent="0.25">
      <c r="A91" s="1"/>
      <c r="B91" s="1"/>
      <c r="C91" s="1"/>
      <c r="D91" s="1"/>
      <c r="E91" s="1"/>
      <c r="F91" s="1"/>
      <c r="G91" s="1489" t="s">
        <v>3366</v>
      </c>
      <c r="H91" s="4" t="s">
        <v>487</v>
      </c>
      <c r="I91" s="73">
        <v>53690000</v>
      </c>
      <c r="J91" s="1" t="s">
        <v>1220</v>
      </c>
      <c r="K91" s="4" t="s">
        <v>3597</v>
      </c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>
        <v>53690000</v>
      </c>
      <c r="W91" s="73"/>
      <c r="X91" s="1864">
        <f t="shared" si="2"/>
        <v>53690000</v>
      </c>
      <c r="Y91" s="23">
        <f t="shared" si="3"/>
        <v>0</v>
      </c>
    </row>
    <row r="92" spans="1:25" ht="30" x14ac:dyDescent="0.25">
      <c r="A92" s="1869">
        <v>4</v>
      </c>
      <c r="B92" s="1869"/>
      <c r="C92" s="1869"/>
      <c r="D92" s="1869"/>
      <c r="E92" s="1869"/>
      <c r="F92" s="1869"/>
      <c r="G92" s="1869"/>
      <c r="H92" s="1870" t="s">
        <v>3604</v>
      </c>
      <c r="I92" s="1871">
        <f>I93+I101</f>
        <v>3335204.83</v>
      </c>
      <c r="J92" s="1869"/>
      <c r="K92" s="1870"/>
      <c r="L92" s="1871"/>
      <c r="M92" s="1871"/>
      <c r="N92" s="1871"/>
      <c r="O92" s="1871"/>
      <c r="P92" s="1871"/>
      <c r="Q92" s="1871"/>
      <c r="R92" s="1871"/>
      <c r="S92" s="1871"/>
      <c r="T92" s="1871"/>
      <c r="U92" s="1871"/>
      <c r="V92" s="1871"/>
      <c r="W92" s="1871"/>
      <c r="X92" s="1872">
        <f t="shared" si="2"/>
        <v>0</v>
      </c>
      <c r="Y92" s="23">
        <f t="shared" si="3"/>
        <v>3335204.83</v>
      </c>
    </row>
    <row r="93" spans="1:25" ht="28.9" customHeight="1" x14ac:dyDescent="0.25">
      <c r="A93" s="865">
        <v>4</v>
      </c>
      <c r="B93" s="865">
        <v>3</v>
      </c>
      <c r="C93" s="1490" t="s">
        <v>3386</v>
      </c>
      <c r="D93" s="865"/>
      <c r="E93" s="865"/>
      <c r="F93" s="865"/>
      <c r="G93" s="865"/>
      <c r="H93" s="1061" t="s">
        <v>427</v>
      </c>
      <c r="I93" s="1063">
        <v>1380000</v>
      </c>
      <c r="J93" s="865" t="s">
        <v>1506</v>
      </c>
      <c r="K93" s="1061" t="s">
        <v>3597</v>
      </c>
      <c r="L93" s="1063"/>
      <c r="M93" s="1063"/>
      <c r="N93" s="1063"/>
      <c r="O93" s="1063"/>
      <c r="P93" s="1063"/>
      <c r="Q93" s="1063"/>
      <c r="R93" s="1063"/>
      <c r="S93" s="1063"/>
      <c r="T93" s="1063"/>
      <c r="U93" s="1063"/>
      <c r="V93" s="1063"/>
      <c r="W93" s="1063"/>
      <c r="X93" s="1866">
        <f t="shared" si="2"/>
        <v>0</v>
      </c>
      <c r="Y93" s="23">
        <f t="shared" si="3"/>
        <v>1380000</v>
      </c>
    </row>
    <row r="94" spans="1:25" x14ac:dyDescent="0.25">
      <c r="A94" s="1"/>
      <c r="B94" s="1"/>
      <c r="C94" s="1"/>
      <c r="D94" s="1">
        <v>5</v>
      </c>
      <c r="E94" s="1">
        <v>2</v>
      </c>
      <c r="F94" s="1"/>
      <c r="G94" s="1"/>
      <c r="H94" s="1" t="s">
        <v>304</v>
      </c>
      <c r="I94" s="73"/>
      <c r="J94" s="1"/>
      <c r="K94" s="4" t="s">
        <v>3597</v>
      </c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1864">
        <f t="shared" si="2"/>
        <v>0</v>
      </c>
      <c r="Y94" s="23">
        <f t="shared" si="3"/>
        <v>0</v>
      </c>
    </row>
    <row r="95" spans="1:25" x14ac:dyDescent="0.25">
      <c r="A95" s="1"/>
      <c r="B95" s="1"/>
      <c r="C95" s="1"/>
      <c r="D95" s="1"/>
      <c r="E95" s="1"/>
      <c r="F95" s="1">
        <v>1</v>
      </c>
      <c r="G95" s="1"/>
      <c r="H95" s="1533" t="s">
        <v>84</v>
      </c>
      <c r="I95" s="73"/>
      <c r="J95" s="1"/>
      <c r="K95" s="4" t="s">
        <v>3597</v>
      </c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1864">
        <f t="shared" si="2"/>
        <v>0</v>
      </c>
      <c r="Y95" s="23">
        <f t="shared" si="3"/>
        <v>0</v>
      </c>
    </row>
    <row r="96" spans="1:25" ht="14.45" customHeight="1" x14ac:dyDescent="0.25">
      <c r="A96" s="1"/>
      <c r="B96" s="1"/>
      <c r="C96" s="1"/>
      <c r="D96" s="1"/>
      <c r="E96" s="1"/>
      <c r="F96" s="1"/>
      <c r="G96" s="1489" t="s">
        <v>3391</v>
      </c>
      <c r="H96" s="4" t="s">
        <v>307</v>
      </c>
      <c r="I96" s="73">
        <v>640000</v>
      </c>
      <c r="J96" s="1" t="s">
        <v>1506</v>
      </c>
      <c r="K96" s="4" t="s">
        <v>3597</v>
      </c>
      <c r="L96" s="73"/>
      <c r="M96" s="73"/>
      <c r="N96" s="73"/>
      <c r="O96" s="73"/>
      <c r="P96" s="73"/>
      <c r="Q96" s="73"/>
      <c r="R96" s="73"/>
      <c r="S96" s="73"/>
      <c r="T96" s="73">
        <v>640000</v>
      </c>
      <c r="U96" s="73"/>
      <c r="V96" s="73"/>
      <c r="W96" s="73"/>
      <c r="X96" s="1864">
        <f t="shared" si="2"/>
        <v>640000</v>
      </c>
      <c r="Y96" s="23">
        <f t="shared" si="3"/>
        <v>0</v>
      </c>
    </row>
    <row r="97" spans="1:25" ht="43.15" customHeight="1" x14ac:dyDescent="0.25">
      <c r="A97" s="1"/>
      <c r="B97" s="1"/>
      <c r="C97" s="1"/>
      <c r="D97" s="1"/>
      <c r="E97" s="1"/>
      <c r="F97" s="1"/>
      <c r="G97" s="1489" t="s">
        <v>3392</v>
      </c>
      <c r="H97" s="4" t="s">
        <v>325</v>
      </c>
      <c r="I97" s="73">
        <v>90000</v>
      </c>
      <c r="J97" s="1" t="s">
        <v>1506</v>
      </c>
      <c r="K97" s="4" t="s">
        <v>3597</v>
      </c>
      <c r="L97" s="73"/>
      <c r="M97" s="73"/>
      <c r="N97" s="73"/>
      <c r="O97" s="73"/>
      <c r="P97" s="73"/>
      <c r="Q97" s="73"/>
      <c r="R97" s="73"/>
      <c r="S97" s="73"/>
      <c r="T97" s="73">
        <v>90000</v>
      </c>
      <c r="U97" s="73"/>
      <c r="V97" s="73"/>
      <c r="W97" s="73"/>
      <c r="X97" s="1864">
        <f t="shared" si="2"/>
        <v>90000</v>
      </c>
      <c r="Y97" s="23">
        <f t="shared" si="3"/>
        <v>0</v>
      </c>
    </row>
    <row r="98" spans="1:25" ht="30" x14ac:dyDescent="0.25">
      <c r="A98" s="1"/>
      <c r="B98" s="1"/>
      <c r="C98" s="1"/>
      <c r="D98" s="1"/>
      <c r="E98" s="1"/>
      <c r="F98" s="1"/>
      <c r="G98" s="1489" t="s">
        <v>3393</v>
      </c>
      <c r="H98" s="4" t="s">
        <v>421</v>
      </c>
      <c r="I98" s="73">
        <v>50000</v>
      </c>
      <c r="J98" s="1" t="s">
        <v>1506</v>
      </c>
      <c r="K98" s="4" t="s">
        <v>3597</v>
      </c>
      <c r="L98" s="73"/>
      <c r="M98" s="73"/>
      <c r="N98" s="73"/>
      <c r="O98" s="73"/>
      <c r="P98" s="73"/>
      <c r="Q98" s="73"/>
      <c r="R98" s="73"/>
      <c r="S98" s="73"/>
      <c r="T98" s="73">
        <v>50000</v>
      </c>
      <c r="U98" s="73"/>
      <c r="V98" s="73"/>
      <c r="W98" s="73"/>
      <c r="X98" s="1864">
        <f t="shared" si="2"/>
        <v>50000</v>
      </c>
      <c r="Y98" s="23">
        <f t="shared" si="3"/>
        <v>0</v>
      </c>
    </row>
    <row r="99" spans="1:25" x14ac:dyDescent="0.25">
      <c r="A99" s="1"/>
      <c r="B99" s="1"/>
      <c r="C99" s="1"/>
      <c r="D99" s="1">
        <v>5</v>
      </c>
      <c r="E99" s="1">
        <v>2</v>
      </c>
      <c r="F99" s="1">
        <v>2</v>
      </c>
      <c r="G99" s="1"/>
      <c r="H99" s="4" t="s">
        <v>349</v>
      </c>
      <c r="I99" s="73"/>
      <c r="J99" s="1"/>
      <c r="K99" s="4" t="s">
        <v>3597</v>
      </c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1864">
        <f t="shared" si="2"/>
        <v>0</v>
      </c>
      <c r="Y99" s="23">
        <f t="shared" si="3"/>
        <v>0</v>
      </c>
    </row>
    <row r="100" spans="1:25" ht="45" x14ac:dyDescent="0.25">
      <c r="A100" s="1"/>
      <c r="B100" s="1"/>
      <c r="C100" s="1"/>
      <c r="D100" s="1"/>
      <c r="E100" s="1"/>
      <c r="F100" s="1"/>
      <c r="G100" s="1489" t="s">
        <v>3389</v>
      </c>
      <c r="H100" s="4" t="s">
        <v>411</v>
      </c>
      <c r="I100" s="73">
        <v>600000</v>
      </c>
      <c r="J100" s="1" t="s">
        <v>1506</v>
      </c>
      <c r="K100" s="4" t="s">
        <v>3597</v>
      </c>
      <c r="L100" s="73"/>
      <c r="M100" s="73"/>
      <c r="N100" s="73"/>
      <c r="O100" s="73"/>
      <c r="P100" s="73"/>
      <c r="Q100" s="73"/>
      <c r="R100" s="73"/>
      <c r="S100" s="73"/>
      <c r="T100" s="73">
        <v>600000</v>
      </c>
      <c r="U100" s="73"/>
      <c r="V100" s="73"/>
      <c r="W100" s="73"/>
      <c r="X100" s="1864">
        <f t="shared" si="2"/>
        <v>600000</v>
      </c>
      <c r="Y100" s="23">
        <f t="shared" si="3"/>
        <v>0</v>
      </c>
    </row>
    <row r="101" spans="1:25" ht="30" x14ac:dyDescent="0.25">
      <c r="A101" s="865">
        <v>4</v>
      </c>
      <c r="B101" s="865">
        <v>2</v>
      </c>
      <c r="C101" s="1490" t="s">
        <v>3388</v>
      </c>
      <c r="D101" s="865"/>
      <c r="E101" s="865"/>
      <c r="F101" s="865"/>
      <c r="G101" s="865"/>
      <c r="H101" s="1061" t="s">
        <v>414</v>
      </c>
      <c r="I101" s="1063">
        <v>1955204.83</v>
      </c>
      <c r="J101" s="1061" t="s">
        <v>1775</v>
      </c>
      <c r="K101" s="1061" t="s">
        <v>3597</v>
      </c>
      <c r="L101" s="1063"/>
      <c r="M101" s="1063"/>
      <c r="N101" s="1063"/>
      <c r="O101" s="1063"/>
      <c r="P101" s="1063"/>
      <c r="Q101" s="1063"/>
      <c r="R101" s="1063"/>
      <c r="S101" s="1063"/>
      <c r="T101" s="1063"/>
      <c r="U101" s="1063"/>
      <c r="V101" s="1063"/>
      <c r="W101" s="1063"/>
      <c r="X101" s="1866">
        <f t="shared" si="2"/>
        <v>0</v>
      </c>
      <c r="Y101" s="23">
        <f t="shared" si="3"/>
        <v>1955204.83</v>
      </c>
    </row>
    <row r="102" spans="1:25" x14ac:dyDescent="0.25">
      <c r="A102" s="1"/>
      <c r="B102" s="1"/>
      <c r="C102" s="1"/>
      <c r="D102" s="1">
        <v>5</v>
      </c>
      <c r="E102" s="1">
        <v>2</v>
      </c>
      <c r="F102" s="1"/>
      <c r="G102" s="1"/>
      <c r="H102" s="1" t="s">
        <v>304</v>
      </c>
      <c r="I102" s="73"/>
      <c r="J102" s="1"/>
      <c r="K102" s="4" t="s">
        <v>3597</v>
      </c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1864">
        <f t="shared" si="2"/>
        <v>0</v>
      </c>
      <c r="Y102" s="23">
        <f t="shared" si="3"/>
        <v>0</v>
      </c>
    </row>
    <row r="103" spans="1:25" x14ac:dyDescent="0.25">
      <c r="A103" s="1"/>
      <c r="B103" s="1"/>
      <c r="C103" s="1"/>
      <c r="D103" s="1"/>
      <c r="E103" s="1"/>
      <c r="F103" s="1">
        <v>1</v>
      </c>
      <c r="G103" s="1"/>
      <c r="H103" s="4" t="s">
        <v>84</v>
      </c>
      <c r="I103" s="73"/>
      <c r="J103" s="1"/>
      <c r="K103" s="4" t="s">
        <v>3597</v>
      </c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1864">
        <f t="shared" si="2"/>
        <v>0</v>
      </c>
      <c r="Y103" s="23">
        <f t="shared" si="3"/>
        <v>0</v>
      </c>
    </row>
    <row r="104" spans="1:25" ht="30" x14ac:dyDescent="0.25">
      <c r="A104" s="1"/>
      <c r="B104" s="1"/>
      <c r="C104" s="1"/>
      <c r="D104" s="1"/>
      <c r="E104" s="1"/>
      <c r="F104" s="1"/>
      <c r="G104" s="1489" t="s">
        <v>3391</v>
      </c>
      <c r="H104" s="4" t="s">
        <v>307</v>
      </c>
      <c r="I104" s="73">
        <v>1200000</v>
      </c>
      <c r="J104" s="4" t="s">
        <v>1775</v>
      </c>
      <c r="K104" s="4" t="s">
        <v>3597</v>
      </c>
      <c r="L104" s="73"/>
      <c r="M104" s="73">
        <v>1200000</v>
      </c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1864">
        <f t="shared" si="2"/>
        <v>1200000</v>
      </c>
      <c r="Y104" s="23">
        <f t="shared" si="3"/>
        <v>0</v>
      </c>
    </row>
    <row r="105" spans="1:25" ht="43.15" customHeight="1" x14ac:dyDescent="0.25">
      <c r="A105" s="1"/>
      <c r="B105" s="1"/>
      <c r="C105" s="1"/>
      <c r="D105" s="1"/>
      <c r="E105" s="1"/>
      <c r="F105" s="1"/>
      <c r="G105" s="1489" t="s">
        <v>3393</v>
      </c>
      <c r="H105" s="4" t="s">
        <v>325</v>
      </c>
      <c r="I105" s="73">
        <v>90204.83</v>
      </c>
      <c r="J105" s="4" t="s">
        <v>1775</v>
      </c>
      <c r="K105" s="4" t="s">
        <v>3597</v>
      </c>
      <c r="L105" s="73"/>
      <c r="M105" s="73">
        <v>90204.83</v>
      </c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1864">
        <f t="shared" si="2"/>
        <v>90204.83</v>
      </c>
      <c r="Y105" s="23">
        <f t="shared" si="3"/>
        <v>0</v>
      </c>
    </row>
    <row r="106" spans="1:25" ht="30" x14ac:dyDescent="0.25">
      <c r="A106" s="1"/>
      <c r="B106" s="1"/>
      <c r="C106" s="1"/>
      <c r="D106" s="1"/>
      <c r="E106" s="1"/>
      <c r="F106" s="1"/>
      <c r="G106" s="1">
        <v>90</v>
      </c>
      <c r="H106" s="4" t="s">
        <v>421</v>
      </c>
      <c r="I106" s="73">
        <v>65000</v>
      </c>
      <c r="J106" s="4" t="s">
        <v>1775</v>
      </c>
      <c r="K106" s="4" t="s">
        <v>3597</v>
      </c>
      <c r="L106" s="73"/>
      <c r="M106" s="73">
        <v>65000</v>
      </c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1864">
        <f t="shared" si="2"/>
        <v>65000</v>
      </c>
      <c r="Y106" s="23">
        <f t="shared" si="3"/>
        <v>0</v>
      </c>
    </row>
    <row r="107" spans="1:25" x14ac:dyDescent="0.25">
      <c r="A107" s="1"/>
      <c r="B107" s="1"/>
      <c r="C107" s="1"/>
      <c r="D107" s="1">
        <v>5</v>
      </c>
      <c r="E107" s="1">
        <v>2</v>
      </c>
      <c r="F107" s="1">
        <v>2</v>
      </c>
      <c r="G107" s="1"/>
      <c r="H107" s="4" t="s">
        <v>349</v>
      </c>
      <c r="I107" s="73"/>
      <c r="J107" s="1"/>
      <c r="K107" s="4" t="s">
        <v>3597</v>
      </c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1864">
        <f t="shared" si="2"/>
        <v>0</v>
      </c>
      <c r="Y107" s="23">
        <f t="shared" si="3"/>
        <v>0</v>
      </c>
    </row>
    <row r="108" spans="1:25" ht="45" x14ac:dyDescent="0.25">
      <c r="A108" s="1"/>
      <c r="B108" s="1"/>
      <c r="C108" s="1"/>
      <c r="D108" s="1"/>
      <c r="E108" s="1"/>
      <c r="F108" s="1"/>
      <c r="G108" s="1489" t="s">
        <v>3389</v>
      </c>
      <c r="H108" s="4" t="s">
        <v>411</v>
      </c>
      <c r="I108" s="73">
        <v>600000</v>
      </c>
      <c r="J108" s="4" t="s">
        <v>1775</v>
      </c>
      <c r="K108" s="4" t="s">
        <v>3597</v>
      </c>
      <c r="L108" s="73"/>
      <c r="M108" s="73">
        <v>600000</v>
      </c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1864">
        <f t="shared" si="2"/>
        <v>600000</v>
      </c>
      <c r="Y108" s="23">
        <f t="shared" si="3"/>
        <v>0</v>
      </c>
    </row>
    <row r="109" spans="1:25" x14ac:dyDescent="0.25">
      <c r="V109" s="2243" t="s">
        <v>3566</v>
      </c>
      <c r="W109" s="2243"/>
    </row>
    <row r="113" spans="22:23" x14ac:dyDescent="0.25">
      <c r="V113" s="2213" t="s">
        <v>3569</v>
      </c>
      <c r="W113" s="2213"/>
    </row>
  </sheetData>
  <autoFilter ref="A12:X108" xr:uid="{13CDCA7A-7AE1-48EB-9103-B9E79379C48C}"/>
  <mergeCells count="13">
    <mergeCell ref="J11:W11"/>
    <mergeCell ref="V109:W109"/>
    <mergeCell ref="V113:W113"/>
    <mergeCell ref="A1:X1"/>
    <mergeCell ref="A2:X2"/>
    <mergeCell ref="A9:G10"/>
    <mergeCell ref="H9:H10"/>
    <mergeCell ref="I9:I10"/>
    <mergeCell ref="J9:J10"/>
    <mergeCell ref="L9:W9"/>
    <mergeCell ref="X9:X10"/>
    <mergeCell ref="A11:C11"/>
    <mergeCell ref="D11:G11"/>
  </mergeCells>
  <pageMargins left="0.5" right="0.5" top="1" bottom="0.75" header="0.3" footer="0.3"/>
  <pageSetup paperSize="5" scale="55" orientation="landscape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048506"/>
  <sheetViews>
    <sheetView topLeftCell="E9" workbookViewId="0">
      <pane ySplit="1755" topLeftCell="A182" activePane="bottomLeft"/>
      <selection activeCell="H9" sqref="H9"/>
      <selection pane="bottomLeft" activeCell="L189" sqref="L189"/>
    </sheetView>
  </sheetViews>
  <sheetFormatPr defaultRowHeight="15" x14ac:dyDescent="0.25"/>
  <cols>
    <col min="1" max="1" width="15.28515625" bestFit="1" customWidth="1"/>
    <col min="2" max="2" width="22.140625" customWidth="1"/>
    <col min="3" max="3" width="4.42578125" customWidth="1"/>
    <col min="4" max="4" width="27.140625" customWidth="1"/>
    <col min="5" max="5" width="26.140625" customWidth="1"/>
    <col min="6" max="6" width="14.85546875" customWidth="1"/>
    <col min="7" max="7" width="16.5703125" customWidth="1"/>
    <col min="8" max="8" width="11" customWidth="1"/>
    <col min="9" max="9" width="11.85546875" customWidth="1"/>
    <col min="10" max="10" width="13.140625" customWidth="1"/>
    <col min="11" max="11" width="15" customWidth="1"/>
    <col min="12" max="12" width="18" style="68" customWidth="1"/>
    <col min="13" max="13" width="12.85546875" customWidth="1"/>
    <col min="14" max="14" width="26.28515625" customWidth="1"/>
    <col min="15" max="15" width="21.5703125" customWidth="1"/>
  </cols>
  <sheetData>
    <row r="1" spans="1:15" s="7" customFormat="1" ht="29.25" customHeight="1" x14ac:dyDescent="0.25">
      <c r="A1" s="2245" t="s">
        <v>2663</v>
      </c>
      <c r="B1" s="2245"/>
      <c r="C1" s="2245"/>
      <c r="D1" s="2245"/>
      <c r="E1" s="2245"/>
      <c r="F1" s="2245"/>
      <c r="G1" s="2245"/>
      <c r="H1" s="2245"/>
      <c r="I1" s="2245"/>
      <c r="J1" s="2245"/>
      <c r="K1" s="2245"/>
      <c r="L1" s="2245"/>
      <c r="M1" s="2245"/>
      <c r="N1" s="2245"/>
      <c r="O1" s="879"/>
    </row>
    <row r="2" spans="1:15" s="7" customFormat="1" ht="23.25" customHeight="1" x14ac:dyDescent="0.25">
      <c r="A2" s="2245" t="s">
        <v>1737</v>
      </c>
      <c r="B2" s="2245"/>
      <c r="C2" s="2245"/>
      <c r="D2" s="2245"/>
      <c r="E2" s="2245"/>
      <c r="F2" s="2245"/>
      <c r="G2" s="2245"/>
      <c r="H2" s="2245"/>
      <c r="I2" s="2245"/>
      <c r="J2" s="2245"/>
      <c r="K2" s="2245"/>
      <c r="L2" s="2245"/>
      <c r="M2" s="2245"/>
      <c r="N2" s="2245"/>
      <c r="O2" s="879"/>
    </row>
    <row r="3" spans="1:15" s="7" customFormat="1" ht="15.75" x14ac:dyDescent="0.25">
      <c r="B3" s="8"/>
      <c r="D3" s="8"/>
      <c r="H3" s="8"/>
      <c r="J3" s="9"/>
      <c r="L3" s="867"/>
      <c r="M3" s="113"/>
      <c r="O3" s="879"/>
    </row>
    <row r="4" spans="1:15" s="7" customFormat="1" ht="31.5" x14ac:dyDescent="0.25">
      <c r="A4" s="7" t="s">
        <v>977</v>
      </c>
      <c r="B4" s="8" t="s">
        <v>978</v>
      </c>
      <c r="D4" s="8"/>
      <c r="H4" s="8"/>
      <c r="J4" s="9"/>
      <c r="L4" s="867"/>
      <c r="M4" s="113"/>
      <c r="O4" s="879"/>
    </row>
    <row r="5" spans="1:15" s="7" customFormat="1" ht="31.5" x14ac:dyDescent="0.25">
      <c r="A5" s="7" t="s">
        <v>979</v>
      </c>
      <c r="B5" s="8" t="s">
        <v>980</v>
      </c>
      <c r="D5" s="8"/>
      <c r="H5" s="8"/>
      <c r="J5" s="9"/>
      <c r="L5" s="867"/>
      <c r="M5" s="113"/>
      <c r="O5" s="879"/>
    </row>
    <row r="6" spans="1:15" s="7" customFormat="1" ht="15.75" x14ac:dyDescent="0.25">
      <c r="A6" s="7" t="s">
        <v>981</v>
      </c>
      <c r="B6" s="8" t="s">
        <v>982</v>
      </c>
      <c r="D6" s="8"/>
      <c r="H6" s="8"/>
      <c r="J6" s="9"/>
      <c r="L6" s="867"/>
      <c r="M6" s="113"/>
      <c r="O6" s="879"/>
    </row>
    <row r="7" spans="1:15" s="7" customFormat="1" ht="15.75" x14ac:dyDescent="0.25">
      <c r="A7" s="7" t="s">
        <v>983</v>
      </c>
      <c r="B7" s="8" t="s">
        <v>984</v>
      </c>
      <c r="D7" s="8"/>
      <c r="H7" s="8"/>
      <c r="J7" s="9"/>
      <c r="L7" s="867"/>
      <c r="M7" s="113"/>
      <c r="O7" s="879"/>
    </row>
    <row r="8" spans="1:15" s="7" customFormat="1" ht="15.75" x14ac:dyDescent="0.25">
      <c r="B8" s="8"/>
      <c r="D8" s="8"/>
      <c r="H8" s="8"/>
      <c r="J8" s="9"/>
      <c r="L8" s="867"/>
      <c r="M8" s="113"/>
      <c r="O8" s="879"/>
    </row>
    <row r="9" spans="1:15" s="7" customFormat="1" ht="72.75" customHeight="1" x14ac:dyDescent="0.25">
      <c r="A9" s="10" t="s">
        <v>951</v>
      </c>
      <c r="B9" s="2246" t="s">
        <v>985</v>
      </c>
      <c r="C9" s="2246"/>
      <c r="D9" s="2246"/>
      <c r="E9" s="11" t="s">
        <v>986</v>
      </c>
      <c r="F9" s="11" t="s">
        <v>987</v>
      </c>
      <c r="G9" s="11" t="s">
        <v>2669</v>
      </c>
      <c r="H9" s="11" t="s">
        <v>988</v>
      </c>
      <c r="I9" s="11" t="s">
        <v>989</v>
      </c>
      <c r="J9" s="11" t="s">
        <v>990</v>
      </c>
      <c r="K9" s="11" t="s">
        <v>395</v>
      </c>
      <c r="L9" s="2247" t="s">
        <v>991</v>
      </c>
      <c r="M9" s="2247"/>
      <c r="N9" s="2247" t="s">
        <v>992</v>
      </c>
      <c r="O9" s="2244" t="s">
        <v>993</v>
      </c>
    </row>
    <row r="10" spans="1:15" s="7" customFormat="1" ht="15.75" x14ac:dyDescent="0.25">
      <c r="A10" s="12"/>
      <c r="B10" s="14" t="s">
        <v>994</v>
      </c>
      <c r="C10" s="13"/>
      <c r="D10" s="14" t="s">
        <v>445</v>
      </c>
      <c r="E10" s="12"/>
      <c r="F10" s="12"/>
      <c r="G10" s="12"/>
      <c r="H10" s="868"/>
      <c r="I10" s="12"/>
      <c r="J10" s="15"/>
      <c r="K10" s="12"/>
      <c r="L10" s="110" t="s">
        <v>996</v>
      </c>
      <c r="M10" s="13" t="s">
        <v>997</v>
      </c>
      <c r="N10" s="2247"/>
      <c r="O10" s="2244"/>
    </row>
    <row r="11" spans="1:15" s="7" customFormat="1" ht="18" customHeight="1" x14ac:dyDescent="0.25">
      <c r="A11" s="13" t="s">
        <v>998</v>
      </c>
      <c r="B11" s="14" t="s">
        <v>999</v>
      </c>
      <c r="C11" s="13" t="s">
        <v>1000</v>
      </c>
      <c r="D11" s="14" t="s">
        <v>1001</v>
      </c>
      <c r="E11" s="13" t="s">
        <v>1002</v>
      </c>
      <c r="F11" s="13" t="s">
        <v>1003</v>
      </c>
      <c r="G11" s="13" t="s">
        <v>1004</v>
      </c>
      <c r="H11" s="14" t="s">
        <v>1005</v>
      </c>
      <c r="I11" s="13" t="s">
        <v>1006</v>
      </c>
      <c r="J11" s="10" t="s">
        <v>1007</v>
      </c>
      <c r="K11" s="13" t="s">
        <v>1008</v>
      </c>
      <c r="L11" s="110" t="s">
        <v>1009</v>
      </c>
      <c r="M11" s="13" t="s">
        <v>455</v>
      </c>
      <c r="N11" s="13" t="s">
        <v>1010</v>
      </c>
      <c r="O11" s="879" t="s">
        <v>1011</v>
      </c>
    </row>
    <row r="12" spans="1:15" ht="60" x14ac:dyDescent="0.25">
      <c r="A12" s="1">
        <v>1</v>
      </c>
      <c r="B12" s="4" t="str">
        <f>'BID 1 b'!B5</f>
        <v>: Penyelenggaraan Pemerintahan Desa</v>
      </c>
      <c r="C12" s="1">
        <v>1</v>
      </c>
      <c r="D12" s="4" t="str">
        <f>'BID 1 b'!B7</f>
        <v>: Penyediaan Penghasilan tetap dan Tunjangan Perbekel</v>
      </c>
      <c r="E12" s="1" t="s">
        <v>2668</v>
      </c>
      <c r="F12" s="4" t="s">
        <v>1377</v>
      </c>
      <c r="G12" s="999">
        <v>1</v>
      </c>
      <c r="H12" s="4" t="s">
        <v>1012</v>
      </c>
      <c r="I12" s="1" t="s">
        <v>1378</v>
      </c>
      <c r="J12" s="1" t="s">
        <v>1379</v>
      </c>
      <c r="K12" s="1" t="s">
        <v>250</v>
      </c>
      <c r="L12" s="73">
        <f>'BID 1 b'!F20</f>
        <v>180740000</v>
      </c>
      <c r="M12" s="1" t="s">
        <v>1014</v>
      </c>
      <c r="N12" s="1" t="s">
        <v>1015</v>
      </c>
    </row>
    <row r="13" spans="1:15" ht="60" x14ac:dyDescent="0.25">
      <c r="A13" s="1"/>
      <c r="B13" s="1"/>
      <c r="C13" s="1">
        <v>2</v>
      </c>
      <c r="D13" s="4" t="str">
        <f>'BID 1 b'!B36</f>
        <v>: Penyediaan Penghasilan tetap dan Tunjangan Perangkat Desa</v>
      </c>
      <c r="E13" s="1" t="s">
        <v>2668</v>
      </c>
      <c r="F13" s="4" t="s">
        <v>2670</v>
      </c>
      <c r="G13" s="999">
        <v>1</v>
      </c>
      <c r="H13" s="4" t="s">
        <v>1012</v>
      </c>
      <c r="I13" s="1" t="s">
        <v>1378</v>
      </c>
      <c r="J13" s="1" t="s">
        <v>1380</v>
      </c>
      <c r="K13" s="1" t="s">
        <v>250</v>
      </c>
      <c r="L13" s="73">
        <f>'BID 1 b'!F63</f>
        <v>1049635167</v>
      </c>
      <c r="M13" s="1" t="s">
        <v>1014</v>
      </c>
      <c r="N13" s="1" t="s">
        <v>1015</v>
      </c>
    </row>
    <row r="14" spans="1:15" ht="60" x14ac:dyDescent="0.25">
      <c r="A14" s="1"/>
      <c r="B14" s="1"/>
      <c r="C14" s="1">
        <v>3</v>
      </c>
      <c r="D14" s="4" t="str">
        <f>'BID 1 b'!B79</f>
        <v>Penyediaan Jaminan Kesehatan dan Ketenaga Kerjaan Bagi Perbekel dan Perangkat Desa</v>
      </c>
      <c r="E14" s="1" t="s">
        <v>2668</v>
      </c>
      <c r="F14" s="4" t="s">
        <v>2671</v>
      </c>
      <c r="G14" s="999">
        <v>1</v>
      </c>
      <c r="H14" s="4" t="s">
        <v>1012</v>
      </c>
      <c r="I14" s="1" t="s">
        <v>1378</v>
      </c>
      <c r="J14" s="1" t="s">
        <v>1381</v>
      </c>
      <c r="K14" s="1" t="s">
        <v>250</v>
      </c>
      <c r="L14" s="73">
        <f>'BID 1 b'!F98</f>
        <v>77761313</v>
      </c>
      <c r="M14" s="1" t="s">
        <v>1014</v>
      </c>
      <c r="N14" s="1" t="s">
        <v>1015</v>
      </c>
    </row>
    <row r="15" spans="1:15" ht="60" x14ac:dyDescent="0.25">
      <c r="A15" s="1"/>
      <c r="B15" s="1"/>
      <c r="C15" s="1">
        <v>4</v>
      </c>
      <c r="D15" s="4" t="str">
        <f>'BID 1 b'!B113</f>
        <v>: Penyediaan Operasional Pemerintah Desa</v>
      </c>
      <c r="E15" s="1" t="s">
        <v>2668</v>
      </c>
      <c r="F15" s="4" t="s">
        <v>2672</v>
      </c>
      <c r="G15" s="999">
        <v>1</v>
      </c>
      <c r="H15" s="4" t="s">
        <v>1012</v>
      </c>
      <c r="I15" s="1" t="s">
        <v>2673</v>
      </c>
      <c r="J15" s="1" t="s">
        <v>2674</v>
      </c>
      <c r="K15" s="1" t="s">
        <v>250</v>
      </c>
      <c r="L15" s="73">
        <f>'BID 1 b'!F304</f>
        <v>712389600.84000003</v>
      </c>
      <c r="M15" s="1" t="s">
        <v>1014</v>
      </c>
      <c r="N15" s="1" t="s">
        <v>1015</v>
      </c>
    </row>
    <row r="16" spans="1:15" ht="60" x14ac:dyDescent="0.25">
      <c r="A16" s="1"/>
      <c r="B16" s="1"/>
      <c r="C16" s="1">
        <v>5</v>
      </c>
      <c r="D16" s="1" t="str">
        <f>'BID 1 b'!B348</f>
        <v>: Penyediaan tunjangan BPD</v>
      </c>
      <c r="E16" s="1" t="s">
        <v>2668</v>
      </c>
      <c r="F16" s="4" t="s">
        <v>2675</v>
      </c>
      <c r="G16" s="999">
        <v>1</v>
      </c>
      <c r="H16" s="4" t="s">
        <v>1012</v>
      </c>
      <c r="I16" s="1" t="s">
        <v>1378</v>
      </c>
      <c r="J16" s="1" t="s">
        <v>1382</v>
      </c>
      <c r="K16" s="1" t="s">
        <v>250</v>
      </c>
      <c r="L16" s="73">
        <f>'BID 1 b'!F374</f>
        <v>457800000</v>
      </c>
      <c r="M16" s="1" t="s">
        <v>1014</v>
      </c>
      <c r="N16" s="1" t="s">
        <v>1015</v>
      </c>
    </row>
    <row r="17" spans="1:15" ht="60" x14ac:dyDescent="0.25">
      <c r="A17" s="1"/>
      <c r="B17" s="1"/>
      <c r="C17" s="1">
        <v>6</v>
      </c>
      <c r="D17" s="1" t="str">
        <f>'BID 1 b'!B391</f>
        <v>: Penyediaan Operasional BPD</v>
      </c>
      <c r="E17" s="1" t="s">
        <v>2668</v>
      </c>
      <c r="F17" s="4" t="s">
        <v>2676</v>
      </c>
      <c r="G17" s="999">
        <v>1</v>
      </c>
      <c r="H17" s="4" t="s">
        <v>1012</v>
      </c>
      <c r="I17" s="1" t="s">
        <v>2673</v>
      </c>
      <c r="J17" s="1" t="s">
        <v>1382</v>
      </c>
      <c r="K17" s="1" t="s">
        <v>250</v>
      </c>
      <c r="L17" s="73">
        <f>'BID 1 b'!F418</f>
        <v>32282000</v>
      </c>
      <c r="M17" s="1" t="s">
        <v>1014</v>
      </c>
      <c r="N17" s="1" t="s">
        <v>1015</v>
      </c>
    </row>
    <row r="18" spans="1:15" ht="60" x14ac:dyDescent="0.25">
      <c r="A18" s="1"/>
      <c r="B18" s="1"/>
      <c r="C18" s="1">
        <v>7</v>
      </c>
      <c r="D18" s="4" t="str">
        <f>'BID 1 b'!B433</f>
        <v>: Penyediaan Operasional BPD (Musyawarah BPD)</v>
      </c>
      <c r="E18" s="1" t="s">
        <v>2668</v>
      </c>
      <c r="F18" s="4" t="s">
        <v>2677</v>
      </c>
      <c r="G18" s="999">
        <v>1</v>
      </c>
      <c r="H18" s="4" t="s">
        <v>1012</v>
      </c>
      <c r="I18" s="1" t="s">
        <v>2678</v>
      </c>
      <c r="J18" s="1" t="s">
        <v>2674</v>
      </c>
      <c r="K18" s="1" t="s">
        <v>250</v>
      </c>
      <c r="L18" s="73">
        <f>'BID 1 b'!F455</f>
        <v>16400000</v>
      </c>
      <c r="M18" s="1" t="s">
        <v>1014</v>
      </c>
      <c r="N18" s="1" t="s">
        <v>1015</v>
      </c>
    </row>
    <row r="19" spans="1:15" ht="60" x14ac:dyDescent="0.25">
      <c r="A19" s="1"/>
      <c r="B19" s="1"/>
      <c r="C19" s="1">
        <v>8</v>
      </c>
      <c r="D19" s="4" t="str">
        <f>'BID 1 b'!B470</f>
        <v>: Penyediaan Operasional BPD (Rapat FKAKD)</v>
      </c>
      <c r="E19" s="1" t="s">
        <v>2668</v>
      </c>
      <c r="F19" s="4" t="s">
        <v>2679</v>
      </c>
      <c r="G19" s="999">
        <v>1</v>
      </c>
      <c r="H19" s="4" t="s">
        <v>1012</v>
      </c>
      <c r="I19" s="1" t="s">
        <v>2680</v>
      </c>
      <c r="J19" s="1" t="s">
        <v>2674</v>
      </c>
      <c r="K19" s="1" t="s">
        <v>250</v>
      </c>
      <c r="L19" s="73">
        <f>'BID 1 b'!F492</f>
        <v>8685000</v>
      </c>
      <c r="M19" s="1" t="s">
        <v>1014</v>
      </c>
      <c r="N19" s="1" t="s">
        <v>1015</v>
      </c>
    </row>
    <row r="20" spans="1:15" ht="60" x14ac:dyDescent="0.25">
      <c r="A20" s="1"/>
      <c r="B20" s="1"/>
      <c r="C20" s="1">
        <v>9</v>
      </c>
      <c r="D20" s="4" t="str">
        <f>'BID 1 b'!B508</f>
        <v xml:space="preserve">: Penyediaan Penghasilan Staf Desa </v>
      </c>
      <c r="E20" s="1" t="s">
        <v>2668</v>
      </c>
      <c r="F20" s="4" t="s">
        <v>2670</v>
      </c>
      <c r="G20" s="999">
        <v>1</v>
      </c>
      <c r="H20" s="4" t="s">
        <v>1012</v>
      </c>
      <c r="I20" s="1" t="s">
        <v>1378</v>
      </c>
      <c r="J20" s="1" t="s">
        <v>1380</v>
      </c>
      <c r="K20" s="1" t="s">
        <v>250</v>
      </c>
      <c r="L20" s="73">
        <f>'BID 1 b'!F526</f>
        <v>579582544.31999993</v>
      </c>
      <c r="M20" s="1" t="s">
        <v>1014</v>
      </c>
      <c r="N20" s="1" t="s">
        <v>1015</v>
      </c>
    </row>
    <row r="21" spans="1:15" ht="60" x14ac:dyDescent="0.25">
      <c r="A21" s="1"/>
      <c r="B21" s="1"/>
      <c r="C21" s="1">
        <v>10</v>
      </c>
      <c r="D21" s="4" t="str">
        <f>'BID 1 b'!B541</f>
        <v>Penjaringan dan Penyaringan Perangkat Desa/Staf</v>
      </c>
      <c r="E21" s="1" t="s">
        <v>2668</v>
      </c>
      <c r="F21" s="4" t="s">
        <v>2681</v>
      </c>
      <c r="G21" s="999">
        <v>1</v>
      </c>
      <c r="H21" s="4" t="s">
        <v>1012</v>
      </c>
      <c r="I21" s="1" t="s">
        <v>2682</v>
      </c>
      <c r="J21" s="1" t="s">
        <v>2674</v>
      </c>
      <c r="K21" s="1" t="s">
        <v>2683</v>
      </c>
      <c r="L21" s="73">
        <f>'BID 1 b'!F567</f>
        <v>17455000</v>
      </c>
      <c r="M21" s="1" t="s">
        <v>1014</v>
      </c>
      <c r="N21" s="1" t="s">
        <v>1015</v>
      </c>
    </row>
    <row r="22" spans="1:15" ht="60" x14ac:dyDescent="0.25">
      <c r="A22" s="1"/>
      <c r="B22" s="1"/>
      <c r="C22" s="1">
        <v>11</v>
      </c>
      <c r="D22" s="4" t="str">
        <f>'BID 1 b'!B583</f>
        <v>Penyedian Jaminan Keshatan dan ketenagakerjaan BPD</v>
      </c>
      <c r="E22" s="1" t="s">
        <v>2668</v>
      </c>
      <c r="F22" s="4" t="s">
        <v>2675</v>
      </c>
      <c r="G22" s="999">
        <v>1</v>
      </c>
      <c r="H22" s="4" t="s">
        <v>1012</v>
      </c>
      <c r="I22" s="1" t="s">
        <v>1378</v>
      </c>
      <c r="J22" s="1" t="s">
        <v>1382</v>
      </c>
      <c r="K22" s="1" t="s">
        <v>250</v>
      </c>
      <c r="L22" s="73">
        <f>'BID 1 b'!F601</f>
        <v>40757410.799999997</v>
      </c>
      <c r="M22" s="1" t="s">
        <v>1014</v>
      </c>
      <c r="N22" s="1" t="s">
        <v>1015</v>
      </c>
    </row>
    <row r="23" spans="1:15" ht="60" x14ac:dyDescent="0.25">
      <c r="A23" s="1"/>
      <c r="B23" s="1"/>
      <c r="C23" s="1">
        <v>12</v>
      </c>
      <c r="D23" s="4" t="str">
        <f>'BID 1 b'!B617</f>
        <v>Penyedian Jaminan Keshatan dan ketenagakerjaan Staf Desa</v>
      </c>
      <c r="E23" s="1" t="s">
        <v>2668</v>
      </c>
      <c r="F23" s="4" t="s">
        <v>2670</v>
      </c>
      <c r="G23" s="999">
        <v>1</v>
      </c>
      <c r="H23" s="4" t="s">
        <v>1012</v>
      </c>
      <c r="I23" s="1" t="s">
        <v>1378</v>
      </c>
      <c r="J23" s="1" t="s">
        <v>1380</v>
      </c>
      <c r="K23" s="1" t="s">
        <v>250</v>
      </c>
      <c r="L23" s="73">
        <f>'BID 1 b'!F639</f>
        <v>28601009.999999996</v>
      </c>
      <c r="M23" s="1" t="s">
        <v>1014</v>
      </c>
      <c r="N23" s="1" t="s">
        <v>1015</v>
      </c>
    </row>
    <row r="24" spans="1:15" ht="60" x14ac:dyDescent="0.25">
      <c r="A24" s="1"/>
      <c r="B24" s="1"/>
      <c r="C24" s="1">
        <v>13</v>
      </c>
      <c r="D24" s="4" t="str">
        <f>'BID 1 b'!B655</f>
        <v>Penyedian Jaminan Ketenagakerjaan Ekosistem Desa</v>
      </c>
      <c r="E24" s="1" t="s">
        <v>2668</v>
      </c>
      <c r="F24" s="4" t="s">
        <v>2684</v>
      </c>
      <c r="G24" s="999">
        <v>1</v>
      </c>
      <c r="H24" s="4" t="s">
        <v>1012</v>
      </c>
      <c r="I24" s="1" t="s">
        <v>1378</v>
      </c>
      <c r="J24" s="1" t="s">
        <v>2685</v>
      </c>
      <c r="K24" s="1" t="s">
        <v>250</v>
      </c>
      <c r="L24" s="73">
        <f>'BID 1 b'!F676</f>
        <v>53215772.040000007</v>
      </c>
      <c r="M24" s="1" t="s">
        <v>1014</v>
      </c>
      <c r="N24" s="1" t="s">
        <v>1015</v>
      </c>
    </row>
    <row r="25" spans="1:15" ht="60" x14ac:dyDescent="0.25">
      <c r="A25" s="1"/>
      <c r="B25" s="1"/>
      <c r="C25" s="1">
        <v>14</v>
      </c>
      <c r="D25" s="4" t="str">
        <f>'BID 1 b'!B691</f>
        <v>: Penyediaan Kegiatan Sosial Desa</v>
      </c>
      <c r="E25" s="1" t="s">
        <v>2668</v>
      </c>
      <c r="F25" s="4" t="s">
        <v>2688</v>
      </c>
      <c r="G25" s="999">
        <v>1</v>
      </c>
      <c r="H25" s="4" t="s">
        <v>1012</v>
      </c>
      <c r="I25" s="1" t="s">
        <v>250</v>
      </c>
      <c r="J25" s="1" t="s">
        <v>2674</v>
      </c>
      <c r="K25" s="1" t="s">
        <v>250</v>
      </c>
      <c r="L25" s="73">
        <f>'BID 1 b'!F708</f>
        <v>39032000</v>
      </c>
      <c r="M25" s="1" t="s">
        <v>1014</v>
      </c>
      <c r="N25" s="1" t="s">
        <v>1015</v>
      </c>
    </row>
    <row r="26" spans="1:15" ht="75" x14ac:dyDescent="0.25">
      <c r="A26" s="1"/>
      <c r="B26" s="1"/>
      <c r="C26" s="1">
        <v>15</v>
      </c>
      <c r="D26" s="4" t="str">
        <f>'BID 1 b'!B722</f>
        <v>: Penyelenggaraan Belanja Penghasilan Tetap, Tunjangan dan Operasional Pemerintah Desa ( Maksimal 30% )</v>
      </c>
      <c r="E26" s="1" t="s">
        <v>2668</v>
      </c>
      <c r="F26" s="4" t="s">
        <v>2689</v>
      </c>
      <c r="G26" s="999">
        <v>1</v>
      </c>
      <c r="H26" s="4" t="s">
        <v>1012</v>
      </c>
      <c r="I26" s="1" t="s">
        <v>250</v>
      </c>
      <c r="J26" s="1" t="s">
        <v>2674</v>
      </c>
      <c r="K26" s="1" t="s">
        <v>250</v>
      </c>
      <c r="L26" s="73">
        <f>'BID 1 b'!F735</f>
        <v>0</v>
      </c>
      <c r="M26" s="1" t="s">
        <v>1014</v>
      </c>
      <c r="N26" s="1" t="s">
        <v>1015</v>
      </c>
    </row>
    <row r="27" spans="1:15" ht="60" x14ac:dyDescent="0.25">
      <c r="A27" s="1"/>
      <c r="B27" s="1"/>
      <c r="C27" s="1">
        <v>16</v>
      </c>
      <c r="D27" s="4" t="str">
        <f>'BID 1 b'!B752</f>
        <v>: Tambahan  Penghasilan Perbekel dari BKK</v>
      </c>
      <c r="E27" s="1" t="s">
        <v>2668</v>
      </c>
      <c r="F27" s="4" t="s">
        <v>2690</v>
      </c>
      <c r="G27" s="999">
        <v>1</v>
      </c>
      <c r="H27" s="4" t="s">
        <v>1012</v>
      </c>
      <c r="I27" s="1" t="s">
        <v>250</v>
      </c>
      <c r="J27" s="1" t="s">
        <v>1379</v>
      </c>
      <c r="K27" s="1" t="s">
        <v>250</v>
      </c>
      <c r="L27" s="73">
        <f>'BID 1 b'!F763</f>
        <v>18000000</v>
      </c>
      <c r="M27" s="1" t="s">
        <v>1014</v>
      </c>
      <c r="N27" s="1" t="s">
        <v>1015</v>
      </c>
    </row>
    <row r="28" spans="1:15" ht="60" x14ac:dyDescent="0.25">
      <c r="A28" s="1"/>
      <c r="B28" s="1"/>
      <c r="C28" s="1">
        <v>17</v>
      </c>
      <c r="D28" s="4" t="str">
        <f>'BID 1 b'!B779</f>
        <v>: Tambahan  Penghasilan Perangkat Desa dari BKK</v>
      </c>
      <c r="E28" s="1" t="s">
        <v>2668</v>
      </c>
      <c r="F28" s="4" t="s">
        <v>2690</v>
      </c>
      <c r="G28" s="999">
        <v>1</v>
      </c>
      <c r="H28" s="4" t="s">
        <v>1012</v>
      </c>
      <c r="I28" s="1" t="s">
        <v>250</v>
      </c>
      <c r="J28" s="1" t="s">
        <v>1380</v>
      </c>
      <c r="K28" s="1" t="s">
        <v>250</v>
      </c>
      <c r="L28" s="73">
        <f>'BID 1 b'!F795</f>
        <v>56400000</v>
      </c>
      <c r="M28" s="1" t="s">
        <v>1014</v>
      </c>
      <c r="N28" s="1" t="s">
        <v>1015</v>
      </c>
      <c r="O28">
        <f>7+8</f>
        <v>15</v>
      </c>
    </row>
    <row r="29" spans="1:15" ht="60" x14ac:dyDescent="0.25">
      <c r="A29" s="1"/>
      <c r="B29" s="1"/>
      <c r="C29" s="1">
        <v>18</v>
      </c>
      <c r="D29" s="4" t="str">
        <f>'BID 1 b'!B811</f>
        <v>: Penyediaan Aset Tetap (Prasarana Kantor Desa)</v>
      </c>
      <c r="E29" s="1" t="s">
        <v>2668</v>
      </c>
      <c r="F29" s="4" t="s">
        <v>2691</v>
      </c>
      <c r="G29" s="999">
        <v>1</v>
      </c>
      <c r="H29" s="4" t="s">
        <v>1012</v>
      </c>
      <c r="I29" s="1" t="s">
        <v>250</v>
      </c>
      <c r="J29" s="1" t="s">
        <v>2674</v>
      </c>
      <c r="K29" s="1" t="s">
        <v>250</v>
      </c>
      <c r="L29" s="73">
        <f>'BID 1 b'!F848</f>
        <v>3243107999</v>
      </c>
      <c r="M29" s="1" t="s">
        <v>1014</v>
      </c>
      <c r="N29" s="1" t="s">
        <v>1015</v>
      </c>
    </row>
    <row r="30" spans="1:15" ht="56.25" customHeight="1" x14ac:dyDescent="0.25">
      <c r="A30" s="1"/>
      <c r="B30" s="1"/>
      <c r="C30" s="1">
        <v>19</v>
      </c>
      <c r="D30" s="4" t="e">
        <f>'BID 1 b'!#REF!</f>
        <v>#REF!</v>
      </c>
      <c r="E30" s="1" t="s">
        <v>2668</v>
      </c>
      <c r="F30" s="4" t="s">
        <v>3020</v>
      </c>
      <c r="G30" s="999">
        <v>1</v>
      </c>
      <c r="H30" s="4" t="s">
        <v>1012</v>
      </c>
      <c r="I30" s="1" t="s">
        <v>3022</v>
      </c>
      <c r="J30" s="1" t="s">
        <v>2674</v>
      </c>
      <c r="K30" s="1" t="s">
        <v>250</v>
      </c>
      <c r="L30" s="73" t="e">
        <f>'BID 1 b'!#REF!</f>
        <v>#REF!</v>
      </c>
      <c r="M30" s="1"/>
      <c r="N30" s="1"/>
    </row>
    <row r="31" spans="1:15" ht="60" x14ac:dyDescent="0.25">
      <c r="A31" s="1"/>
      <c r="B31" s="1"/>
      <c r="C31" s="1">
        <v>20</v>
      </c>
      <c r="D31" s="4" t="e">
        <f>'BID 1 b'!#REF!</f>
        <v>#REF!</v>
      </c>
      <c r="E31" s="1" t="s">
        <v>2668</v>
      </c>
      <c r="F31" s="4" t="s">
        <v>3020</v>
      </c>
      <c r="G31" s="999">
        <v>1</v>
      </c>
      <c r="H31" s="4" t="s">
        <v>1012</v>
      </c>
      <c r="I31" s="1" t="s">
        <v>3023</v>
      </c>
      <c r="J31" s="1" t="s">
        <v>2674</v>
      </c>
      <c r="K31" s="1" t="s">
        <v>250</v>
      </c>
      <c r="L31" s="73" t="e">
        <f>'BID 1 b'!#REF!</f>
        <v>#REF!</v>
      </c>
      <c r="M31" s="1"/>
      <c r="N31" s="1"/>
    </row>
    <row r="32" spans="1:15" ht="60" x14ac:dyDescent="0.25">
      <c r="A32" s="1"/>
      <c r="B32" s="1"/>
      <c r="C32" s="1">
        <v>21</v>
      </c>
      <c r="D32" s="4" t="e">
        <f>'BID 1 b'!#REF!</f>
        <v>#REF!</v>
      </c>
      <c r="E32" s="1" t="s">
        <v>2668</v>
      </c>
      <c r="F32" s="4" t="s">
        <v>3020</v>
      </c>
      <c r="G32" s="999">
        <v>1</v>
      </c>
      <c r="H32" s="4" t="s">
        <v>1012</v>
      </c>
      <c r="I32" s="1" t="s">
        <v>3024</v>
      </c>
      <c r="J32" s="1" t="s">
        <v>2674</v>
      </c>
      <c r="K32" s="1" t="s">
        <v>250</v>
      </c>
      <c r="L32" s="73" t="e">
        <f>'BID 1 b'!#REF!</f>
        <v>#REF!</v>
      </c>
      <c r="M32" s="1"/>
      <c r="N32" s="1"/>
    </row>
    <row r="33" spans="1:14" ht="60" x14ac:dyDescent="0.25">
      <c r="A33" s="1"/>
      <c r="B33" s="1"/>
      <c r="C33" s="1">
        <v>22</v>
      </c>
      <c r="D33" s="4" t="e">
        <f>'BID 1 b'!#REF!</f>
        <v>#REF!</v>
      </c>
      <c r="E33" s="1" t="s">
        <v>2668</v>
      </c>
      <c r="F33" s="4" t="s">
        <v>3020</v>
      </c>
      <c r="G33" s="999">
        <v>1</v>
      </c>
      <c r="H33" s="4" t="s">
        <v>1012</v>
      </c>
      <c r="I33" s="1" t="s">
        <v>3025</v>
      </c>
      <c r="J33" s="1" t="s">
        <v>2674</v>
      </c>
      <c r="K33" s="1" t="s">
        <v>250</v>
      </c>
      <c r="L33" s="73" t="e">
        <f>'BID 1 b'!#REF!</f>
        <v>#REF!</v>
      </c>
      <c r="M33" s="1"/>
      <c r="N33" s="1"/>
    </row>
    <row r="34" spans="1:14" ht="60" x14ac:dyDescent="0.25">
      <c r="A34" s="1"/>
      <c r="B34" s="1"/>
      <c r="C34" s="1">
        <v>23</v>
      </c>
      <c r="D34" s="4" t="str">
        <f>'BID 1 b'!B911</f>
        <v>Pemeliharaan Gedung/Prasarana Kantor Desa (Ruang Pelayanan Umum)</v>
      </c>
      <c r="E34" s="1" t="s">
        <v>2668</v>
      </c>
      <c r="F34" s="4" t="s">
        <v>3020</v>
      </c>
      <c r="G34" s="999">
        <v>1</v>
      </c>
      <c r="H34" s="4" t="s">
        <v>1012</v>
      </c>
      <c r="I34" s="1" t="s">
        <v>3026</v>
      </c>
      <c r="J34" s="1" t="s">
        <v>2674</v>
      </c>
      <c r="K34" s="1" t="s">
        <v>250</v>
      </c>
      <c r="L34" s="73">
        <f>'BID 1 b'!F934</f>
        <v>4305420</v>
      </c>
      <c r="M34" s="1"/>
      <c r="N34" s="1"/>
    </row>
    <row r="35" spans="1:14" ht="60" x14ac:dyDescent="0.25">
      <c r="A35" s="1"/>
      <c r="B35" s="1"/>
      <c r="C35" s="1">
        <v>24</v>
      </c>
      <c r="D35" s="4" t="e">
        <f>'BID 1 b'!#REF!</f>
        <v>#REF!</v>
      </c>
      <c r="E35" s="1" t="s">
        <v>2668</v>
      </c>
      <c r="F35" s="4" t="s">
        <v>3020</v>
      </c>
      <c r="G35" s="999">
        <v>1</v>
      </c>
      <c r="H35" s="4" t="s">
        <v>1012</v>
      </c>
      <c r="I35" s="1" t="s">
        <v>3027</v>
      </c>
      <c r="J35" s="1" t="s">
        <v>2674</v>
      </c>
      <c r="K35" s="1" t="s">
        <v>250</v>
      </c>
      <c r="L35" s="73" t="e">
        <f>'BID 1 b'!#REF!</f>
        <v>#REF!</v>
      </c>
      <c r="M35" s="1"/>
      <c r="N35" s="1"/>
    </row>
    <row r="36" spans="1:14" ht="60" x14ac:dyDescent="0.25">
      <c r="A36" s="1"/>
      <c r="B36" s="1"/>
      <c r="C36" s="1">
        <v>25</v>
      </c>
      <c r="D36" s="4" t="e">
        <f>'BID 1 b'!#REF!</f>
        <v>#REF!</v>
      </c>
      <c r="E36" s="1" t="s">
        <v>2668</v>
      </c>
      <c r="F36" s="4" t="s">
        <v>3020</v>
      </c>
      <c r="G36" s="999">
        <v>1</v>
      </c>
      <c r="H36" s="4" t="s">
        <v>1012</v>
      </c>
      <c r="I36" s="1" t="s">
        <v>3028</v>
      </c>
      <c r="J36" s="1" t="s">
        <v>2674</v>
      </c>
      <c r="K36" s="1" t="s">
        <v>250</v>
      </c>
      <c r="L36" s="73" t="e">
        <f>'BID 1 b'!#REF!</f>
        <v>#REF!</v>
      </c>
      <c r="M36" s="1"/>
      <c r="N36" s="1"/>
    </row>
    <row r="37" spans="1:14" ht="60" x14ac:dyDescent="0.25">
      <c r="A37" s="1"/>
      <c r="B37" s="1"/>
      <c r="C37" s="1">
        <v>26</v>
      </c>
      <c r="D37" s="4" t="e">
        <f>'BID 1 b'!#REF!</f>
        <v>#REF!</v>
      </c>
      <c r="E37" s="1" t="s">
        <v>2668</v>
      </c>
      <c r="F37" s="4" t="s">
        <v>3020</v>
      </c>
      <c r="G37" s="999">
        <v>1</v>
      </c>
      <c r="H37" s="4" t="s">
        <v>1012</v>
      </c>
      <c r="I37" s="1" t="s">
        <v>3029</v>
      </c>
      <c r="J37" s="1" t="s">
        <v>2674</v>
      </c>
      <c r="K37" s="1" t="s">
        <v>250</v>
      </c>
      <c r="L37" s="73" t="e">
        <f>'BID 1 b'!#REF!</f>
        <v>#REF!</v>
      </c>
      <c r="M37" s="1"/>
      <c r="N37" s="1"/>
    </row>
    <row r="38" spans="1:14" ht="60" x14ac:dyDescent="0.25">
      <c r="A38" s="1"/>
      <c r="B38" s="1"/>
      <c r="C38" s="1">
        <v>27</v>
      </c>
      <c r="D38" s="4" t="e">
        <f>'BID 1 b'!#REF!</f>
        <v>#REF!</v>
      </c>
      <c r="E38" s="1" t="s">
        <v>2668</v>
      </c>
      <c r="F38" s="4" t="s">
        <v>3020</v>
      </c>
      <c r="G38" s="999">
        <v>1</v>
      </c>
      <c r="H38" s="4" t="s">
        <v>1012</v>
      </c>
      <c r="I38" s="1" t="s">
        <v>3030</v>
      </c>
      <c r="J38" s="1" t="s">
        <v>2674</v>
      </c>
      <c r="K38" s="1" t="s">
        <v>250</v>
      </c>
      <c r="L38" s="73" t="e">
        <f>'BID 1 b'!#REF!</f>
        <v>#REF!</v>
      </c>
      <c r="M38" s="1"/>
      <c r="N38" s="1"/>
    </row>
    <row r="39" spans="1:14" ht="60" x14ac:dyDescent="0.25">
      <c r="A39" s="1"/>
      <c r="B39" s="1"/>
      <c r="C39" s="1">
        <v>28</v>
      </c>
      <c r="D39" s="4" t="e">
        <f>'BID 1 b'!#REF!</f>
        <v>#REF!</v>
      </c>
      <c r="E39" s="1" t="s">
        <v>2668</v>
      </c>
      <c r="F39" s="4" t="s">
        <v>3021</v>
      </c>
      <c r="G39" s="999">
        <v>1</v>
      </c>
      <c r="H39" s="4" t="s">
        <v>1012</v>
      </c>
      <c r="I39" s="1" t="s">
        <v>3031</v>
      </c>
      <c r="J39" s="1" t="s">
        <v>2674</v>
      </c>
      <c r="K39" s="1" t="s">
        <v>250</v>
      </c>
      <c r="L39" s="73" t="e">
        <f>'BID 1 b'!#REF!</f>
        <v>#REF!</v>
      </c>
      <c r="M39" s="1"/>
      <c r="N39" s="1"/>
    </row>
    <row r="40" spans="1:14" ht="60" x14ac:dyDescent="0.25">
      <c r="A40" s="1"/>
      <c r="B40" s="1"/>
      <c r="C40" s="1">
        <v>29</v>
      </c>
      <c r="D40" s="4" t="e">
        <f>'BID 1 b'!#REF!</f>
        <v>#REF!</v>
      </c>
      <c r="E40" s="1" t="s">
        <v>2668</v>
      </c>
      <c r="F40" s="4" t="s">
        <v>3021</v>
      </c>
      <c r="G40" s="999">
        <v>1</v>
      </c>
      <c r="H40" s="4" t="s">
        <v>1012</v>
      </c>
      <c r="I40" s="1" t="s">
        <v>3032</v>
      </c>
      <c r="J40" s="1" t="s">
        <v>2674</v>
      </c>
      <c r="K40" s="1" t="s">
        <v>250</v>
      </c>
      <c r="L40" s="73" t="e">
        <f>'BID 1 b'!#REF!</f>
        <v>#REF!</v>
      </c>
      <c r="M40" s="1"/>
      <c r="N40" s="1"/>
    </row>
    <row r="41" spans="1:14" ht="60" x14ac:dyDescent="0.25">
      <c r="A41" s="1"/>
      <c r="B41" s="1"/>
      <c r="C41" s="1">
        <v>30</v>
      </c>
      <c r="D41" s="4" t="e">
        <f>'BID 1 b'!#REF!</f>
        <v>#REF!</v>
      </c>
      <c r="E41" s="1" t="s">
        <v>2668</v>
      </c>
      <c r="F41" s="4" t="s">
        <v>3021</v>
      </c>
      <c r="G41" s="999">
        <v>1</v>
      </c>
      <c r="H41" s="4" t="s">
        <v>1012</v>
      </c>
      <c r="I41" s="1" t="s">
        <v>3032</v>
      </c>
      <c r="J41" s="1" t="s">
        <v>2674</v>
      </c>
      <c r="K41" s="1" t="s">
        <v>250</v>
      </c>
      <c r="L41" s="73" t="e">
        <f>'BID 1 b'!#REF!</f>
        <v>#REF!</v>
      </c>
      <c r="M41" s="1"/>
      <c r="N41" s="1"/>
    </row>
    <row r="42" spans="1:14" ht="75" x14ac:dyDescent="0.25">
      <c r="A42" s="1"/>
      <c r="B42" s="1"/>
      <c r="C42" s="1">
        <v>31</v>
      </c>
      <c r="D42" s="4" t="str">
        <f>'BID 1 b'!B1080</f>
        <v>Pemeliharaan/ Rehabilitasi/ Peningkatan Gedung/ Prasarana Kantor Desa (Penataan Kebun dan Vertical Garden)</v>
      </c>
      <c r="E42" s="1" t="s">
        <v>2668</v>
      </c>
      <c r="F42" s="4" t="s">
        <v>2692</v>
      </c>
      <c r="G42" s="999">
        <v>1</v>
      </c>
      <c r="H42" s="4" t="s">
        <v>1012</v>
      </c>
      <c r="I42" s="1" t="s">
        <v>2682</v>
      </c>
      <c r="J42" s="1" t="s">
        <v>2674</v>
      </c>
      <c r="K42" s="1" t="s">
        <v>2693</v>
      </c>
      <c r="L42" s="73">
        <f>'BID 1 b'!F1102</f>
        <v>8177600</v>
      </c>
      <c r="M42" s="1" t="s">
        <v>1014</v>
      </c>
      <c r="N42" s="1" t="s">
        <v>1015</v>
      </c>
    </row>
    <row r="43" spans="1:14" ht="75" x14ac:dyDescent="0.25">
      <c r="A43" s="1"/>
      <c r="B43" s="1"/>
      <c r="C43" s="1">
        <v>32</v>
      </c>
      <c r="D43" s="4" t="str">
        <f>'BID 1 b'!B1116</f>
        <v>Perencanaan Pembangunan Geduk/Prasarana Kantor Desa (Perencanaan/ Penggkajian Pembangunan Desa Wisata)</v>
      </c>
      <c r="E43" s="1" t="s">
        <v>2694</v>
      </c>
      <c r="F43" s="4" t="s">
        <v>2695</v>
      </c>
      <c r="G43" s="999">
        <v>1</v>
      </c>
      <c r="H43" s="4" t="s">
        <v>1012</v>
      </c>
      <c r="I43" s="1" t="s">
        <v>2682</v>
      </c>
      <c r="J43" s="1" t="s">
        <v>2674</v>
      </c>
      <c r="K43" s="1" t="s">
        <v>2693</v>
      </c>
      <c r="L43" s="73">
        <f>'BID 1 b'!F1135</f>
        <v>50750000</v>
      </c>
      <c r="M43" s="1" t="s">
        <v>1014</v>
      </c>
      <c r="N43" s="1" t="s">
        <v>1015</v>
      </c>
    </row>
    <row r="44" spans="1:14" ht="60" x14ac:dyDescent="0.25">
      <c r="A44" s="1"/>
      <c r="B44" s="1"/>
      <c r="C44" s="1">
        <v>33</v>
      </c>
      <c r="D44" s="4" t="str">
        <f>'BID 1 b'!B1150</f>
        <v>: Penyusunan/ Pendataan/PemuktahiranSDGS</v>
      </c>
      <c r="E44" s="1" t="s">
        <v>2668</v>
      </c>
      <c r="F44" s="4" t="s">
        <v>2696</v>
      </c>
      <c r="G44" s="999">
        <v>1</v>
      </c>
      <c r="H44" s="4" t="s">
        <v>1012</v>
      </c>
      <c r="I44" s="1" t="s">
        <v>2682</v>
      </c>
      <c r="J44" s="1" t="s">
        <v>2674</v>
      </c>
      <c r="K44" s="1" t="s">
        <v>2693</v>
      </c>
      <c r="L44" s="73">
        <f>'BID 1 b'!F1165</f>
        <v>5800000</v>
      </c>
      <c r="M44" s="1" t="s">
        <v>1014</v>
      </c>
      <c r="N44" s="1" t="s">
        <v>1015</v>
      </c>
    </row>
    <row r="45" spans="1:14" ht="60" x14ac:dyDescent="0.25">
      <c r="A45" s="1"/>
      <c r="B45" s="1"/>
      <c r="C45" s="1">
        <v>34</v>
      </c>
      <c r="D45" s="4" t="str">
        <f>'BID 1 b'!B1182</f>
        <v>: Penyusunan/ Pendataan/Pemuktahiran Profil Desa (Indek Desa)</v>
      </c>
      <c r="E45" s="1" t="s">
        <v>2668</v>
      </c>
      <c r="F45" s="4" t="s">
        <v>2697</v>
      </c>
      <c r="G45" s="999">
        <v>1</v>
      </c>
      <c r="H45" s="4" t="s">
        <v>1012</v>
      </c>
      <c r="I45" s="1" t="s">
        <v>2682</v>
      </c>
      <c r="J45" s="1" t="s">
        <v>2674</v>
      </c>
      <c r="K45" s="1" t="s">
        <v>2693</v>
      </c>
      <c r="L45" s="73">
        <f>'BID 1 b'!F1197</f>
        <v>1900000</v>
      </c>
      <c r="M45" s="1" t="s">
        <v>1014</v>
      </c>
      <c r="N45" s="1" t="s">
        <v>1015</v>
      </c>
    </row>
    <row r="46" spans="1:14" ht="60" x14ac:dyDescent="0.25">
      <c r="A46" s="1"/>
      <c r="B46" s="1"/>
      <c r="C46" s="1">
        <v>35</v>
      </c>
      <c r="D46" s="4" t="str">
        <f>'BID 1 b'!B1212</f>
        <v>: Pengelolaan Administrasi dan Kearsipan pemerintahan Desa ( Pelatihan Kearsipan )</v>
      </c>
      <c r="E46" s="1" t="s">
        <v>2668</v>
      </c>
      <c r="F46" s="4" t="s">
        <v>2698</v>
      </c>
      <c r="G46" s="999">
        <v>1</v>
      </c>
      <c r="H46" s="4" t="s">
        <v>1012</v>
      </c>
      <c r="I46" s="1" t="s">
        <v>2682</v>
      </c>
      <c r="J46" s="1" t="s">
        <v>2674</v>
      </c>
      <c r="K46" s="1" t="s">
        <v>2683</v>
      </c>
      <c r="L46" s="73">
        <f>'BID 1 b'!F1234</f>
        <v>2550000</v>
      </c>
      <c r="M46" s="1" t="s">
        <v>1014</v>
      </c>
      <c r="N46" s="1" t="s">
        <v>1015</v>
      </c>
    </row>
    <row r="47" spans="1:14" ht="75" x14ac:dyDescent="0.25">
      <c r="A47" s="1"/>
      <c r="B47" s="1"/>
      <c r="C47" s="1">
        <v>36</v>
      </c>
      <c r="D47" s="4" t="str">
        <f>'BID 1 b'!B1251</f>
        <v>: Pendataan Administrasi Penduduk Non Permanen (Penertiban Penduduk Pendatang dan Sidak Dialogis)</v>
      </c>
      <c r="E47" s="1" t="s">
        <v>1643</v>
      </c>
      <c r="F47" s="4" t="s">
        <v>2699</v>
      </c>
      <c r="G47" s="999">
        <v>1</v>
      </c>
      <c r="H47" s="4" t="s">
        <v>1012</v>
      </c>
      <c r="I47" s="1" t="s">
        <v>2700</v>
      </c>
      <c r="J47" s="1" t="s">
        <v>2674</v>
      </c>
      <c r="K47" s="1" t="s">
        <v>2673</v>
      </c>
      <c r="L47" s="73">
        <f>'BID 1 b'!F1273</f>
        <v>40260000</v>
      </c>
      <c r="M47" s="1" t="s">
        <v>1014</v>
      </c>
      <c r="N47" s="1" t="s">
        <v>1015</v>
      </c>
    </row>
    <row r="48" spans="1:14" ht="60" x14ac:dyDescent="0.25">
      <c r="A48" s="1"/>
      <c r="B48" s="1"/>
      <c r="C48" s="1">
        <v>37</v>
      </c>
      <c r="D48" s="4" t="str">
        <f>'BID 1 b'!B1290</f>
        <v>Penyelenggaraan Musyawarah Desa/ Pembahasan APBDes (Musrenbangdes)</v>
      </c>
      <c r="E48" s="1" t="s">
        <v>1643</v>
      </c>
      <c r="F48" s="4" t="s">
        <v>2701</v>
      </c>
      <c r="G48" s="999">
        <v>1</v>
      </c>
      <c r="H48" s="4" t="s">
        <v>1012</v>
      </c>
      <c r="I48" s="1" t="s">
        <v>2700</v>
      </c>
      <c r="J48" s="1" t="s">
        <v>2674</v>
      </c>
      <c r="K48" s="1" t="s">
        <v>2673</v>
      </c>
      <c r="L48" s="73">
        <f>'BID 1 b'!F1317</f>
        <v>35400000</v>
      </c>
      <c r="M48" s="1" t="s">
        <v>1014</v>
      </c>
      <c r="N48" s="1" t="s">
        <v>1015</v>
      </c>
    </row>
    <row r="49" spans="1:14" ht="105" x14ac:dyDescent="0.25">
      <c r="A49" s="1"/>
      <c r="B49" s="1"/>
      <c r="C49" s="1">
        <v>38</v>
      </c>
      <c r="D49" s="4" t="str">
        <f>'BID 1 b'!B1333</f>
        <v>Penyelenggaraan Musyawarah Desa/ Pembahasan APBDes (Musdes, Musrenbangdes/pra musrenbangdes, dll yang bersifat reguler )</v>
      </c>
      <c r="E49" s="1" t="s">
        <v>1643</v>
      </c>
      <c r="F49" s="4" t="s">
        <v>2702</v>
      </c>
      <c r="G49" s="999">
        <v>1</v>
      </c>
      <c r="H49" s="4" t="s">
        <v>1012</v>
      </c>
      <c r="I49" s="1" t="s">
        <v>2680</v>
      </c>
      <c r="J49" s="1" t="s">
        <v>2674</v>
      </c>
      <c r="K49" s="1" t="s">
        <v>2673</v>
      </c>
      <c r="L49" s="73">
        <f>'BID 1 b'!F1359</f>
        <v>33176000</v>
      </c>
      <c r="M49" s="1" t="s">
        <v>1014</v>
      </c>
      <c r="N49" s="1" t="s">
        <v>1015</v>
      </c>
    </row>
    <row r="50" spans="1:14" ht="60" x14ac:dyDescent="0.25">
      <c r="A50" s="1"/>
      <c r="B50" s="1"/>
      <c r="C50" s="1">
        <v>39</v>
      </c>
      <c r="D50" s="4" t="str">
        <f>'BID 1 b'!B1376</f>
        <v>: Penyelenggaraan Musyawarah Desa lainya (yang bersifat non reguler )</v>
      </c>
      <c r="E50" s="1" t="s">
        <v>1643</v>
      </c>
      <c r="F50" s="4" t="s">
        <v>2704</v>
      </c>
      <c r="G50" s="999">
        <v>1</v>
      </c>
      <c r="H50" s="4" t="s">
        <v>1012</v>
      </c>
      <c r="I50" s="1" t="s">
        <v>2680</v>
      </c>
      <c r="J50" s="1" t="s">
        <v>2674</v>
      </c>
      <c r="K50" s="1" t="s">
        <v>2673</v>
      </c>
      <c r="L50" s="73">
        <f>'BID 1 b'!F1402</f>
        <v>24160000</v>
      </c>
      <c r="M50" s="1" t="s">
        <v>1014</v>
      </c>
      <c r="N50" s="1" t="s">
        <v>1015</v>
      </c>
    </row>
    <row r="51" spans="1:14" ht="60" x14ac:dyDescent="0.25">
      <c r="A51" s="1"/>
      <c r="B51" s="1"/>
      <c r="C51" s="1">
        <v>40</v>
      </c>
      <c r="D51" s="4" t="str">
        <f>'BID 1 b'!B1416</f>
        <v>Penyusunan Dokumen Perencanaan Desa (RKP Desa 2027)</v>
      </c>
      <c r="E51" s="1" t="s">
        <v>1643</v>
      </c>
      <c r="F51" s="4" t="s">
        <v>2705</v>
      </c>
      <c r="G51" s="999">
        <v>1</v>
      </c>
      <c r="H51" s="4" t="s">
        <v>1012</v>
      </c>
      <c r="I51" s="1" t="s">
        <v>2682</v>
      </c>
      <c r="J51" s="1" t="s">
        <v>2674</v>
      </c>
      <c r="K51" s="1" t="s">
        <v>2693</v>
      </c>
      <c r="L51" s="73">
        <f>'BID 1 b'!F1442</f>
        <v>34540000</v>
      </c>
      <c r="M51" s="1" t="s">
        <v>1014</v>
      </c>
      <c r="N51" s="1" t="s">
        <v>1015</v>
      </c>
    </row>
    <row r="52" spans="1:14" ht="60" x14ac:dyDescent="0.25">
      <c r="A52" s="1"/>
      <c r="B52" s="1"/>
      <c r="C52" s="1">
        <v>41</v>
      </c>
      <c r="D52" s="4" t="str">
        <f>'BID 1 b'!B1457</f>
        <v>: Penyusunan dokumen keuangan Desa (APBDesa 2027 )</v>
      </c>
      <c r="E52" s="1" t="s">
        <v>1643</v>
      </c>
      <c r="F52" s="4" t="s">
        <v>2706</v>
      </c>
      <c r="G52" s="999">
        <v>1</v>
      </c>
      <c r="H52" s="4" t="s">
        <v>1012</v>
      </c>
      <c r="I52" s="1" t="s">
        <v>2682</v>
      </c>
      <c r="J52" s="1" t="s">
        <v>2674</v>
      </c>
      <c r="K52" s="1" t="s">
        <v>2693</v>
      </c>
      <c r="L52" s="73">
        <f>'BID 1 b'!F1472</f>
        <v>6105000</v>
      </c>
      <c r="M52" s="1" t="s">
        <v>1014</v>
      </c>
      <c r="N52" s="1" t="s">
        <v>1015</v>
      </c>
    </row>
    <row r="53" spans="1:14" ht="60" x14ac:dyDescent="0.25">
      <c r="A53" s="1"/>
      <c r="B53" s="1"/>
      <c r="C53" s="1">
        <v>42</v>
      </c>
      <c r="D53" s="4" t="str">
        <f>'BID 1 b'!B1488</f>
        <v>: Penyusunan dokumen keuangan Desa (APBDesa Perubahan 2026)</v>
      </c>
      <c r="E53" s="1" t="s">
        <v>1643</v>
      </c>
      <c r="F53" s="4" t="s">
        <v>2707</v>
      </c>
      <c r="G53" s="999">
        <v>1</v>
      </c>
      <c r="H53" s="4" t="s">
        <v>1012</v>
      </c>
      <c r="I53" s="1" t="s">
        <v>2682</v>
      </c>
      <c r="J53" s="1" t="s">
        <v>2674</v>
      </c>
      <c r="K53" s="1" t="s">
        <v>2693</v>
      </c>
      <c r="L53" s="73">
        <f>'BID 1 b'!F1503</f>
        <v>7615000</v>
      </c>
      <c r="M53" s="1" t="s">
        <v>1014</v>
      </c>
      <c r="N53" s="1" t="s">
        <v>1015</v>
      </c>
    </row>
    <row r="54" spans="1:14" ht="60" x14ac:dyDescent="0.25">
      <c r="A54" s="1"/>
      <c r="B54" s="1"/>
      <c r="C54" s="1">
        <v>43</v>
      </c>
      <c r="D54" s="4" t="str">
        <f>'BID 1 b'!B1518</f>
        <v>: Penyusunan dokumen keuangan Desa ( LPJ APBDesa 2025).</v>
      </c>
      <c r="E54" s="1" t="s">
        <v>1643</v>
      </c>
      <c r="F54" s="4" t="s">
        <v>2708</v>
      </c>
      <c r="G54" s="999">
        <v>1</v>
      </c>
      <c r="H54" s="4" t="s">
        <v>1012</v>
      </c>
      <c r="I54" s="1" t="s">
        <v>2682</v>
      </c>
      <c r="J54" s="1" t="s">
        <v>2674</v>
      </c>
      <c r="K54" s="1" t="s">
        <v>2693</v>
      </c>
      <c r="L54" s="73">
        <f>'BID 1 b'!F1530</f>
        <v>1660750</v>
      </c>
      <c r="M54" s="1" t="s">
        <v>1014</v>
      </c>
      <c r="N54" s="1" t="s">
        <v>1015</v>
      </c>
    </row>
    <row r="55" spans="1:14" ht="75" x14ac:dyDescent="0.25">
      <c r="A55" s="1"/>
      <c r="B55" s="1"/>
      <c r="C55" s="1">
        <v>44</v>
      </c>
      <c r="D55" s="4" t="str">
        <f>'BID 1 b'!B1546</f>
        <v>: Penyusunan laporan Kepala Desa/ Penyelenggaraan Pemerintah Desa (Laporan akhir tahun anggaran )</v>
      </c>
      <c r="E55" s="1" t="s">
        <v>1643</v>
      </c>
      <c r="F55" s="4" t="s">
        <v>2709</v>
      </c>
      <c r="G55" s="999">
        <v>1</v>
      </c>
      <c r="H55" s="4" t="s">
        <v>1012</v>
      </c>
      <c r="I55" s="1" t="s">
        <v>2682</v>
      </c>
      <c r="J55" s="1" t="s">
        <v>2674</v>
      </c>
      <c r="K55" s="1" t="s">
        <v>2693</v>
      </c>
      <c r="L55" s="73">
        <f>'BID 1 b'!F1558</f>
        <v>1500000</v>
      </c>
      <c r="M55" s="1" t="s">
        <v>1014</v>
      </c>
      <c r="N55" s="1" t="s">
        <v>1015</v>
      </c>
    </row>
    <row r="56" spans="1:14" x14ac:dyDescent="0.25">
      <c r="A56" s="2250" t="s">
        <v>1117</v>
      </c>
      <c r="B56" s="2251"/>
      <c r="C56" s="2251"/>
      <c r="D56" s="2251"/>
      <c r="E56" s="2251"/>
      <c r="F56" s="2251"/>
      <c r="G56" s="2251"/>
      <c r="H56" s="2251"/>
      <c r="I56" s="2251"/>
      <c r="J56" s="2251"/>
      <c r="K56" s="2252"/>
      <c r="L56" s="1040" t="e">
        <f>SUM(L12:L55)</f>
        <v>#REF!</v>
      </c>
      <c r="M56" s="1"/>
      <c r="N56" s="1"/>
    </row>
    <row r="57" spans="1:14" ht="75" x14ac:dyDescent="0.25">
      <c r="A57" s="1">
        <v>2</v>
      </c>
      <c r="B57" s="4" t="str">
        <f>'Bid 2b'!B5</f>
        <v>Pelaksanaan Pembangunan Desa</v>
      </c>
      <c r="C57" s="1">
        <v>1</v>
      </c>
      <c r="D57" s="4" t="str">
        <f>'Bid 2b'!B7</f>
        <v>Penyelenggaraan PAUD/TK/TKA/ Madrasah Non Formal Milik Desa (Pengelolaan Taman Kanak - kanak  TK Kumara Sari VI )</v>
      </c>
      <c r="E57" s="1" t="s">
        <v>2722</v>
      </c>
      <c r="F57" s="4" t="s">
        <v>2712</v>
      </c>
      <c r="G57" s="999">
        <v>1</v>
      </c>
      <c r="H57" s="4" t="s">
        <v>1012</v>
      </c>
      <c r="I57" s="1" t="s">
        <v>250</v>
      </c>
      <c r="J57" s="1" t="s">
        <v>2674</v>
      </c>
      <c r="K57" s="1" t="s">
        <v>250</v>
      </c>
      <c r="L57" s="73">
        <f>'Bid 2b'!F147</f>
        <v>276660000</v>
      </c>
      <c r="M57" s="1"/>
      <c r="N57" s="1"/>
    </row>
    <row r="58" spans="1:14" ht="90" x14ac:dyDescent="0.25">
      <c r="A58" s="1"/>
      <c r="B58" s="1"/>
      <c r="C58" s="1">
        <v>2</v>
      </c>
      <c r="D58" s="4" t="str">
        <f>'Bid 2b'!B160</f>
        <v>: Pembinaan atau Pelatihan Kelompok Belajar Widya Kumara Bhuwana ( Pelatihan Bahasa dan Aksara Bali Untuk Anak-Anak )</v>
      </c>
      <c r="E58" s="1" t="s">
        <v>2722</v>
      </c>
      <c r="F58" s="4" t="s">
        <v>2713</v>
      </c>
      <c r="G58" s="999">
        <v>1</v>
      </c>
      <c r="H58" s="4" t="s">
        <v>1012</v>
      </c>
      <c r="I58" s="1" t="s">
        <v>2714</v>
      </c>
      <c r="J58" s="1" t="s">
        <v>1385</v>
      </c>
      <c r="K58" s="1" t="s">
        <v>2715</v>
      </c>
      <c r="L58" s="73">
        <f>'Bid 2b'!F191</f>
        <v>18008000</v>
      </c>
      <c r="M58" s="1"/>
      <c r="N58" s="1"/>
    </row>
    <row r="59" spans="1:14" ht="90" x14ac:dyDescent="0.25">
      <c r="A59" s="1"/>
      <c r="B59" s="1"/>
      <c r="C59" s="1">
        <v>3</v>
      </c>
      <c r="D59" s="4" t="str">
        <f>'Bid 2b'!B204</f>
        <v>:Peningkatan Sarana Prasarana Perpustakaan/Taman Bacaan Desa/ Sanggar Belajar Milik Desa (Perpustakaan Digital dan keliling)</v>
      </c>
      <c r="E59" s="1" t="s">
        <v>2722</v>
      </c>
      <c r="F59" s="4" t="s">
        <v>2716</v>
      </c>
      <c r="G59" s="999">
        <v>1</v>
      </c>
      <c r="H59" s="4" t="s">
        <v>1012</v>
      </c>
      <c r="I59" s="1" t="s">
        <v>2673</v>
      </c>
      <c r="J59" s="1" t="s">
        <v>2674</v>
      </c>
      <c r="K59" s="1" t="s">
        <v>2673</v>
      </c>
      <c r="L59" s="73">
        <f>'Bid 2b'!F218</f>
        <v>6979246</v>
      </c>
      <c r="M59" s="1"/>
      <c r="N59" s="1"/>
    </row>
    <row r="60" spans="1:14" ht="75" x14ac:dyDescent="0.25">
      <c r="A60" s="1"/>
      <c r="B60" s="1"/>
      <c r="C60" s="1">
        <v>4</v>
      </c>
      <c r="D60" s="4" t="str">
        <f>'Bid 2b'!B230</f>
        <v>: Penyelenggaraan Posyandu (Penyelenggaraan Posyandu ILP)</v>
      </c>
      <c r="E60" s="1">
        <v>3</v>
      </c>
      <c r="F60" s="4" t="s">
        <v>2717</v>
      </c>
      <c r="G60" s="999">
        <v>1</v>
      </c>
      <c r="H60" s="4" t="s">
        <v>1012</v>
      </c>
      <c r="I60" s="1" t="s">
        <v>2673</v>
      </c>
      <c r="J60" s="1" t="s">
        <v>2674</v>
      </c>
      <c r="K60" s="1" t="s">
        <v>2673</v>
      </c>
      <c r="L60" s="73">
        <f>'Bid 2b'!F267</f>
        <v>883933100</v>
      </c>
      <c r="M60" s="1"/>
      <c r="N60" s="1"/>
    </row>
    <row r="61" spans="1:14" ht="60" x14ac:dyDescent="0.25">
      <c r="A61" s="1"/>
      <c r="B61" s="1"/>
      <c r="C61" s="1">
        <v>5</v>
      </c>
      <c r="D61" s="4" t="str">
        <f>'Bid 2b'!B281</f>
        <v>: Penyelenggaraan POSyandu (Pos Gizi dan Ibu Hamil)</v>
      </c>
      <c r="E61" s="1">
        <v>3</v>
      </c>
      <c r="F61" s="4" t="s">
        <v>2718</v>
      </c>
      <c r="G61" s="999">
        <v>1</v>
      </c>
      <c r="H61" s="4" t="s">
        <v>1012</v>
      </c>
      <c r="I61" s="1" t="s">
        <v>2682</v>
      </c>
      <c r="J61" s="1" t="s">
        <v>2674</v>
      </c>
      <c r="K61" s="1" t="s">
        <v>2683</v>
      </c>
      <c r="L61" s="73">
        <f>'Bid 2b'!F306</f>
        <v>3095000</v>
      </c>
      <c r="M61" s="1"/>
      <c r="N61" s="1"/>
    </row>
    <row r="62" spans="1:14" ht="60" x14ac:dyDescent="0.25">
      <c r="A62" s="1"/>
      <c r="B62" s="1"/>
      <c r="C62" s="1">
        <v>6</v>
      </c>
      <c r="D62" s="4" t="str">
        <f>'Bid 2b'!B319</f>
        <v>: Penyelenggaraan Posyandu (Penyelenggaraan Posyandu Paripurna)</v>
      </c>
      <c r="E62" s="1">
        <v>3</v>
      </c>
      <c r="F62" s="4" t="s">
        <v>2719</v>
      </c>
      <c r="G62" s="999">
        <v>1</v>
      </c>
      <c r="H62" s="4" t="s">
        <v>1012</v>
      </c>
      <c r="I62" s="1" t="s">
        <v>2682</v>
      </c>
      <c r="J62" s="1" t="s">
        <v>2674</v>
      </c>
      <c r="K62" s="1" t="s">
        <v>2683</v>
      </c>
      <c r="L62" s="73">
        <f>'Bid 2b'!F356</f>
        <v>0</v>
      </c>
      <c r="M62" s="1"/>
      <c r="N62" s="1"/>
    </row>
    <row r="63" spans="1:14" ht="90" x14ac:dyDescent="0.25">
      <c r="A63" s="1"/>
      <c r="B63" s="1"/>
      <c r="C63" s="1">
        <v>7</v>
      </c>
      <c r="D63" s="4" t="str">
        <f>'Bid 2b'!B369</f>
        <v>: Penyuluhan dan Pelatihan Bidang Kesehatan (Pembinaan Kader POSyandu terintegrasi/ILP)</v>
      </c>
      <c r="E63" s="1">
        <v>3</v>
      </c>
      <c r="F63" s="4" t="s">
        <v>2720</v>
      </c>
      <c r="G63" s="999">
        <v>1</v>
      </c>
      <c r="H63" s="4" t="s">
        <v>1012</v>
      </c>
      <c r="I63" s="1" t="s">
        <v>2682</v>
      </c>
      <c r="J63" s="1" t="s">
        <v>2674</v>
      </c>
      <c r="K63" s="1" t="s">
        <v>2683</v>
      </c>
      <c r="L63" s="73">
        <f>'Bid 2b'!F386</f>
        <v>8410000</v>
      </c>
      <c r="M63" s="1"/>
      <c r="N63" s="1"/>
    </row>
    <row r="64" spans="1:14" ht="90" x14ac:dyDescent="0.25">
      <c r="A64" s="1"/>
      <c r="B64" s="1"/>
      <c r="C64" s="1">
        <v>8</v>
      </c>
      <c r="D64" s="4" t="str">
        <f>'Bid 2b'!B403</f>
        <v xml:space="preserve"> : Penyuluhan dan Pelatihan Bidang Kesehatan (Pendampingan calon pengantin)</v>
      </c>
      <c r="E64" s="1">
        <v>3</v>
      </c>
      <c r="F64" s="4" t="s">
        <v>2721</v>
      </c>
      <c r="G64" s="999">
        <v>1</v>
      </c>
      <c r="H64" s="4" t="s">
        <v>1012</v>
      </c>
      <c r="I64" s="1" t="s">
        <v>250</v>
      </c>
      <c r="J64" s="1" t="s">
        <v>2674</v>
      </c>
      <c r="K64" s="1" t="s">
        <v>250</v>
      </c>
      <c r="L64" s="73">
        <f>'Bid 2b'!F429</f>
        <v>11814900</v>
      </c>
      <c r="M64" s="1"/>
      <c r="N64" s="1"/>
    </row>
    <row r="65" spans="1:14" ht="90" x14ac:dyDescent="0.25">
      <c r="A65" s="1"/>
      <c r="B65" s="1"/>
      <c r="C65" s="1">
        <v>9</v>
      </c>
      <c r="D65" s="4" t="str">
        <f>'Bid 2b'!B442</f>
        <v>: Penyuluhan dan Pelatihan Bidang Kesehatan untuk Masyarakat (Pembinaan Kampung Keluarga Berkualitas)</v>
      </c>
      <c r="E65" s="1">
        <v>3</v>
      </c>
      <c r="F65" s="4" t="s">
        <v>2723</v>
      </c>
      <c r="G65" s="999">
        <v>1</v>
      </c>
      <c r="H65" s="4" t="s">
        <v>1012</v>
      </c>
      <c r="I65" s="1" t="s">
        <v>2682</v>
      </c>
      <c r="J65" s="1" t="s">
        <v>2724</v>
      </c>
      <c r="K65" s="1" t="s">
        <v>2725</v>
      </c>
      <c r="L65" s="73">
        <f>'Bid 2b'!F464</f>
        <v>3757000</v>
      </c>
      <c r="M65" s="1"/>
      <c r="N65" s="1"/>
    </row>
    <row r="66" spans="1:14" ht="60" x14ac:dyDescent="0.25">
      <c r="A66" s="1"/>
      <c r="B66" s="1"/>
      <c r="C66" s="1">
        <v>10</v>
      </c>
      <c r="D66" s="4" t="str">
        <f>'Bid 2b'!B479</f>
        <v>Penyuluhan dan Pelatihan Bidang Kesehatan (PHBS : Sostaliasasi AIDS, Tuber Colosis, Malaria)</v>
      </c>
      <c r="E66" s="1">
        <v>3</v>
      </c>
      <c r="F66" s="4" t="s">
        <v>2726</v>
      </c>
      <c r="G66" s="999">
        <v>1</v>
      </c>
      <c r="H66" s="4" t="s">
        <v>1012</v>
      </c>
      <c r="I66" s="1" t="s">
        <v>2682</v>
      </c>
      <c r="J66" s="1" t="s">
        <v>2727</v>
      </c>
      <c r="K66" s="1" t="s">
        <v>2725</v>
      </c>
      <c r="L66" s="73">
        <f>'Bid 2b'!F506</f>
        <v>19592000</v>
      </c>
      <c r="M66" s="1"/>
      <c r="N66" s="1"/>
    </row>
    <row r="67" spans="1:14" ht="90" x14ac:dyDescent="0.25">
      <c r="A67" s="1"/>
      <c r="B67" s="1"/>
      <c r="C67" s="1">
        <v>11</v>
      </c>
      <c r="D67" s="4" t="str">
        <f>'Bid 2b'!B521</f>
        <v>: Penyuluhan dan Pelatihan Bidang Kesehatan (Penyuluhan Narkoba dan HIV/AIDS)</v>
      </c>
      <c r="E67" s="1">
        <v>3</v>
      </c>
      <c r="F67" s="4" t="s">
        <v>2728</v>
      </c>
      <c r="G67" s="999">
        <v>1</v>
      </c>
      <c r="H67" s="4" t="s">
        <v>1012</v>
      </c>
      <c r="I67" s="1" t="s">
        <v>2682</v>
      </c>
      <c r="J67" s="1" t="s">
        <v>2674</v>
      </c>
      <c r="K67" s="1" t="s">
        <v>2725</v>
      </c>
      <c r="L67" s="73">
        <f>'Bid 2b'!F552</f>
        <v>25440000</v>
      </c>
      <c r="M67" s="1"/>
      <c r="N67" s="1"/>
    </row>
    <row r="68" spans="1:14" ht="60" x14ac:dyDescent="0.25">
      <c r="A68" s="1"/>
      <c r="B68" s="1"/>
      <c r="C68" s="1">
        <v>12</v>
      </c>
      <c r="D68" s="4" t="str">
        <f>'Bid 2b'!B569</f>
        <v>: Penyuluhan dan Pelatihan Bidang Kesehatan ( Penyuluhan KB )</v>
      </c>
      <c r="E68" s="1">
        <v>3</v>
      </c>
      <c r="F68" s="4" t="s">
        <v>2729</v>
      </c>
      <c r="G68" s="999">
        <v>1</v>
      </c>
      <c r="H68" s="4" t="s">
        <v>1012</v>
      </c>
      <c r="I68" s="1" t="s">
        <v>2682</v>
      </c>
      <c r="J68" s="1" t="s">
        <v>2674</v>
      </c>
      <c r="K68" s="1" t="s">
        <v>2725</v>
      </c>
      <c r="L68" s="73">
        <f>'Bid 2b'!F599</f>
        <v>25990000</v>
      </c>
      <c r="M68" s="1"/>
      <c r="N68" s="1"/>
    </row>
    <row r="69" spans="1:14" ht="75" x14ac:dyDescent="0.25">
      <c r="A69" s="1"/>
      <c r="B69" s="1"/>
      <c r="C69" s="1">
        <v>13</v>
      </c>
      <c r="D69" s="4" t="str">
        <f>'Bid 2b'!B613</f>
        <v>:Penyuluhan dan Pelatihan Bidang Kesehatan Untuk Masyarakat (Penyelenggaraan Pembinaan dan Lomba PMT)</v>
      </c>
      <c r="E69" s="1">
        <v>3</v>
      </c>
      <c r="F69" s="4" t="s">
        <v>2730</v>
      </c>
      <c r="G69" s="999">
        <v>1</v>
      </c>
      <c r="H69" s="4" t="s">
        <v>1012</v>
      </c>
      <c r="I69" s="1" t="s">
        <v>2682</v>
      </c>
      <c r="J69" s="1" t="s">
        <v>2674</v>
      </c>
      <c r="K69" s="1" t="s">
        <v>2725</v>
      </c>
      <c r="L69" s="73">
        <f>'Bid 2b'!F661</f>
        <v>10261000</v>
      </c>
      <c r="M69" s="1"/>
      <c r="N69" s="1"/>
    </row>
    <row r="70" spans="1:14" ht="90" x14ac:dyDescent="0.25">
      <c r="A70" s="1"/>
      <c r="B70" s="1"/>
      <c r="C70" s="1">
        <v>14</v>
      </c>
      <c r="D70" s="4" t="str">
        <f>'Bid 2b'!B676</f>
        <v>: Penyuluhan dan Pelatihan Bidang Kesehatan untuk Masyarakat (Penyuluhan kesehatan Organ Reproduksi dan Penyelenggaraan Papsmear)</v>
      </c>
      <c r="E70" s="1">
        <v>3</v>
      </c>
      <c r="F70" s="4" t="s">
        <v>2731</v>
      </c>
      <c r="G70" s="999">
        <v>1</v>
      </c>
      <c r="H70" s="4" t="s">
        <v>1012</v>
      </c>
      <c r="I70" s="1" t="s">
        <v>2682</v>
      </c>
      <c r="J70" s="1" t="s">
        <v>2732</v>
      </c>
      <c r="K70" s="1" t="s">
        <v>2725</v>
      </c>
      <c r="L70" s="73">
        <f>'Bid 2b'!F709</f>
        <v>8585000</v>
      </c>
      <c r="M70" s="1"/>
      <c r="N70" s="1"/>
    </row>
    <row r="71" spans="1:14" ht="60" x14ac:dyDescent="0.25">
      <c r="A71" s="1"/>
      <c r="B71" s="1"/>
      <c r="C71" s="1">
        <v>15</v>
      </c>
      <c r="D71" s="4" t="str">
        <f>'Bid 2b'!B724</f>
        <v>: Penyuluhan dan Pelatihan Bidang Kesehatan untuk Masyarakat  (Pembinaan Rumah Dataku)</v>
      </c>
      <c r="E71" s="1">
        <v>3</v>
      </c>
      <c r="F71" s="4" t="s">
        <v>1644</v>
      </c>
      <c r="G71" s="999">
        <v>1</v>
      </c>
      <c r="H71" s="4" t="s">
        <v>1012</v>
      </c>
      <c r="I71" s="1" t="s">
        <v>2682</v>
      </c>
      <c r="J71" s="1" t="s">
        <v>1383</v>
      </c>
      <c r="K71" s="1" t="s">
        <v>2725</v>
      </c>
      <c r="L71" s="73">
        <f>'Bid 2b'!F750</f>
        <v>1550000</v>
      </c>
      <c r="M71" s="1"/>
      <c r="N71" s="1"/>
    </row>
    <row r="72" spans="1:14" ht="75" x14ac:dyDescent="0.25">
      <c r="A72" s="1"/>
      <c r="B72" s="1"/>
      <c r="C72" s="1">
        <v>16</v>
      </c>
      <c r="D72" s="4" t="str">
        <f>'Bid 2b'!B766</f>
        <v>: Penyuluhan dan Pelatihan Bidang Kesehatan Untuk Masyarakat  (Sosialisasi Sanitasi pedagang )</v>
      </c>
      <c r="E72" s="1">
        <v>3</v>
      </c>
      <c r="F72" s="4" t="s">
        <v>2733</v>
      </c>
      <c r="G72" s="999">
        <v>1</v>
      </c>
      <c r="H72" s="4" t="s">
        <v>1012</v>
      </c>
      <c r="I72" s="1" t="s">
        <v>2682</v>
      </c>
      <c r="J72" s="1" t="s">
        <v>2674</v>
      </c>
      <c r="K72" s="1" t="s">
        <v>2725</v>
      </c>
      <c r="L72" s="73">
        <f>'Bid 2b'!F790</f>
        <v>4593200</v>
      </c>
      <c r="M72" s="1"/>
      <c r="N72" s="1"/>
    </row>
    <row r="73" spans="1:14" ht="90" x14ac:dyDescent="0.25">
      <c r="A73" s="1"/>
      <c r="B73" s="1"/>
      <c r="C73" s="1">
        <v>17</v>
      </c>
      <c r="D73" s="4" t="str">
        <f>'Bid 2b'!B805</f>
        <v>: Penyuluhan dan Pelatihan Bidang Kesehatan Untuk Masyarakat  (Senam Untuk Kesehatan Perempuan)</v>
      </c>
      <c r="E73" s="1">
        <v>3</v>
      </c>
      <c r="F73" s="4" t="s">
        <v>2734</v>
      </c>
      <c r="G73" s="999">
        <v>1</v>
      </c>
      <c r="H73" s="4" t="s">
        <v>1012</v>
      </c>
      <c r="I73" s="1" t="s">
        <v>2735</v>
      </c>
      <c r="J73" s="1" t="s">
        <v>2674</v>
      </c>
      <c r="K73" s="1" t="s">
        <v>2736</v>
      </c>
      <c r="L73" s="73">
        <f>'Bid 2b'!F818</f>
        <v>4800000</v>
      </c>
      <c r="M73" s="1"/>
      <c r="N73" s="1"/>
    </row>
    <row r="74" spans="1:14" ht="60" x14ac:dyDescent="0.25">
      <c r="A74" s="1"/>
      <c r="B74" s="1"/>
      <c r="C74" s="1">
        <v>18</v>
      </c>
      <c r="D74" s="4" t="str">
        <f>'Bid 2b'!B834</f>
        <v>: Penyelenggaraan  (Desa Siaga Kesehatan)</v>
      </c>
      <c r="E74" s="1">
        <v>3</v>
      </c>
      <c r="F74" s="4" t="s">
        <v>2737</v>
      </c>
      <c r="G74" s="999">
        <v>1</v>
      </c>
      <c r="H74" s="4" t="s">
        <v>1012</v>
      </c>
      <c r="I74" s="1" t="s">
        <v>2682</v>
      </c>
      <c r="J74" s="1" t="s">
        <v>2674</v>
      </c>
      <c r="K74" s="1" t="s">
        <v>2683</v>
      </c>
      <c r="L74" s="73">
        <f>'Bid 2b'!F865</f>
        <v>1802000</v>
      </c>
      <c r="M74" s="1"/>
      <c r="N74" s="1"/>
    </row>
    <row r="75" spans="1:14" ht="60" x14ac:dyDescent="0.25">
      <c r="A75" s="1"/>
      <c r="B75" s="1"/>
      <c r="C75" s="1">
        <v>19</v>
      </c>
      <c r="D75" s="4" t="str">
        <f>'Bid 2b'!B879</f>
        <v>: Penyelenggaraan Desa Siaga Kesehatan( Sosialisasi anjing rabies)</v>
      </c>
      <c r="E75" s="1">
        <v>3</v>
      </c>
      <c r="F75" s="4" t="s">
        <v>2738</v>
      </c>
      <c r="G75" s="999">
        <v>1</v>
      </c>
      <c r="H75" s="4" t="s">
        <v>1012</v>
      </c>
      <c r="I75" s="1" t="s">
        <v>2682</v>
      </c>
      <c r="J75" s="1" t="s">
        <v>2674</v>
      </c>
      <c r="K75" s="1" t="s">
        <v>2683</v>
      </c>
      <c r="L75" s="73">
        <f>'Bid 2b'!F900</f>
        <v>1095000</v>
      </c>
      <c r="M75" s="1"/>
      <c r="N75" s="1"/>
    </row>
    <row r="76" spans="1:14" ht="60" x14ac:dyDescent="0.25">
      <c r="A76" s="1"/>
      <c r="B76" s="1"/>
      <c r="C76" s="1">
        <v>20</v>
      </c>
      <c r="D76" s="4" t="str">
        <f>'Bid 2b'!B915</f>
        <v>: Penyelenggaraan Pembinaan dan Lomba Balita Sehat ( Kategori Baduta dan Balita)</v>
      </c>
      <c r="E76" s="1">
        <v>3</v>
      </c>
      <c r="F76" s="4" t="s">
        <v>2739</v>
      </c>
      <c r="G76" s="999">
        <v>1</v>
      </c>
      <c r="H76" s="4" t="s">
        <v>1012</v>
      </c>
      <c r="I76" s="1" t="s">
        <v>2682</v>
      </c>
      <c r="J76" s="1" t="s">
        <v>2674</v>
      </c>
      <c r="K76" s="1" t="s">
        <v>2683</v>
      </c>
      <c r="L76" s="73">
        <f>'Bid 2b'!F965</f>
        <v>19845000</v>
      </c>
      <c r="M76" s="1"/>
      <c r="N76" s="1"/>
    </row>
    <row r="77" spans="1:14" ht="60" x14ac:dyDescent="0.25">
      <c r="A77" s="1"/>
      <c r="B77" s="1"/>
      <c r="C77" s="1">
        <v>21</v>
      </c>
      <c r="D77" s="1" t="str">
        <f>'Bid 2b'!B980</f>
        <v>:  Foging Fokus</v>
      </c>
      <c r="E77" s="1">
        <v>3</v>
      </c>
      <c r="F77" s="4" t="s">
        <v>2740</v>
      </c>
      <c r="G77" s="999">
        <v>1</v>
      </c>
      <c r="H77" s="4" t="s">
        <v>1012</v>
      </c>
      <c r="I77" s="1" t="s">
        <v>250</v>
      </c>
      <c r="J77" s="1" t="s">
        <v>2674</v>
      </c>
      <c r="K77" s="1" t="s">
        <v>250</v>
      </c>
      <c r="L77" s="73">
        <f>'Bid 2b'!F1009</f>
        <v>17529943</v>
      </c>
      <c r="M77" s="1"/>
      <c r="N77" s="1"/>
    </row>
    <row r="78" spans="1:14" ht="105" x14ac:dyDescent="0.25">
      <c r="A78" s="1"/>
      <c r="B78" s="1"/>
      <c r="C78" s="1">
        <v>22</v>
      </c>
      <c r="D78" s="4" t="str">
        <f>'Bid 2b'!B1023</f>
        <v>: Gerakan Serentak PSN dan Lomba PSN</v>
      </c>
      <c r="E78" s="1">
        <v>3</v>
      </c>
      <c r="F78" s="4" t="s">
        <v>2741</v>
      </c>
      <c r="G78" s="999">
        <v>1</v>
      </c>
      <c r="H78" s="4" t="s">
        <v>1012</v>
      </c>
      <c r="I78" s="1" t="s">
        <v>2682</v>
      </c>
      <c r="J78" s="1" t="s">
        <v>2674</v>
      </c>
      <c r="K78" s="1" t="s">
        <v>2715</v>
      </c>
      <c r="L78" s="73">
        <f>'Bid 2b'!F1062</f>
        <v>51996000</v>
      </c>
      <c r="M78" s="1"/>
      <c r="N78" s="1"/>
    </row>
    <row r="79" spans="1:14" ht="75" x14ac:dyDescent="0.25">
      <c r="A79" s="1"/>
      <c r="B79" s="1"/>
      <c r="C79" s="1">
        <v>23</v>
      </c>
      <c r="D79" s="4" t="str">
        <f>'Bid 2b'!B1074</f>
        <v>Penyelengggaraan Rumah Desa Sehat ( TPPS Desa )</v>
      </c>
      <c r="E79" s="1">
        <v>3</v>
      </c>
      <c r="F79" s="4" t="s">
        <v>2742</v>
      </c>
      <c r="G79" s="999">
        <v>1</v>
      </c>
      <c r="H79" s="4" t="s">
        <v>1012</v>
      </c>
      <c r="I79" s="1" t="s">
        <v>2680</v>
      </c>
      <c r="J79" s="1" t="s">
        <v>2674</v>
      </c>
      <c r="K79" s="1" t="s">
        <v>250</v>
      </c>
      <c r="L79" s="73">
        <f>'Bid 2b'!F1096</f>
        <v>5985000</v>
      </c>
      <c r="M79" s="1"/>
      <c r="N79" s="1"/>
    </row>
    <row r="80" spans="1:14" ht="60" x14ac:dyDescent="0.25">
      <c r="A80" s="1"/>
      <c r="B80" s="1"/>
      <c r="C80" s="1">
        <v>24</v>
      </c>
      <c r="D80" s="4" t="str">
        <f>'Bid 2b'!B1109</f>
        <v>: Penyelengggaraan Rumah Desa Sehat (Rembuk Stunting)</v>
      </c>
      <c r="E80" s="1">
        <v>3</v>
      </c>
      <c r="F80" s="4" t="s">
        <v>2904</v>
      </c>
      <c r="G80" s="999">
        <v>1</v>
      </c>
      <c r="H80" s="4" t="s">
        <v>1012</v>
      </c>
      <c r="I80" s="1" t="s">
        <v>2682</v>
      </c>
      <c r="J80" s="1" t="s">
        <v>2674</v>
      </c>
      <c r="K80" s="1" t="s">
        <v>2725</v>
      </c>
      <c r="L80" s="73">
        <f>'Bid 2b'!F1130</f>
        <v>4990000</v>
      </c>
      <c r="M80" s="1"/>
      <c r="N80" s="1"/>
    </row>
    <row r="81" spans="1:15" ht="59.25" customHeight="1" x14ac:dyDescent="0.25">
      <c r="A81" s="1"/>
      <c r="B81" s="1"/>
      <c r="C81" s="1">
        <v>25</v>
      </c>
      <c r="D81" s="4" t="e">
        <f>'Bid 2b'!#REF!</f>
        <v>#REF!</v>
      </c>
      <c r="E81" s="1">
        <v>9</v>
      </c>
      <c r="F81" s="4" t="s">
        <v>3216</v>
      </c>
      <c r="G81" s="999">
        <v>1</v>
      </c>
      <c r="H81" s="4" t="s">
        <v>1012</v>
      </c>
      <c r="I81" s="1" t="s">
        <v>3217</v>
      </c>
      <c r="J81" s="1" t="s">
        <v>2674</v>
      </c>
      <c r="K81" s="1" t="s">
        <v>2725</v>
      </c>
      <c r="L81" s="73" t="e">
        <f>'Bid 2b'!#REF!</f>
        <v>#REF!</v>
      </c>
      <c r="M81" s="1"/>
      <c r="N81" s="1"/>
    </row>
    <row r="82" spans="1:15" ht="65.25" customHeight="1" x14ac:dyDescent="0.25">
      <c r="A82" s="1"/>
      <c r="B82" s="1"/>
      <c r="C82" s="1">
        <v>26</v>
      </c>
      <c r="D82" s="4" t="e">
        <f>'Bid 2b'!#REF!</f>
        <v>#REF!</v>
      </c>
      <c r="E82" s="1">
        <v>9</v>
      </c>
      <c r="F82" s="4" t="s">
        <v>3216</v>
      </c>
      <c r="G82" s="999">
        <v>1</v>
      </c>
      <c r="H82" s="4" t="s">
        <v>1012</v>
      </c>
      <c r="I82" s="1" t="s">
        <v>3218</v>
      </c>
      <c r="J82" s="1" t="s">
        <v>2674</v>
      </c>
      <c r="K82" s="1" t="s">
        <v>2725</v>
      </c>
      <c r="L82" s="73" t="e">
        <f>'Bid 2b'!#REF!</f>
        <v>#REF!</v>
      </c>
      <c r="M82" s="1"/>
      <c r="N82" s="1"/>
    </row>
    <row r="83" spans="1:15" ht="65.25" customHeight="1" x14ac:dyDescent="0.25">
      <c r="A83" s="1"/>
      <c r="B83" s="1"/>
      <c r="C83" s="1">
        <v>27</v>
      </c>
      <c r="D83" s="4" t="str">
        <f>'Bid 2b'!B1183</f>
        <v>Pemeliharaan Jalan Lingkungan Permukiman /Lotus (Pemavingan)</v>
      </c>
      <c r="E83" s="1">
        <v>9</v>
      </c>
      <c r="F83" s="4" t="s">
        <v>3216</v>
      </c>
      <c r="G83" s="999">
        <v>1</v>
      </c>
      <c r="H83" s="4" t="s">
        <v>1012</v>
      </c>
      <c r="I83" s="1" t="s">
        <v>3219</v>
      </c>
      <c r="J83" s="1" t="s">
        <v>2674</v>
      </c>
      <c r="K83" s="1" t="s">
        <v>2725</v>
      </c>
      <c r="L83" s="73">
        <f>'Bid 2b'!F1208</f>
        <v>116618000</v>
      </c>
      <c r="M83" s="1"/>
      <c r="N83" s="1"/>
    </row>
    <row r="84" spans="1:15" ht="65.25" customHeight="1" x14ac:dyDescent="0.25">
      <c r="A84" s="1"/>
      <c r="B84" s="1"/>
      <c r="C84" s="1">
        <v>28</v>
      </c>
      <c r="D84" s="4" t="str">
        <f>'Bid 2b'!B1223</f>
        <v>Pemeliharaan Jalan Lingkungan Permukiman /Gang Lotus (Beton Pengunci)</v>
      </c>
      <c r="E84" s="1">
        <v>9</v>
      </c>
      <c r="F84" s="4" t="s">
        <v>3216</v>
      </c>
      <c r="G84" s="999">
        <v>1</v>
      </c>
      <c r="H84" s="4" t="s">
        <v>1012</v>
      </c>
      <c r="I84" s="1" t="s">
        <v>3220</v>
      </c>
      <c r="J84" s="1" t="s">
        <v>2674</v>
      </c>
      <c r="K84" s="1" t="s">
        <v>2725</v>
      </c>
      <c r="L84" s="73">
        <f>'Bid 2b'!F1245</f>
        <v>5197000</v>
      </c>
      <c r="M84" s="1"/>
      <c r="N84" s="1"/>
    </row>
    <row r="85" spans="1:15" ht="65.25" customHeight="1" x14ac:dyDescent="0.25">
      <c r="A85" s="1"/>
      <c r="B85" s="1"/>
      <c r="C85" s="1">
        <v>29</v>
      </c>
      <c r="D85" s="4" t="str">
        <f>'Bid 2b'!B1260</f>
        <v>Pemeliharaan Jalan Lingkungan Permukiman Gang LotusI (Pembersihan Site)</v>
      </c>
      <c r="E85" s="1">
        <v>9</v>
      </c>
      <c r="F85" s="4" t="s">
        <v>3216</v>
      </c>
      <c r="G85" s="999">
        <v>1</v>
      </c>
      <c r="H85" s="4" t="s">
        <v>1012</v>
      </c>
      <c r="I85" s="1" t="s">
        <v>3221</v>
      </c>
      <c r="J85" s="1" t="s">
        <v>2674</v>
      </c>
      <c r="K85" s="1" t="s">
        <v>2725</v>
      </c>
      <c r="L85" s="73">
        <f>'Bid 2b'!F1276</f>
        <v>0</v>
      </c>
      <c r="M85" s="1"/>
      <c r="N85" s="1"/>
    </row>
    <row r="86" spans="1:15" s="96" customFormat="1" ht="60" x14ac:dyDescent="0.25">
      <c r="A86" s="865"/>
      <c r="B86" s="865"/>
      <c r="C86" s="1">
        <v>30</v>
      </c>
      <c r="D86" s="1061" t="e">
        <f>'Bid 2b'!#REF!</f>
        <v>#REF!</v>
      </c>
      <c r="E86" s="865">
        <v>9</v>
      </c>
      <c r="F86" s="4" t="s">
        <v>3216</v>
      </c>
      <c r="G86" s="1062">
        <v>1</v>
      </c>
      <c r="H86" s="1061" t="s">
        <v>1012</v>
      </c>
      <c r="I86" s="865" t="s">
        <v>3047</v>
      </c>
      <c r="J86" s="865" t="s">
        <v>2674</v>
      </c>
      <c r="K86" s="865" t="s">
        <v>2725</v>
      </c>
      <c r="L86" s="1063" t="e">
        <f>'Bid 2b'!#REF!</f>
        <v>#REF!</v>
      </c>
      <c r="M86" s="865"/>
      <c r="N86" s="865"/>
    </row>
    <row r="87" spans="1:15" s="96" customFormat="1" ht="60" x14ac:dyDescent="0.25">
      <c r="A87" s="865"/>
      <c r="B87" s="865"/>
      <c r="C87" s="1">
        <v>31</v>
      </c>
      <c r="D87" s="1061" t="e">
        <f>'Bid 2b'!#REF!</f>
        <v>#REF!</v>
      </c>
      <c r="E87" s="865">
        <v>9</v>
      </c>
      <c r="F87" s="4" t="s">
        <v>3216</v>
      </c>
      <c r="G87" s="1062">
        <v>1</v>
      </c>
      <c r="H87" s="1061" t="s">
        <v>1012</v>
      </c>
      <c r="I87" s="865" t="s">
        <v>3048</v>
      </c>
      <c r="J87" s="865" t="s">
        <v>2674</v>
      </c>
      <c r="K87" s="865" t="s">
        <v>2725</v>
      </c>
      <c r="L87" s="1063" t="e">
        <f>'Bid 2b'!#REF!</f>
        <v>#REF!</v>
      </c>
      <c r="M87" s="865"/>
      <c r="N87" s="865"/>
    </row>
    <row r="88" spans="1:15" s="96" customFormat="1" ht="60" x14ac:dyDescent="0.25">
      <c r="A88" s="865"/>
      <c r="B88" s="865"/>
      <c r="C88" s="1">
        <v>32</v>
      </c>
      <c r="D88" s="1061" t="e">
        <f>'Bid 2b'!#REF!</f>
        <v>#REF!</v>
      </c>
      <c r="E88" s="865">
        <v>9</v>
      </c>
      <c r="F88" s="4" t="s">
        <v>3216</v>
      </c>
      <c r="G88" s="1062">
        <v>1</v>
      </c>
      <c r="H88" s="1061" t="s">
        <v>1012</v>
      </c>
      <c r="I88" s="865" t="s">
        <v>3049</v>
      </c>
      <c r="J88" s="865" t="s">
        <v>2674</v>
      </c>
      <c r="K88" s="865" t="s">
        <v>2725</v>
      </c>
      <c r="L88" s="1063" t="e">
        <f>'Bid 2b'!#REF!</f>
        <v>#REF!</v>
      </c>
      <c r="M88" s="865"/>
      <c r="N88" s="865"/>
    </row>
    <row r="89" spans="1:15" s="96" customFormat="1" ht="60" x14ac:dyDescent="0.25">
      <c r="A89" s="865"/>
      <c r="B89" s="865"/>
      <c r="C89" s="1">
        <v>33</v>
      </c>
      <c r="D89" s="1061" t="e">
        <f>'Bid 2b'!#REF!</f>
        <v>#REF!</v>
      </c>
      <c r="E89" s="865">
        <v>9</v>
      </c>
      <c r="F89" s="4" t="s">
        <v>3216</v>
      </c>
      <c r="G89" s="1062">
        <v>1</v>
      </c>
      <c r="H89" s="1061" t="s">
        <v>1012</v>
      </c>
      <c r="I89" s="865" t="s">
        <v>3050</v>
      </c>
      <c r="J89" s="865" t="s">
        <v>2674</v>
      </c>
      <c r="K89" s="865" t="s">
        <v>2725</v>
      </c>
      <c r="L89" s="1063" t="e">
        <f>'Bid 2b'!#REF!</f>
        <v>#REF!</v>
      </c>
      <c r="M89" s="865"/>
      <c r="N89" s="865"/>
    </row>
    <row r="90" spans="1:15" s="96" customFormat="1" ht="60" x14ac:dyDescent="0.25">
      <c r="A90" s="865"/>
      <c r="B90" s="865"/>
      <c r="C90" s="1">
        <v>34</v>
      </c>
      <c r="D90" s="1061" t="str">
        <f>'Bid 2b'!B1332</f>
        <v>: Pemeliharaan Jalan Lingkungan Gg. Pudak (Pondasi )</v>
      </c>
      <c r="E90" s="865">
        <v>9</v>
      </c>
      <c r="F90" s="4" t="s">
        <v>3216</v>
      </c>
      <c r="G90" s="1062">
        <v>1</v>
      </c>
      <c r="H90" s="1061" t="s">
        <v>1012</v>
      </c>
      <c r="I90" s="865" t="s">
        <v>3051</v>
      </c>
      <c r="J90" s="865" t="s">
        <v>2674</v>
      </c>
      <c r="K90" s="865" t="s">
        <v>2725</v>
      </c>
      <c r="L90" s="1063">
        <f>'Bid 2b'!F1354</f>
        <v>6894000</v>
      </c>
      <c r="M90" s="865"/>
      <c r="N90" s="865"/>
    </row>
    <row r="91" spans="1:15" s="96" customFormat="1" ht="60" x14ac:dyDescent="0.25">
      <c r="A91" s="865"/>
      <c r="B91" s="865"/>
      <c r="C91" s="1">
        <v>35</v>
      </c>
      <c r="D91" s="1061" t="str">
        <f>'Bid 2b'!B1369</f>
        <v>: Pemeliharaan Jalan Lingkungan Gg. Pudak (galian)</v>
      </c>
      <c r="E91" s="865">
        <v>9</v>
      </c>
      <c r="F91" s="4" t="s">
        <v>3216</v>
      </c>
      <c r="G91" s="1062">
        <v>1</v>
      </c>
      <c r="H91" s="1061" t="s">
        <v>1012</v>
      </c>
      <c r="I91" s="865" t="s">
        <v>3052</v>
      </c>
      <c r="J91" s="865" t="s">
        <v>2674</v>
      </c>
      <c r="K91" s="865" t="s">
        <v>2725</v>
      </c>
      <c r="L91" s="1063">
        <f>'Bid 2b'!F1385</f>
        <v>2000200</v>
      </c>
      <c r="M91" s="865"/>
      <c r="N91" s="865"/>
    </row>
    <row r="92" spans="1:15" s="96" customFormat="1" ht="60" x14ac:dyDescent="0.25">
      <c r="A92" s="865"/>
      <c r="B92" s="865"/>
      <c r="C92" s="1">
        <v>36</v>
      </c>
      <c r="D92" s="1061" t="str">
        <f>'Bid 2b'!B1400</f>
        <v>Pemeliharaan Jalan Lingkungan Permukiman Gang Pudak (Pembersihan Site)</v>
      </c>
      <c r="E92" s="865">
        <v>9</v>
      </c>
      <c r="F92" s="4" t="s">
        <v>3216</v>
      </c>
      <c r="G92" s="1062">
        <v>1</v>
      </c>
      <c r="H92" s="1061" t="s">
        <v>1012</v>
      </c>
      <c r="I92" s="865" t="s">
        <v>3053</v>
      </c>
      <c r="J92" s="865" t="s">
        <v>2674</v>
      </c>
      <c r="K92" s="865" t="s">
        <v>2725</v>
      </c>
      <c r="L92" s="1063">
        <f>'Bid 2b'!F1417</f>
        <v>2378800</v>
      </c>
      <c r="M92" s="865"/>
      <c r="N92" s="865"/>
    </row>
    <row r="93" spans="1:15" s="96" customFormat="1" ht="60" x14ac:dyDescent="0.25">
      <c r="A93" s="865"/>
      <c r="B93" s="865"/>
      <c r="C93" s="1">
        <v>37</v>
      </c>
      <c r="D93" s="1061" t="str">
        <f>'Bid 2b'!B1432</f>
        <v>Pemeliharaan Jalan Lingkungan Permukiman Gang Pudak ( Plat beton )</v>
      </c>
      <c r="E93" s="865">
        <v>9</v>
      </c>
      <c r="F93" s="4" t="s">
        <v>3216</v>
      </c>
      <c r="G93" s="1062">
        <v>1</v>
      </c>
      <c r="H93" s="1061" t="s">
        <v>1012</v>
      </c>
      <c r="I93" s="865" t="s">
        <v>3054</v>
      </c>
      <c r="J93" s="865" t="s">
        <v>2674</v>
      </c>
      <c r="K93" s="865" t="s">
        <v>2725</v>
      </c>
      <c r="L93" s="1063">
        <f>'Bid 2b'!F1460</f>
        <v>6452200</v>
      </c>
      <c r="M93" s="865"/>
      <c r="N93" s="865"/>
    </row>
    <row r="94" spans="1:15" s="96" customFormat="1" ht="60" x14ac:dyDescent="0.25">
      <c r="A94" s="865"/>
      <c r="B94" s="865"/>
      <c r="C94" s="1">
        <v>38</v>
      </c>
      <c r="D94" s="1061" t="str">
        <f>'Bid 2b'!B1475</f>
        <v>Pemeliharaan Jalan Lingkungan Permukiman Gg. Pudak (Pemavingan)</v>
      </c>
      <c r="E94" s="865">
        <v>9</v>
      </c>
      <c r="F94" s="4" t="s">
        <v>3216</v>
      </c>
      <c r="G94" s="1062">
        <v>1</v>
      </c>
      <c r="H94" s="1061" t="s">
        <v>1012</v>
      </c>
      <c r="I94" s="865" t="s">
        <v>3055</v>
      </c>
      <c r="J94" s="865" t="s">
        <v>2674</v>
      </c>
      <c r="K94" s="865" t="s">
        <v>2725</v>
      </c>
      <c r="L94" s="1063">
        <f>'Bid 2b'!F1499</f>
        <v>148851000</v>
      </c>
      <c r="M94" s="865"/>
      <c r="N94" s="865"/>
      <c r="O94" s="96" t="s">
        <v>3078</v>
      </c>
    </row>
    <row r="95" spans="1:15" ht="60" x14ac:dyDescent="0.25">
      <c r="A95" s="1"/>
      <c r="B95" s="1"/>
      <c r="C95" s="1">
        <v>39</v>
      </c>
      <c r="D95" s="4" t="e">
        <f>'Bid 2b'!#REF!</f>
        <v>#REF!</v>
      </c>
      <c r="E95" s="1">
        <v>9</v>
      </c>
      <c r="F95" s="4" t="s">
        <v>3216</v>
      </c>
      <c r="G95" s="999">
        <v>1</v>
      </c>
      <c r="H95" s="4" t="s">
        <v>1012</v>
      </c>
      <c r="I95" s="1" t="s">
        <v>3033</v>
      </c>
      <c r="J95" s="1" t="s">
        <v>2674</v>
      </c>
      <c r="K95" s="1" t="s">
        <v>2725</v>
      </c>
      <c r="L95" s="73" t="e">
        <f>'Bid 2b'!#REF!</f>
        <v>#REF!</v>
      </c>
      <c r="M95" s="1"/>
      <c r="N95" s="1"/>
    </row>
    <row r="96" spans="1:15" ht="60" x14ac:dyDescent="0.25">
      <c r="A96" s="1"/>
      <c r="B96" s="1"/>
      <c r="C96" s="1">
        <v>40</v>
      </c>
      <c r="D96" s="4" t="e">
        <f>'Bid 2b'!#REF!</f>
        <v>#REF!</v>
      </c>
      <c r="E96" s="1">
        <v>9</v>
      </c>
      <c r="F96" s="4" t="s">
        <v>3216</v>
      </c>
      <c r="G96" s="999">
        <v>1</v>
      </c>
      <c r="H96" s="4" t="s">
        <v>1012</v>
      </c>
      <c r="I96" s="1" t="s">
        <v>3034</v>
      </c>
      <c r="J96" s="1" t="s">
        <v>2674</v>
      </c>
      <c r="K96" s="1" t="s">
        <v>2725</v>
      </c>
      <c r="L96" s="73" t="e">
        <f>'Bid 2b'!#REF!</f>
        <v>#REF!</v>
      </c>
      <c r="M96" s="1"/>
      <c r="N96" s="1"/>
    </row>
    <row r="97" spans="1:14" ht="60" x14ac:dyDescent="0.25">
      <c r="A97" s="1"/>
      <c r="B97" s="1"/>
      <c r="C97" s="1">
        <v>41</v>
      </c>
      <c r="D97" s="4" t="e">
        <f>'Bid 2b'!#REF!</f>
        <v>#REF!</v>
      </c>
      <c r="E97" s="1">
        <v>9</v>
      </c>
      <c r="F97" s="4" t="s">
        <v>3216</v>
      </c>
      <c r="G97" s="999">
        <v>1</v>
      </c>
      <c r="H97" s="4" t="s">
        <v>1012</v>
      </c>
      <c r="I97" s="1" t="s">
        <v>3028</v>
      </c>
      <c r="J97" s="1" t="s">
        <v>2674</v>
      </c>
      <c r="K97" s="1" t="s">
        <v>2725</v>
      </c>
      <c r="L97" s="73" t="e">
        <f>'Bid 2b'!#REF!</f>
        <v>#REF!</v>
      </c>
      <c r="M97" s="1"/>
      <c r="N97" s="1"/>
    </row>
    <row r="98" spans="1:14" ht="60" x14ac:dyDescent="0.25">
      <c r="A98" s="1"/>
      <c r="B98" s="1"/>
      <c r="C98" s="1">
        <v>42</v>
      </c>
      <c r="D98" s="4" t="str">
        <f>'Bid 2b'!B1551</f>
        <v>Pemeliharaan Jalan Lingkungan Permukiman Gang Plamboyan I (Pembersihan Site)</v>
      </c>
      <c r="E98" s="1">
        <v>9</v>
      </c>
      <c r="F98" s="4" t="s">
        <v>3216</v>
      </c>
      <c r="G98" s="999">
        <v>1</v>
      </c>
      <c r="H98" s="4" t="s">
        <v>1012</v>
      </c>
      <c r="I98" s="1" t="s">
        <v>3035</v>
      </c>
      <c r="J98" s="1" t="s">
        <v>2674</v>
      </c>
      <c r="K98" s="1" t="s">
        <v>2725</v>
      </c>
      <c r="L98" s="73">
        <f>'Bid 2b'!F1567</f>
        <v>8214200</v>
      </c>
      <c r="M98" s="1"/>
      <c r="N98" s="1"/>
    </row>
    <row r="99" spans="1:14" ht="60" x14ac:dyDescent="0.25">
      <c r="A99" s="1"/>
      <c r="B99" s="1"/>
      <c r="C99" s="1">
        <v>43</v>
      </c>
      <c r="D99" s="4" t="str">
        <f>'Bid 2b'!B1584</f>
        <v>Pemeliharaan Jalan Lingkungan Permukiman Gang Plamboyan I (Pemavingan)</v>
      </c>
      <c r="E99" s="1">
        <v>9</v>
      </c>
      <c r="F99" s="4" t="s">
        <v>3216</v>
      </c>
      <c r="G99" s="999">
        <v>1</v>
      </c>
      <c r="H99" s="4" t="s">
        <v>1012</v>
      </c>
      <c r="I99" s="1" t="s">
        <v>3036</v>
      </c>
      <c r="J99" s="1" t="s">
        <v>2674</v>
      </c>
      <c r="K99" s="1" t="s">
        <v>2725</v>
      </c>
      <c r="L99" s="73">
        <f>'Bid 2b'!F1609</f>
        <v>324631800</v>
      </c>
      <c r="M99" s="1"/>
      <c r="N99" s="1"/>
    </row>
    <row r="100" spans="1:14" ht="60" x14ac:dyDescent="0.25">
      <c r="A100" s="1"/>
      <c r="B100" s="1"/>
      <c r="C100" s="1">
        <v>44</v>
      </c>
      <c r="D100" s="4" t="e">
        <f>'Bid 2b'!#REF!</f>
        <v>#REF!</v>
      </c>
      <c r="E100" s="1">
        <v>9</v>
      </c>
      <c r="F100" s="4" t="s">
        <v>3216</v>
      </c>
      <c r="G100" s="999">
        <v>1</v>
      </c>
      <c r="H100" s="4" t="s">
        <v>1012</v>
      </c>
      <c r="I100" s="1" t="s">
        <v>3037</v>
      </c>
      <c r="J100" s="1" t="s">
        <v>2674</v>
      </c>
      <c r="K100" s="1" t="s">
        <v>2725</v>
      </c>
      <c r="L100" s="73" t="e">
        <f>'Bid 2b'!#REF!</f>
        <v>#REF!</v>
      </c>
      <c r="M100" s="1"/>
      <c r="N100" s="1"/>
    </row>
    <row r="101" spans="1:14" ht="60" x14ac:dyDescent="0.25">
      <c r="A101" s="1"/>
      <c r="B101" s="1"/>
      <c r="C101" s="1">
        <v>45</v>
      </c>
      <c r="D101" s="4" t="str">
        <f>'Bid 2b'!B1623</f>
        <v>Pemeliharaan Jalan Lingkungan Permukiman Gang Sekar Sari 1A (Pemavingan)</v>
      </c>
      <c r="E101" s="1">
        <v>9</v>
      </c>
      <c r="F101" s="4" t="s">
        <v>3216</v>
      </c>
      <c r="G101" s="999">
        <v>1</v>
      </c>
      <c r="H101" s="4" t="s">
        <v>1012</v>
      </c>
      <c r="I101" s="1" t="s">
        <v>3038</v>
      </c>
      <c r="J101" s="1" t="s">
        <v>2674</v>
      </c>
      <c r="K101" s="1" t="s">
        <v>2725</v>
      </c>
      <c r="L101" s="73">
        <f>'Bid 2b'!F1648</f>
        <v>0</v>
      </c>
      <c r="M101" s="1"/>
      <c r="N101" s="1"/>
    </row>
    <row r="102" spans="1:14" ht="60" x14ac:dyDescent="0.25">
      <c r="A102" s="1"/>
      <c r="B102" s="1"/>
      <c r="C102" s="1">
        <v>46</v>
      </c>
      <c r="D102" s="4" t="e">
        <f>'Bid 2b'!#REF!</f>
        <v>#REF!</v>
      </c>
      <c r="E102" s="1">
        <v>9</v>
      </c>
      <c r="F102" s="4" t="s">
        <v>3216</v>
      </c>
      <c r="G102" s="999">
        <v>1</v>
      </c>
      <c r="H102" s="4" t="s">
        <v>1012</v>
      </c>
      <c r="I102" s="1" t="s">
        <v>3039</v>
      </c>
      <c r="J102" s="1" t="s">
        <v>2674</v>
      </c>
      <c r="K102" s="1" t="s">
        <v>2725</v>
      </c>
      <c r="L102" s="73" t="e">
        <f>'Bid 2b'!#REF!</f>
        <v>#REF!</v>
      </c>
      <c r="M102" s="1"/>
      <c r="N102" s="1"/>
    </row>
    <row r="103" spans="1:14" ht="60" x14ac:dyDescent="0.25">
      <c r="A103" s="1"/>
      <c r="B103" s="1"/>
      <c r="C103" s="1">
        <v>47</v>
      </c>
      <c r="D103" s="4" t="str">
        <f>'Bid 2b'!B1667</f>
        <v>Pemeliharaan Jalan Lingkungan Permukiman Gang Sekar Sari IVB (Pemavingan)</v>
      </c>
      <c r="E103" s="1">
        <v>9</v>
      </c>
      <c r="F103" s="4" t="s">
        <v>3216</v>
      </c>
      <c r="G103" s="999">
        <v>1</v>
      </c>
      <c r="H103" s="4" t="s">
        <v>1012</v>
      </c>
      <c r="I103" s="1" t="s">
        <v>3040</v>
      </c>
      <c r="J103" s="1" t="s">
        <v>2674</v>
      </c>
      <c r="K103" s="1" t="s">
        <v>2725</v>
      </c>
      <c r="L103" s="73">
        <f>'Bid 2b'!F1692</f>
        <v>0</v>
      </c>
      <c r="M103" s="1"/>
      <c r="N103" s="1"/>
    </row>
    <row r="104" spans="1:14" ht="60" x14ac:dyDescent="0.25">
      <c r="A104" s="1"/>
      <c r="B104" s="1"/>
      <c r="C104" s="1">
        <v>48</v>
      </c>
      <c r="D104" s="4" t="e">
        <f>'Bid 2b'!#REF!</f>
        <v>#REF!</v>
      </c>
      <c r="E104" s="1">
        <v>9</v>
      </c>
      <c r="F104" s="4" t="s">
        <v>3216</v>
      </c>
      <c r="G104" s="999">
        <v>1</v>
      </c>
      <c r="H104" s="4" t="s">
        <v>1012</v>
      </c>
      <c r="I104" s="1" t="s">
        <v>3041</v>
      </c>
      <c r="J104" s="1" t="s">
        <v>2674</v>
      </c>
      <c r="K104" s="1" t="s">
        <v>2725</v>
      </c>
      <c r="L104" s="73" t="e">
        <f>'Bid 2b'!#REF!</f>
        <v>#REF!</v>
      </c>
      <c r="M104" s="1"/>
      <c r="N104" s="1"/>
    </row>
    <row r="105" spans="1:14" ht="60" x14ac:dyDescent="0.25">
      <c r="A105" s="1"/>
      <c r="B105" s="1"/>
      <c r="C105" s="1">
        <v>49</v>
      </c>
      <c r="D105" s="4" t="str">
        <f>'Bid 2b'!B1707</f>
        <v>Pemeliharaan Jalan Lingkungan Permukiman Gang Nusa Indah IV Carik (Pemavingan)</v>
      </c>
      <c r="E105" s="1">
        <v>9</v>
      </c>
      <c r="F105" s="4" t="s">
        <v>3216</v>
      </c>
      <c r="G105" s="999">
        <v>1</v>
      </c>
      <c r="H105" s="4" t="s">
        <v>1012</v>
      </c>
      <c r="I105" s="1" t="s">
        <v>3042</v>
      </c>
      <c r="J105" s="1" t="s">
        <v>2674</v>
      </c>
      <c r="K105" s="1" t="s">
        <v>2725</v>
      </c>
      <c r="L105" s="73">
        <f>'Bid 2b'!F1732</f>
        <v>152489000</v>
      </c>
      <c r="M105" s="1"/>
      <c r="N105" s="1"/>
    </row>
    <row r="106" spans="1:14" ht="60" x14ac:dyDescent="0.25">
      <c r="A106" s="1"/>
      <c r="B106" s="1"/>
      <c r="C106" s="1">
        <v>50</v>
      </c>
      <c r="D106" s="4" t="e">
        <f>'Bid 2b'!#REF!</f>
        <v>#REF!</v>
      </c>
      <c r="E106" s="1">
        <v>9</v>
      </c>
      <c r="F106" s="4" t="s">
        <v>3216</v>
      </c>
      <c r="G106" s="999">
        <v>1</v>
      </c>
      <c r="H106" s="4" t="s">
        <v>1012</v>
      </c>
      <c r="I106" s="1" t="s">
        <v>3043</v>
      </c>
      <c r="J106" s="1" t="s">
        <v>2674</v>
      </c>
      <c r="K106" s="1" t="s">
        <v>2725</v>
      </c>
      <c r="L106" s="73" t="e">
        <f>'Bid 2b'!#REF!</f>
        <v>#REF!</v>
      </c>
      <c r="M106" s="1"/>
      <c r="N106" s="1"/>
    </row>
    <row r="107" spans="1:14" ht="60" x14ac:dyDescent="0.25">
      <c r="A107" s="1"/>
      <c r="B107" s="1"/>
      <c r="C107" s="1">
        <v>51</v>
      </c>
      <c r="D107" s="4" t="str">
        <f>'Bid 2b'!B1748</f>
        <v>Pemeliharaan Jalan Lingkungan Permukiman Gang V Ujung Belakang (Pemavingan)</v>
      </c>
      <c r="E107" s="1">
        <v>9</v>
      </c>
      <c r="F107" s="4" t="s">
        <v>3216</v>
      </c>
      <c r="G107" s="999">
        <v>1</v>
      </c>
      <c r="H107" s="4" t="s">
        <v>1012</v>
      </c>
      <c r="I107" s="1" t="s">
        <v>3044</v>
      </c>
      <c r="J107" s="1" t="s">
        <v>2674</v>
      </c>
      <c r="K107" s="1" t="s">
        <v>2725</v>
      </c>
      <c r="L107" s="73">
        <f>'Bid 2b'!F1772</f>
        <v>33865000</v>
      </c>
      <c r="M107" s="1"/>
      <c r="N107" s="1"/>
    </row>
    <row r="108" spans="1:14" ht="60" x14ac:dyDescent="0.25">
      <c r="A108" s="1"/>
      <c r="B108" s="1"/>
      <c r="C108" s="1">
        <v>52</v>
      </c>
      <c r="D108" s="4" t="str">
        <f>'Bid 2b'!B1785</f>
        <v>Pemeliharaan Jalan Lingkungan Permukiman Gang Anggrek (Pembersihan Site)</v>
      </c>
      <c r="E108" s="1">
        <v>9</v>
      </c>
      <c r="F108" s="4" t="s">
        <v>3216</v>
      </c>
      <c r="G108" s="999">
        <v>1</v>
      </c>
      <c r="H108" s="4" t="s">
        <v>1012</v>
      </c>
      <c r="I108" s="1" t="s">
        <v>3045</v>
      </c>
      <c r="J108" s="1" t="s">
        <v>2674</v>
      </c>
      <c r="K108" s="1" t="s">
        <v>2725</v>
      </c>
      <c r="L108" s="73">
        <f>'Bid 2b'!F1801</f>
        <v>6252600</v>
      </c>
      <c r="M108" s="1"/>
      <c r="N108" s="1"/>
    </row>
    <row r="109" spans="1:14" ht="60" x14ac:dyDescent="0.25">
      <c r="A109" s="1"/>
      <c r="B109" s="1"/>
      <c r="C109" s="1">
        <v>53</v>
      </c>
      <c r="D109" s="4" t="str">
        <f>'Bid 2b'!B1817</f>
        <v>Pemeliharaan Jalan Lingkungan Permukiman Gang Anggrek(Pemavingan)</v>
      </c>
      <c r="E109" s="1">
        <v>9</v>
      </c>
      <c r="F109" s="4" t="s">
        <v>3216</v>
      </c>
      <c r="G109" s="999">
        <v>1</v>
      </c>
      <c r="H109" s="4" t="s">
        <v>1012</v>
      </c>
      <c r="I109" s="1" t="s">
        <v>3046</v>
      </c>
      <c r="J109" s="1" t="s">
        <v>2674</v>
      </c>
      <c r="K109" s="1" t="s">
        <v>2725</v>
      </c>
      <c r="L109" s="73">
        <f>'Bid 2b'!F1842</f>
        <v>193707600</v>
      </c>
      <c r="M109" s="1"/>
      <c r="N109" s="1"/>
    </row>
    <row r="110" spans="1:14" ht="42.75" customHeight="1" x14ac:dyDescent="0.25">
      <c r="A110" s="1"/>
      <c r="B110" s="1"/>
      <c r="C110" s="1">
        <v>54</v>
      </c>
      <c r="D110" s="4" t="e">
        <f>'Bid 2b'!#REF!</f>
        <v>#REF!</v>
      </c>
      <c r="E110" s="1">
        <v>9</v>
      </c>
      <c r="F110" s="4" t="s">
        <v>3216</v>
      </c>
      <c r="G110" s="999">
        <v>1</v>
      </c>
      <c r="H110" s="4" t="s">
        <v>1012</v>
      </c>
      <c r="I110" s="1" t="s">
        <v>3056</v>
      </c>
      <c r="J110" s="1" t="s">
        <v>2674</v>
      </c>
      <c r="K110" s="1" t="s">
        <v>2725</v>
      </c>
      <c r="L110" s="73" t="e">
        <f>'Bid 2b'!#REF!</f>
        <v>#REF!</v>
      </c>
      <c r="M110" s="1"/>
      <c r="N110" s="1"/>
    </row>
    <row r="111" spans="1:14" ht="42.75" customHeight="1" x14ac:dyDescent="0.25">
      <c r="A111" s="1"/>
      <c r="B111" s="1"/>
      <c r="C111" s="1">
        <v>55</v>
      </c>
      <c r="D111" s="4" t="e">
        <f>'Bid 2b'!#REF!</f>
        <v>#REF!</v>
      </c>
      <c r="E111" s="1">
        <v>9</v>
      </c>
      <c r="F111" s="4" t="s">
        <v>3216</v>
      </c>
      <c r="G111" s="999">
        <v>1</v>
      </c>
      <c r="H111" s="4" t="s">
        <v>1012</v>
      </c>
      <c r="I111" s="1" t="s">
        <v>3057</v>
      </c>
      <c r="J111" s="1" t="s">
        <v>2674</v>
      </c>
      <c r="K111" s="1" t="s">
        <v>2725</v>
      </c>
      <c r="L111" s="73" t="e">
        <f>'Bid 2b'!#REF!</f>
        <v>#REF!</v>
      </c>
      <c r="M111" s="1"/>
      <c r="N111" s="1"/>
    </row>
    <row r="112" spans="1:14" ht="42.75" customHeight="1" x14ac:dyDescent="0.25">
      <c r="A112" s="1"/>
      <c r="B112" s="1"/>
      <c r="C112" s="1">
        <v>56</v>
      </c>
      <c r="D112" s="4" t="e">
        <f>'Bid 2b'!#REF!</f>
        <v>#REF!</v>
      </c>
      <c r="E112" s="1">
        <v>9</v>
      </c>
      <c r="F112" s="4" t="s">
        <v>3216</v>
      </c>
      <c r="G112" s="999">
        <v>1</v>
      </c>
      <c r="H112" s="4" t="s">
        <v>1012</v>
      </c>
      <c r="I112" s="1" t="s">
        <v>3058</v>
      </c>
      <c r="J112" s="1" t="s">
        <v>2674</v>
      </c>
      <c r="K112" s="1" t="s">
        <v>2725</v>
      </c>
      <c r="L112" s="73" t="e">
        <f>'Bid 2b'!#REF!</f>
        <v>#REF!</v>
      </c>
      <c r="M112" s="1"/>
      <c r="N112" s="1"/>
    </row>
    <row r="113" spans="1:14" ht="42.75" customHeight="1" x14ac:dyDescent="0.25">
      <c r="A113" s="1"/>
      <c r="B113" s="1"/>
      <c r="C113" s="1">
        <v>57</v>
      </c>
      <c r="D113" s="4" t="e">
        <f>'Bid 2b'!#REF!</f>
        <v>#REF!</v>
      </c>
      <c r="E113" s="1">
        <v>9</v>
      </c>
      <c r="F113" s="4" t="s">
        <v>3216</v>
      </c>
      <c r="G113" s="999">
        <v>1</v>
      </c>
      <c r="H113" s="4" t="s">
        <v>1012</v>
      </c>
      <c r="I113" s="1" t="s">
        <v>3059</v>
      </c>
      <c r="J113" s="1" t="s">
        <v>2674</v>
      </c>
      <c r="K113" s="1" t="s">
        <v>2725</v>
      </c>
      <c r="L113" s="73" t="e">
        <f>'Bid 2b'!#REF!</f>
        <v>#REF!</v>
      </c>
      <c r="M113" s="1"/>
      <c r="N113" s="1"/>
    </row>
    <row r="114" spans="1:14" ht="60" x14ac:dyDescent="0.25">
      <c r="A114" s="1"/>
      <c r="B114" s="1"/>
      <c r="C114" s="1">
        <v>58</v>
      </c>
      <c r="D114" s="4" t="e">
        <f>'Bid 2b'!#REF!</f>
        <v>#REF!</v>
      </c>
      <c r="E114" s="1">
        <v>9</v>
      </c>
      <c r="F114" s="4" t="s">
        <v>3216</v>
      </c>
      <c r="G114" s="999">
        <v>1</v>
      </c>
      <c r="H114" s="4" t="s">
        <v>1012</v>
      </c>
      <c r="I114" s="1" t="s">
        <v>3060</v>
      </c>
      <c r="J114" s="1" t="s">
        <v>2674</v>
      </c>
      <c r="K114" s="1" t="s">
        <v>2725</v>
      </c>
      <c r="L114" s="73" t="e">
        <f>'Bid 2b'!#REF!</f>
        <v>#REF!</v>
      </c>
      <c r="M114" s="1"/>
      <c r="N114" s="1"/>
    </row>
    <row r="115" spans="1:14" ht="60" x14ac:dyDescent="0.25">
      <c r="A115" s="1"/>
      <c r="B115" s="1"/>
      <c r="C115" s="1">
        <v>59</v>
      </c>
      <c r="D115" s="4" t="e">
        <f>'Bid 2b'!#REF!</f>
        <v>#REF!</v>
      </c>
      <c r="E115" s="1">
        <v>9</v>
      </c>
      <c r="F115" s="4" t="s">
        <v>3216</v>
      </c>
      <c r="G115" s="999">
        <v>1</v>
      </c>
      <c r="H115" s="4" t="s">
        <v>1012</v>
      </c>
      <c r="I115" s="1" t="s">
        <v>3061</v>
      </c>
      <c r="J115" s="1" t="s">
        <v>2674</v>
      </c>
      <c r="K115" s="1" t="s">
        <v>2725</v>
      </c>
      <c r="L115" s="73" t="e">
        <f>'Bid 2b'!#REF!</f>
        <v>#REF!</v>
      </c>
      <c r="M115" s="1"/>
      <c r="N115" s="1"/>
    </row>
    <row r="116" spans="1:14" ht="90.75" customHeight="1" x14ac:dyDescent="0.25">
      <c r="A116" s="1"/>
      <c r="B116" s="1"/>
      <c r="C116" s="1">
        <v>60</v>
      </c>
      <c r="D116" s="4" t="str">
        <f>'Bid 2b'!B1908</f>
        <v>: Pemeliharaan Prasarana Jalan Desa (Pembersihan saluran air untuk kelancaran pertanian dan gorong-gorong (PKTD MURNI Ketahanan Pangan)</v>
      </c>
      <c r="E116" s="1">
        <v>9</v>
      </c>
      <c r="F116" s="4" t="s">
        <v>3216</v>
      </c>
      <c r="G116" s="999">
        <v>1</v>
      </c>
      <c r="H116" s="4" t="s">
        <v>1012</v>
      </c>
      <c r="I116" s="1" t="s">
        <v>3061</v>
      </c>
      <c r="J116" s="1" t="s">
        <v>2674</v>
      </c>
      <c r="K116" s="1" t="s">
        <v>2725</v>
      </c>
      <c r="L116" s="73">
        <f>'Bid 2b'!F1921</f>
        <v>11550000</v>
      </c>
      <c r="M116" s="1"/>
      <c r="N116" s="1"/>
    </row>
    <row r="117" spans="1:14" ht="60" x14ac:dyDescent="0.25">
      <c r="A117" s="1"/>
      <c r="B117" s="1"/>
      <c r="C117" s="1">
        <v>61</v>
      </c>
      <c r="D117" s="4" t="str">
        <f>'Bid 2b'!B1934</f>
        <v>: Pembangunan Jalan Usaha Tani (Subak Temaga Munduk Sengguan pembersihan site)</v>
      </c>
      <c r="E117" s="1">
        <v>9</v>
      </c>
      <c r="F117" s="4" t="s">
        <v>3216</v>
      </c>
      <c r="G117" s="999">
        <v>1</v>
      </c>
      <c r="H117" s="4" t="s">
        <v>1012</v>
      </c>
      <c r="I117" s="1" t="s">
        <v>3062</v>
      </c>
      <c r="J117" s="1" t="s">
        <v>2674</v>
      </c>
      <c r="K117" s="1" t="s">
        <v>2725</v>
      </c>
      <c r="L117" s="73">
        <f>'Bid 2b'!F1950</f>
        <v>5483200</v>
      </c>
      <c r="M117" s="1"/>
      <c r="N117" s="1"/>
    </row>
    <row r="118" spans="1:14" ht="60" x14ac:dyDescent="0.25">
      <c r="A118" s="1"/>
      <c r="B118" s="1"/>
      <c r="C118" s="1">
        <v>62</v>
      </c>
      <c r="D118" s="4" t="str">
        <f>'Bid 2b'!B1958</f>
        <v>: Pembangunan Jalan Usaha Tani (Subak Temaga Munduk Sengguan Pondasi Batu Kali)</v>
      </c>
      <c r="E118" s="1">
        <v>9</v>
      </c>
      <c r="F118" s="4" t="s">
        <v>3216</v>
      </c>
      <c r="G118" s="999">
        <v>1</v>
      </c>
      <c r="H118" s="4" t="s">
        <v>1012</v>
      </c>
      <c r="I118" s="1" t="s">
        <v>3063</v>
      </c>
      <c r="J118" s="1" t="s">
        <v>2674</v>
      </c>
      <c r="K118" s="1" t="s">
        <v>2725</v>
      </c>
      <c r="L118" s="73">
        <f>'Bid 2b'!F1983</f>
        <v>527527020</v>
      </c>
      <c r="M118" s="1"/>
      <c r="N118" s="1"/>
    </row>
    <row r="119" spans="1:14" ht="60" x14ac:dyDescent="0.25">
      <c r="A119" s="1"/>
      <c r="B119" s="1"/>
      <c r="C119" s="1">
        <v>63</v>
      </c>
      <c r="D119" s="4" t="str">
        <f>'Bid 2b'!B1992</f>
        <v>: Pembangunan Jalan Usaha Tani (Subak Temaga Munduk Sengguan Galian)</v>
      </c>
      <c r="E119" s="1">
        <v>9</v>
      </c>
      <c r="F119" s="4" t="s">
        <v>3216</v>
      </c>
      <c r="G119" s="999">
        <v>1</v>
      </c>
      <c r="H119" s="4" t="s">
        <v>1012</v>
      </c>
      <c r="I119" s="1" t="s">
        <v>3064</v>
      </c>
      <c r="J119" s="1" t="s">
        <v>2674</v>
      </c>
      <c r="K119" s="1" t="s">
        <v>2725</v>
      </c>
      <c r="L119" s="73">
        <f>'Bid 2b'!F2008</f>
        <v>12750400</v>
      </c>
      <c r="M119" s="1"/>
      <c r="N119" s="1"/>
    </row>
    <row r="120" spans="1:14" ht="48" customHeight="1" x14ac:dyDescent="0.25">
      <c r="A120" s="1"/>
      <c r="B120" s="1"/>
      <c r="C120" s="1">
        <v>64</v>
      </c>
      <c r="D120" s="4" t="str">
        <f>'Bid 2b'!B2017</f>
        <v>: Pembangunan Jalan Usaha Tani (Subak Temaga Munduk Sengguan Urug Lime Stone)</v>
      </c>
      <c r="E120" s="1">
        <v>9</v>
      </c>
      <c r="F120" s="4" t="s">
        <v>3216</v>
      </c>
      <c r="G120" s="999">
        <v>1</v>
      </c>
      <c r="H120" s="4" t="s">
        <v>1012</v>
      </c>
      <c r="I120" s="1" t="s">
        <v>3065</v>
      </c>
      <c r="J120" s="1" t="s">
        <v>2674</v>
      </c>
      <c r="K120" s="1" t="s">
        <v>2725</v>
      </c>
      <c r="L120" s="73">
        <f>'Bid 2b'!F2042</f>
        <v>115849560</v>
      </c>
      <c r="M120" s="1"/>
      <c r="N120" s="1"/>
    </row>
    <row r="121" spans="1:14" ht="60" x14ac:dyDescent="0.25">
      <c r="A121" s="1"/>
      <c r="B121" s="1"/>
      <c r="C121" s="1">
        <v>65</v>
      </c>
      <c r="D121" s="4" t="str">
        <f>'Bid 2b'!B2050</f>
        <v>: Pembangunan Jalan Usaha Tani (Subak Temaga Munduk Sengguan Bekisting)</v>
      </c>
      <c r="E121" s="1">
        <v>9</v>
      </c>
      <c r="F121" s="4" t="s">
        <v>3216</v>
      </c>
      <c r="G121" s="999">
        <v>1</v>
      </c>
      <c r="H121" s="4" t="s">
        <v>1012</v>
      </c>
      <c r="I121" s="1" t="s">
        <v>3066</v>
      </c>
      <c r="J121" s="1" t="s">
        <v>2674</v>
      </c>
      <c r="K121" s="1" t="s">
        <v>2725</v>
      </c>
      <c r="L121" s="73">
        <f>'Bid 2b'!F2073</f>
        <v>8147760</v>
      </c>
      <c r="M121" s="1"/>
      <c r="N121" s="1"/>
    </row>
    <row r="122" spans="1:14" ht="60" x14ac:dyDescent="0.25">
      <c r="A122" s="1"/>
      <c r="B122" s="1"/>
      <c r="C122" s="1">
        <v>66</v>
      </c>
      <c r="D122" s="4" t="str">
        <f>'Bid 2b'!B2082</f>
        <v>: Pembangunan Jalan Usaha Tani (Subak Temaga Munduk Sengguan Pembesian)</v>
      </c>
      <c r="E122" s="1">
        <v>9</v>
      </c>
      <c r="F122" s="4" t="s">
        <v>3216</v>
      </c>
      <c r="G122" s="999">
        <v>1</v>
      </c>
      <c r="H122" s="4" t="s">
        <v>1012</v>
      </c>
      <c r="I122" s="1" t="s">
        <v>3067</v>
      </c>
      <c r="J122" s="1" t="s">
        <v>2674</v>
      </c>
      <c r="K122" s="1" t="s">
        <v>2725</v>
      </c>
      <c r="L122" s="73">
        <f>'Bid 2b'!F2103</f>
        <v>55365600</v>
      </c>
      <c r="M122" s="1"/>
      <c r="N122" s="1"/>
    </row>
    <row r="123" spans="1:14" ht="60" x14ac:dyDescent="0.25">
      <c r="A123" s="1"/>
      <c r="B123" s="1"/>
      <c r="C123" s="1">
        <v>67</v>
      </c>
      <c r="D123" s="4" t="str">
        <f>'Bid 2b'!B2112</f>
        <v xml:space="preserve">: Pembangunan Jalan Usaha Tani (Subak Temaga Munduk Sengguan) PEMBETONAN </v>
      </c>
      <c r="E123" s="1">
        <v>9</v>
      </c>
      <c r="F123" s="4" t="s">
        <v>3216</v>
      </c>
      <c r="G123" s="999">
        <v>1</v>
      </c>
      <c r="H123" s="4" t="s">
        <v>1012</v>
      </c>
      <c r="I123" s="1" t="s">
        <v>3068</v>
      </c>
      <c r="J123" s="1" t="s">
        <v>2674</v>
      </c>
      <c r="K123" s="1" t="s">
        <v>2725</v>
      </c>
      <c r="L123" s="73">
        <f>'Bid 2b'!F2136</f>
        <v>67387320</v>
      </c>
      <c r="M123" s="1"/>
      <c r="N123" s="1"/>
    </row>
    <row r="124" spans="1:14" ht="60" x14ac:dyDescent="0.25">
      <c r="A124" s="1"/>
      <c r="B124" s="1"/>
      <c r="C124" s="1">
        <v>68</v>
      </c>
      <c r="D124" s="4" t="str">
        <f>'Bid 2b'!B2144</f>
        <v>: Pembangunan Jalan Usaha Tani (Subak Temaga Munduk Sengguan Jembatan)</v>
      </c>
      <c r="E124" s="1">
        <v>9</v>
      </c>
      <c r="F124" s="4" t="s">
        <v>3216</v>
      </c>
      <c r="G124" s="999">
        <v>1</v>
      </c>
      <c r="H124" s="4" t="s">
        <v>1012</v>
      </c>
      <c r="I124" s="1" t="s">
        <v>3069</v>
      </c>
      <c r="J124" s="1" t="s">
        <v>2674</v>
      </c>
      <c r="K124" s="1" t="s">
        <v>2725</v>
      </c>
      <c r="L124" s="73">
        <f>'Bid 2b'!F2172</f>
        <v>18562000</v>
      </c>
      <c r="M124" s="1"/>
      <c r="N124" s="1"/>
    </row>
    <row r="125" spans="1:14" ht="60" x14ac:dyDescent="0.25">
      <c r="A125" s="1"/>
      <c r="B125" s="1"/>
      <c r="C125" s="1">
        <v>69</v>
      </c>
      <c r="D125" s="4" t="str">
        <f>'Bid 2b'!B2180</f>
        <v>: Kegiatan Pengelolaan Sampah Tingkat Desa</v>
      </c>
      <c r="E125" s="1" t="s">
        <v>3222</v>
      </c>
      <c r="F125" s="4" t="s">
        <v>3223</v>
      </c>
      <c r="G125" s="999">
        <v>1</v>
      </c>
      <c r="H125" s="4" t="s">
        <v>1012</v>
      </c>
      <c r="I125" s="1"/>
      <c r="J125" s="1" t="s">
        <v>2674</v>
      </c>
      <c r="K125" s="1" t="s">
        <v>2725</v>
      </c>
      <c r="L125" s="73">
        <f>'Bid 2b'!F2235</f>
        <v>650876535.20000005</v>
      </c>
      <c r="M125" s="1"/>
      <c r="N125" s="1"/>
    </row>
    <row r="126" spans="1:14" ht="60" x14ac:dyDescent="0.25">
      <c r="A126" s="1"/>
      <c r="B126" s="1"/>
      <c r="C126" s="1">
        <v>70</v>
      </c>
      <c r="D126" s="4" t="str">
        <f>'Bid 2b'!B2250</f>
        <v>: Kegiatan Pengelolaan Sampah Tingkat Desa (Oprasional TPS3R)</v>
      </c>
      <c r="E126" s="1" t="s">
        <v>3222</v>
      </c>
      <c r="F126" s="4" t="s">
        <v>3223</v>
      </c>
      <c r="G126" s="999">
        <v>1</v>
      </c>
      <c r="H126" s="4" t="s">
        <v>1012</v>
      </c>
      <c r="I126" s="1"/>
      <c r="J126" s="1" t="s">
        <v>2674</v>
      </c>
      <c r="K126" s="1" t="s">
        <v>2725</v>
      </c>
      <c r="L126" s="73">
        <f>'Bid 2b'!F2323</f>
        <v>268499300</v>
      </c>
      <c r="M126" s="1"/>
      <c r="N126" s="1"/>
    </row>
    <row r="127" spans="1:14" ht="60" x14ac:dyDescent="0.25">
      <c r="A127" s="1"/>
      <c r="B127" s="1"/>
      <c r="C127" s="1">
        <v>71</v>
      </c>
      <c r="D127" s="4" t="str">
        <f>'Bid 2b'!B2340</f>
        <v>: Pemeiliharaan Fasilitas Pengelolaan Sampah Desa/ Pemukiman (Operasional Kegiatan Bank Sampah Desa)</v>
      </c>
      <c r="E127" s="1" t="s">
        <v>3222</v>
      </c>
      <c r="F127" s="4" t="s">
        <v>3223</v>
      </c>
      <c r="G127" s="999">
        <v>1</v>
      </c>
      <c r="H127" s="4" t="s">
        <v>1012</v>
      </c>
      <c r="I127" s="1"/>
      <c r="J127" s="1" t="s">
        <v>2674</v>
      </c>
      <c r="K127" s="1" t="s">
        <v>2725</v>
      </c>
      <c r="L127" s="73">
        <f>'Bid 2b'!F2375</f>
        <v>45256000</v>
      </c>
      <c r="M127" s="1"/>
      <c r="N127" s="1"/>
    </row>
    <row r="128" spans="1:14" ht="60" x14ac:dyDescent="0.25">
      <c r="A128" s="1"/>
      <c r="B128" s="1"/>
      <c r="C128" s="1">
        <v>72</v>
      </c>
      <c r="D128" s="4" t="str">
        <f>'Bid 2b'!B2389</f>
        <v>: Operasional Tim Kebersihan Lingkungan</v>
      </c>
      <c r="E128" s="1" t="s">
        <v>3222</v>
      </c>
      <c r="F128" s="4" t="s">
        <v>3223</v>
      </c>
      <c r="G128" s="999">
        <v>1</v>
      </c>
      <c r="H128" s="4" t="s">
        <v>1012</v>
      </c>
      <c r="I128" s="1"/>
      <c r="J128" s="1" t="s">
        <v>2674</v>
      </c>
      <c r="K128" s="1" t="s">
        <v>2725</v>
      </c>
      <c r="L128" s="73">
        <f>'Bid 2b'!F2423</f>
        <v>111982000</v>
      </c>
      <c r="M128" s="1"/>
      <c r="N128" s="1"/>
    </row>
    <row r="129" spans="1:15" ht="60" x14ac:dyDescent="0.25">
      <c r="A129" s="1"/>
      <c r="B129" s="1"/>
      <c r="C129" s="1">
        <v>73</v>
      </c>
      <c r="D129" s="1" t="str">
        <f>'Bid 2b'!B2441</f>
        <v>: TIM KEBERSIHAN SUNGAI</v>
      </c>
      <c r="E129" s="1" t="s">
        <v>3222</v>
      </c>
      <c r="F129" s="4" t="s">
        <v>3223</v>
      </c>
      <c r="G129" s="999">
        <v>1</v>
      </c>
      <c r="H129" s="4" t="s">
        <v>1012</v>
      </c>
      <c r="I129" s="1"/>
      <c r="J129" s="1" t="s">
        <v>2674</v>
      </c>
      <c r="K129" s="1" t="s">
        <v>2725</v>
      </c>
      <c r="L129" s="73">
        <f>'Bid 2b'!F2463</f>
        <v>122284000</v>
      </c>
      <c r="M129" s="1"/>
      <c r="N129" s="1"/>
    </row>
    <row r="130" spans="1:15" ht="60" customHeight="1" x14ac:dyDescent="0.25">
      <c r="A130" s="1"/>
      <c r="B130" s="1"/>
      <c r="C130" s="1">
        <v>74</v>
      </c>
      <c r="D130" s="4" t="str">
        <f>'Bid 2b'!B2477</f>
        <v>: Pembangunan/Rehabilitasi/Peningkatan Sumur Resapan (Teba Moderen dan Tong Komposter)</v>
      </c>
      <c r="E130" s="1" t="s">
        <v>3222</v>
      </c>
      <c r="F130" s="4" t="s">
        <v>3223</v>
      </c>
      <c r="G130" s="999">
        <v>1</v>
      </c>
      <c r="H130" s="4" t="s">
        <v>1012</v>
      </c>
      <c r="I130" s="1"/>
      <c r="J130" s="1" t="s">
        <v>2674</v>
      </c>
      <c r="K130" s="1" t="s">
        <v>2725</v>
      </c>
      <c r="L130" s="73">
        <f>'Bid 2b'!F2489</f>
        <v>379000000</v>
      </c>
      <c r="M130" s="1"/>
      <c r="N130" s="1"/>
    </row>
    <row r="131" spans="1:15" ht="75" x14ac:dyDescent="0.25">
      <c r="A131" s="1"/>
      <c r="B131" s="1"/>
      <c r="C131" s="1">
        <v>75</v>
      </c>
      <c r="D131" s="4" t="str">
        <f>'Bid 2b'!B2506</f>
        <v>: Sosialisasi tentang Lingkungan Hidup dan Kehutanan (Sosialisasi Pemilihan Sampah Rumah Tangga)</v>
      </c>
      <c r="E131" s="1" t="s">
        <v>3222</v>
      </c>
      <c r="F131" s="4" t="s">
        <v>3223</v>
      </c>
      <c r="G131" s="999">
        <v>1</v>
      </c>
      <c r="H131" s="4" t="s">
        <v>1012</v>
      </c>
      <c r="I131" s="1"/>
      <c r="J131" s="1" t="s">
        <v>2674</v>
      </c>
      <c r="K131" s="1" t="s">
        <v>2725</v>
      </c>
      <c r="L131" s="73">
        <f>'Bid 2b'!F2538</f>
        <v>50115000</v>
      </c>
      <c r="M131" s="1"/>
      <c r="N131" s="1"/>
    </row>
    <row r="132" spans="1:15" ht="60" x14ac:dyDescent="0.25">
      <c r="A132" s="24"/>
      <c r="B132" s="24"/>
      <c r="C132" s="1">
        <v>76</v>
      </c>
      <c r="D132" s="870" t="str">
        <f>'Bid 2b'!B2551</f>
        <v>: Penyelenggaraan Informasi Publik Desa ( Pembuatan dan Pemasangan Baliho APBDesa )</v>
      </c>
      <c r="E132" s="24">
        <v>16</v>
      </c>
      <c r="F132" s="870" t="s">
        <v>3224</v>
      </c>
      <c r="G132" s="999">
        <v>1</v>
      </c>
      <c r="H132" s="4" t="s">
        <v>1012</v>
      </c>
      <c r="I132" s="24"/>
      <c r="J132" s="1" t="s">
        <v>2674</v>
      </c>
      <c r="K132" s="1" t="s">
        <v>2725</v>
      </c>
      <c r="L132" s="1060">
        <f>'Bid 2b'!F2561</f>
        <v>4986000</v>
      </c>
      <c r="M132" s="24"/>
      <c r="N132" s="24"/>
    </row>
    <row r="133" spans="1:15" s="1" customFormat="1" ht="60" x14ac:dyDescent="0.25">
      <c r="C133" s="1">
        <v>77</v>
      </c>
      <c r="D133" s="4" t="str">
        <f>'Bid 2b'!B2575</f>
        <v>: Pengembangan Pariwisata Tingkat Desa (Pelatihan POKDARWIS)</v>
      </c>
      <c r="E133" s="1" t="s">
        <v>3225</v>
      </c>
      <c r="F133" s="4" t="s">
        <v>3226</v>
      </c>
      <c r="G133" s="999">
        <v>1</v>
      </c>
      <c r="H133" s="4" t="s">
        <v>1012</v>
      </c>
      <c r="J133" s="1" t="s">
        <v>2674</v>
      </c>
      <c r="K133" s="1" t="s">
        <v>2725</v>
      </c>
      <c r="L133" s="73">
        <f>'Bid 2b'!F2615</f>
        <v>62892000</v>
      </c>
    </row>
    <row r="134" spans="1:15" x14ac:dyDescent="0.25">
      <c r="A134" s="2248" t="s">
        <v>1119</v>
      </c>
      <c r="B134" s="2230"/>
      <c r="C134" s="2230"/>
      <c r="D134" s="2230"/>
      <c r="E134" s="2230"/>
      <c r="F134" s="2230"/>
      <c r="G134" s="2230"/>
      <c r="H134" s="2230"/>
      <c r="I134" s="2230"/>
      <c r="J134" s="2230"/>
      <c r="K134" s="2249"/>
      <c r="L134" s="117" t="e">
        <f>SUM(L57:L133)</f>
        <v>#REF!</v>
      </c>
      <c r="M134" s="114"/>
      <c r="N134" s="114"/>
    </row>
    <row r="135" spans="1:15" ht="75" x14ac:dyDescent="0.25">
      <c r="A135" s="1"/>
      <c r="B135" s="4" t="str">
        <f>'Bid 3b'!B5</f>
        <v>: Pembinaan Kemasyarakatan Desa</v>
      </c>
      <c r="C135" s="1">
        <v>1</v>
      </c>
      <c r="D135" s="4" t="str">
        <f>'Bid 3b'!B7</f>
        <v>:Koordinasi Pembinaan Ketentraman, Ketertiban, dan Perlindungan Masyarakat (Pengamanan Pengerupukan)</v>
      </c>
      <c r="E135" s="1" t="s">
        <v>3228</v>
      </c>
      <c r="F135" s="4" t="s">
        <v>3227</v>
      </c>
      <c r="G135" s="999">
        <v>1</v>
      </c>
      <c r="H135" s="4" t="s">
        <v>1012</v>
      </c>
      <c r="I135" s="1"/>
      <c r="J135" s="1" t="s">
        <v>2674</v>
      </c>
      <c r="K135" s="1" t="s">
        <v>2725</v>
      </c>
      <c r="L135" s="73">
        <f>'Bid 3b'!F26</f>
        <v>7825000</v>
      </c>
      <c r="M135" s="1"/>
      <c r="N135" s="1"/>
    </row>
    <row r="136" spans="1:15" ht="75" x14ac:dyDescent="0.25">
      <c r="A136" s="1"/>
      <c r="B136" s="1"/>
      <c r="C136" s="1">
        <v>2</v>
      </c>
      <c r="D136" s="4" t="str">
        <f>'Bid 3b'!B40</f>
        <v>: Koordinasi Pembinaan Ketentraman, Ketertiban, dan Perlindungan Masyarakat (Pengamanan Tahun Baru)</v>
      </c>
      <c r="E136" s="1" t="s">
        <v>3228</v>
      </c>
      <c r="F136" s="4" t="s">
        <v>3227</v>
      </c>
      <c r="G136" s="999">
        <v>1</v>
      </c>
      <c r="H136" s="4" t="s">
        <v>1012</v>
      </c>
      <c r="I136" s="1"/>
      <c r="J136" s="1" t="s">
        <v>2674</v>
      </c>
      <c r="K136" s="1" t="s">
        <v>2725</v>
      </c>
      <c r="L136" s="73">
        <f>'Bid 3b'!F60</f>
        <v>9720132.1799999997</v>
      </c>
      <c r="M136" s="1"/>
      <c r="N136" s="1"/>
      <c r="O136" s="5"/>
    </row>
    <row r="137" spans="1:15" ht="75" x14ac:dyDescent="0.25">
      <c r="A137" s="1"/>
      <c r="B137" s="1"/>
      <c r="C137" s="1">
        <v>3</v>
      </c>
      <c r="D137" s="4" t="str">
        <f>'Bid 3b'!B74</f>
        <v>:Koordinasi Pembinaan Ketentraman, Ketertiban, dan Perlindungan Masyarakat (Penjagaan Linmas Desa)</v>
      </c>
      <c r="E137" s="1" t="s">
        <v>3228</v>
      </c>
      <c r="F137" s="4" t="s">
        <v>3227</v>
      </c>
      <c r="G137" s="999">
        <v>1</v>
      </c>
      <c r="H137" s="4" t="s">
        <v>1012</v>
      </c>
      <c r="I137" s="1"/>
      <c r="J137" s="1" t="s">
        <v>2674</v>
      </c>
      <c r="K137" s="1" t="s">
        <v>2725</v>
      </c>
      <c r="L137" s="73">
        <f>'Bid 3b'!F101</f>
        <v>317636000</v>
      </c>
      <c r="M137" s="1"/>
      <c r="N137" s="1"/>
    </row>
    <row r="138" spans="1:15" ht="75" x14ac:dyDescent="0.25">
      <c r="A138" s="1"/>
      <c r="B138" s="1"/>
      <c r="C138" s="1">
        <v>4</v>
      </c>
      <c r="D138" s="4" t="str">
        <f>'Bid 3b'!B115</f>
        <v>: Pelatihan Kesiapsiagaan/Tanggap Bencana Skala Lokal Desa ( Pelatihan Tanggap Darurat Bencana )</v>
      </c>
      <c r="E138" s="1" t="s">
        <v>3228</v>
      </c>
      <c r="F138" s="4" t="s">
        <v>3227</v>
      </c>
      <c r="G138" s="999">
        <v>1</v>
      </c>
      <c r="H138" s="4" t="s">
        <v>1012</v>
      </c>
      <c r="I138" s="1"/>
      <c r="J138" s="1" t="s">
        <v>2674</v>
      </c>
      <c r="K138" s="1" t="s">
        <v>2725</v>
      </c>
      <c r="L138" s="73">
        <f>'Bid 3b'!F140</f>
        <v>34770000</v>
      </c>
      <c r="M138" s="1"/>
      <c r="N138" s="1"/>
    </row>
    <row r="139" spans="1:15" ht="180" x14ac:dyDescent="0.25">
      <c r="A139" s="1"/>
      <c r="B139" s="1"/>
      <c r="C139" s="1">
        <v>5</v>
      </c>
      <c r="D139" s="4" t="str">
        <f>'Bid 3b'!B154</f>
        <v xml:space="preserve">  : Penyelenggaraan Festival Kesenian, Adat / Kebudayaan, dan Keagamaan (Pembinaan dan Lomba Nyurat Aksara Bali Anak Umur 7 - 12 Tahun, Ngwacen Lontar Anak Remaja Umur 16 - 18 tahun Nyatua Bali Krama Istri Dalam Rangka Penyelenggaraan Bulan Bahasa Bali )</v>
      </c>
      <c r="E139" s="1" t="s">
        <v>3228</v>
      </c>
      <c r="F139" s="4" t="s">
        <v>3229</v>
      </c>
      <c r="G139" s="999">
        <v>1</v>
      </c>
      <c r="H139" s="4" t="s">
        <v>1012</v>
      </c>
      <c r="I139" s="1"/>
      <c r="J139" s="1" t="s">
        <v>2674</v>
      </c>
      <c r="K139" s="1" t="s">
        <v>2725</v>
      </c>
      <c r="L139" s="73">
        <f>'Bid 3b'!F220</f>
        <v>42947000</v>
      </c>
      <c r="M139" s="1"/>
      <c r="N139" s="1"/>
    </row>
    <row r="140" spans="1:15" ht="105" x14ac:dyDescent="0.25">
      <c r="A140" s="1"/>
      <c r="B140" s="1"/>
      <c r="C140" s="1">
        <v>6</v>
      </c>
      <c r="D140" s="4" t="str">
        <f>'Bid 3b'!B233</f>
        <v xml:space="preserve">  : Penyelenggaraan Festival Kesenian, Adat / Kebudayaan, dan Keagamaan (Pembinaan dan Lomba Membaca Puisi dan Karaoke Ibu dan Anak Memperingati Hari Ibu)</v>
      </c>
      <c r="E140" s="1" t="s">
        <v>3228</v>
      </c>
      <c r="F140" s="4" t="s">
        <v>3230</v>
      </c>
      <c r="G140" s="999">
        <v>1</v>
      </c>
      <c r="H140" s="4" t="s">
        <v>1012</v>
      </c>
      <c r="I140" s="1"/>
      <c r="J140" s="1" t="s">
        <v>2674</v>
      </c>
      <c r="K140" s="1" t="s">
        <v>2725</v>
      </c>
      <c r="L140" s="73">
        <f>'Bid 3b'!F282</f>
        <v>29440000</v>
      </c>
      <c r="M140" s="1"/>
      <c r="N140" s="1"/>
    </row>
    <row r="141" spans="1:15" ht="90" x14ac:dyDescent="0.25">
      <c r="A141" s="1"/>
      <c r="B141" s="1"/>
      <c r="C141" s="1">
        <v>7</v>
      </c>
      <c r="D141" s="4" t="str">
        <f>'Bid 3b'!B295</f>
        <v xml:space="preserve">  : Penyelenggaraan Festival Kesenian, Adat / Kebudayaan, dan Keagamaan (Parade Baleganjur Ngarap Desa Penatih Dangin Puri)</v>
      </c>
      <c r="E141" s="1" t="s">
        <v>3228</v>
      </c>
      <c r="F141" s="4" t="s">
        <v>3231</v>
      </c>
      <c r="G141" s="999">
        <v>1</v>
      </c>
      <c r="H141" s="4" t="s">
        <v>1012</v>
      </c>
      <c r="I141" s="1"/>
      <c r="J141" s="1" t="s">
        <v>2674</v>
      </c>
      <c r="K141" s="1" t="s">
        <v>2725</v>
      </c>
      <c r="L141" s="73">
        <f>'Bid 3b'!F348</f>
        <v>298510000</v>
      </c>
      <c r="M141" s="1"/>
      <c r="N141" s="1"/>
    </row>
    <row r="142" spans="1:15" ht="60" x14ac:dyDescent="0.25">
      <c r="A142" s="1"/>
      <c r="B142" s="1"/>
      <c r="C142" s="1">
        <v>8</v>
      </c>
      <c r="D142" s="4" t="str">
        <f>'Bid 3b'!B361</f>
        <v>Pembinaan Grup Kesenian dan Kebudayaan Tingkat Desa (Grup Sekaa Pesantian)</v>
      </c>
      <c r="E142" s="1" t="s">
        <v>3228</v>
      </c>
      <c r="F142" s="4" t="s">
        <v>3231</v>
      </c>
      <c r="G142" s="999">
        <v>1</v>
      </c>
      <c r="H142" s="4" t="s">
        <v>1012</v>
      </c>
      <c r="I142" s="1"/>
      <c r="J142" s="1" t="s">
        <v>2674</v>
      </c>
      <c r="K142" s="1" t="s">
        <v>2725</v>
      </c>
      <c r="L142" s="73">
        <f>'Bid 3b'!F385</f>
        <v>246660000</v>
      </c>
      <c r="M142" s="1"/>
      <c r="N142" s="1"/>
    </row>
    <row r="143" spans="1:15" ht="75" x14ac:dyDescent="0.25">
      <c r="A143" s="1"/>
      <c r="B143" s="1"/>
      <c r="C143" s="1">
        <v>10</v>
      </c>
      <c r="D143" s="4" t="str">
        <f>'Bid 3b'!B465</f>
        <v>:Pengiriman Kontingen Group Kesenian &amp; Kebudayaan Ke tingkat Kota ( Lomba Penjor Hut Kota Denpasar)</v>
      </c>
      <c r="E143" s="1" t="s">
        <v>3228</v>
      </c>
      <c r="F143" s="4" t="s">
        <v>3232</v>
      </c>
      <c r="G143" s="999">
        <v>1</v>
      </c>
      <c r="H143" s="4" t="s">
        <v>1012</v>
      </c>
      <c r="I143" s="1"/>
      <c r="J143" s="1" t="s">
        <v>2674</v>
      </c>
      <c r="K143" s="1" t="s">
        <v>2725</v>
      </c>
      <c r="L143" s="73">
        <f>'Bid 3b'!F480</f>
        <v>10750000</v>
      </c>
      <c r="M143" s="1"/>
      <c r="N143" s="1"/>
    </row>
    <row r="144" spans="1:15" ht="60" customHeight="1" x14ac:dyDescent="0.25">
      <c r="A144" s="1"/>
      <c r="B144" s="1"/>
      <c r="C144" s="1">
        <v>11</v>
      </c>
      <c r="D144" s="4" t="str">
        <f>'Bid 3b'!B493</f>
        <v>:Pengiriman Kontingen Group Kesenian &amp; Kebudayaan Ke tingkat Kota ( Lomba Lagu Jendela Dunia)</v>
      </c>
      <c r="E144" s="1" t="s">
        <v>3228</v>
      </c>
      <c r="F144" s="4" t="s">
        <v>3233</v>
      </c>
      <c r="G144" s="999">
        <v>1</v>
      </c>
      <c r="H144" s="4" t="s">
        <v>1012</v>
      </c>
      <c r="I144" s="1"/>
      <c r="J144" s="1" t="s">
        <v>2674</v>
      </c>
      <c r="K144" s="1" t="s">
        <v>2725</v>
      </c>
      <c r="L144" s="73">
        <f>'Bid 3b'!F519</f>
        <v>114950000</v>
      </c>
      <c r="M144" s="1"/>
      <c r="N144" s="1"/>
    </row>
    <row r="145" spans="1:14" ht="75" x14ac:dyDescent="0.25">
      <c r="A145" s="1"/>
      <c r="B145" s="1"/>
      <c r="C145" s="1">
        <v>12</v>
      </c>
      <c r="D145" s="4" t="str">
        <f>'Bid 3b'!B533</f>
        <v xml:space="preserve"> : Pembinaan Adat dan Keagamaan (Piodalan Padmasana)</v>
      </c>
      <c r="E145" s="1" t="s">
        <v>3228</v>
      </c>
      <c r="F145" s="4" t="s">
        <v>3234</v>
      </c>
      <c r="G145" s="999">
        <v>1</v>
      </c>
      <c r="H145" s="4" t="s">
        <v>1012</v>
      </c>
      <c r="I145" s="1"/>
      <c r="J145" s="1" t="s">
        <v>2674</v>
      </c>
      <c r="K145" s="1" t="s">
        <v>2725</v>
      </c>
      <c r="L145" s="73">
        <f>'Bid 3b'!F559</f>
        <v>8560000</v>
      </c>
      <c r="M145" s="1"/>
      <c r="N145" s="1"/>
    </row>
    <row r="146" spans="1:14" ht="60" x14ac:dyDescent="0.25">
      <c r="A146" s="1"/>
      <c r="B146" s="1"/>
      <c r="C146" s="1">
        <v>13</v>
      </c>
      <c r="D146" s="4" t="str">
        <f>'Bid 3b'!B572</f>
        <v>: Pembinaan Adat dan Keagamaan (Upakara dan Upacara)</v>
      </c>
      <c r="E146" s="1" t="s">
        <v>3228</v>
      </c>
      <c r="F146" s="4" t="s">
        <v>3235</v>
      </c>
      <c r="G146" s="999">
        <v>1</v>
      </c>
      <c r="H146" s="4" t="s">
        <v>1012</v>
      </c>
      <c r="I146" s="1"/>
      <c r="J146" s="1" t="s">
        <v>2674</v>
      </c>
      <c r="K146" s="1" t="s">
        <v>2725</v>
      </c>
      <c r="L146" s="73">
        <f>'Bid 3b'!F591</f>
        <v>5700000</v>
      </c>
      <c r="M146" s="1"/>
      <c r="N146" s="1"/>
    </row>
    <row r="147" spans="1:14" ht="60" x14ac:dyDescent="0.25">
      <c r="A147" s="1"/>
      <c r="B147" s="1"/>
      <c r="C147" s="1">
        <v>14</v>
      </c>
      <c r="D147" s="4" t="str">
        <f>'Bid 3b'!B604</f>
        <v>: Pembinaan Adat dan Keagamaan (Tumpek Landep)</v>
      </c>
      <c r="E147" s="1" t="s">
        <v>3228</v>
      </c>
      <c r="F147" s="4" t="s">
        <v>3236</v>
      </c>
      <c r="G147" s="999">
        <v>1</v>
      </c>
      <c r="H147" s="4" t="s">
        <v>1012</v>
      </c>
      <c r="I147" s="1"/>
      <c r="J147" s="1" t="s">
        <v>2674</v>
      </c>
      <c r="K147" s="1" t="s">
        <v>2725</v>
      </c>
      <c r="L147" s="73">
        <f>'Bid 3b'!F621</f>
        <v>27700000</v>
      </c>
      <c r="M147" s="1"/>
      <c r="N147" s="1"/>
    </row>
    <row r="148" spans="1:14" ht="60" x14ac:dyDescent="0.25">
      <c r="A148" s="1"/>
      <c r="B148" s="1"/>
      <c r="C148" s="1">
        <v>15</v>
      </c>
      <c r="D148" s="4" t="str">
        <f>'Bid 3b'!B634</f>
        <v xml:space="preserve"> : Penunjang Oprasional Subak/Subak Abian (BKKProvinsi)</v>
      </c>
      <c r="E148" s="1" t="s">
        <v>3228</v>
      </c>
      <c r="F148" s="4" t="s">
        <v>3237</v>
      </c>
      <c r="G148" s="999">
        <v>1</v>
      </c>
      <c r="H148" s="4" t="s">
        <v>1012</v>
      </c>
      <c r="I148" s="1"/>
      <c r="J148" s="1" t="s">
        <v>2674</v>
      </c>
      <c r="K148" s="1" t="s">
        <v>2725</v>
      </c>
      <c r="L148" s="73">
        <f>'Bid 3b'!F644</f>
        <v>45000000</v>
      </c>
      <c r="M148" s="1"/>
      <c r="N148" s="1"/>
    </row>
    <row r="149" spans="1:14" ht="75" x14ac:dyDescent="0.25">
      <c r="A149" s="1"/>
      <c r="B149" s="1"/>
      <c r="C149" s="1">
        <v>16</v>
      </c>
      <c r="D149" s="4" t="str">
        <f>'Bid 3b'!B657</f>
        <v xml:space="preserve"> : Penunjang Oprasional Desa Pakraman(BKK Kota)</v>
      </c>
      <c r="E149" s="1" t="s">
        <v>3228</v>
      </c>
      <c r="F149" s="4" t="s">
        <v>3238</v>
      </c>
      <c r="G149" s="999">
        <v>1</v>
      </c>
      <c r="H149" s="4" t="s">
        <v>1012</v>
      </c>
      <c r="I149" s="1"/>
      <c r="J149" s="1" t="s">
        <v>2674</v>
      </c>
      <c r="K149" s="1" t="s">
        <v>2725</v>
      </c>
      <c r="L149" s="73">
        <f>'Bid 3b'!F668</f>
        <v>2030000000</v>
      </c>
      <c r="M149" s="1"/>
      <c r="N149" s="1"/>
    </row>
    <row r="150" spans="1:14" ht="60" x14ac:dyDescent="0.25">
      <c r="A150" s="1"/>
      <c r="B150" s="1"/>
      <c r="C150" s="1">
        <v>17</v>
      </c>
      <c r="D150" s="1" t="str">
        <f>'Bid 3b'!B681</f>
        <v>: Kegiatan Bakti Penganyaran</v>
      </c>
      <c r="E150" s="1" t="s">
        <v>3228</v>
      </c>
      <c r="F150" s="4" t="s">
        <v>3239</v>
      </c>
      <c r="G150" s="999">
        <v>1</v>
      </c>
      <c r="H150" s="4" t="s">
        <v>1012</v>
      </c>
      <c r="I150" s="1"/>
      <c r="J150" s="1" t="s">
        <v>2674</v>
      </c>
      <c r="K150" s="1" t="s">
        <v>2725</v>
      </c>
      <c r="L150" s="73">
        <f>'Bid 3b'!F709</f>
        <v>180000000</v>
      </c>
      <c r="M150" s="1"/>
      <c r="N150" s="1"/>
    </row>
    <row r="151" spans="1:14" ht="135" x14ac:dyDescent="0.25">
      <c r="A151" s="1"/>
      <c r="B151" s="1"/>
      <c r="C151" s="1">
        <v>18</v>
      </c>
      <c r="D151" s="4" t="str">
        <f>'Bid 3b'!B723</f>
        <v xml:space="preserve">: Penyelenggaraan Pelatihan Kepemudaan  ( Pelatihan dan Lomba Pidato Bungkarno Tingkat Sekaa Truna, Membaca Puisi Karya Bungkarno Tingkat Umur 13 - 15 tahun, Menyanyi Lagu Kebangsaan Tingkat umur 7 - 12 ) </v>
      </c>
      <c r="E151" s="1" t="s">
        <v>3228</v>
      </c>
      <c r="F151" s="4" t="s">
        <v>3240</v>
      </c>
      <c r="G151" s="999">
        <v>1</v>
      </c>
      <c r="H151" s="4" t="s">
        <v>1012</v>
      </c>
      <c r="I151" s="1"/>
      <c r="J151" s="1" t="s">
        <v>2674</v>
      </c>
      <c r="K151" s="1" t="s">
        <v>2725</v>
      </c>
      <c r="L151" s="73">
        <f>'Bid 3b'!F783</f>
        <v>40892000</v>
      </c>
      <c r="M151" s="1"/>
      <c r="N151" s="1"/>
    </row>
    <row r="152" spans="1:14" ht="75" x14ac:dyDescent="0.25">
      <c r="A152" s="1"/>
      <c r="B152" s="1"/>
      <c r="C152" s="1">
        <v>19</v>
      </c>
      <c r="D152" s="4" t="str">
        <f>'Bid 3b'!B796</f>
        <v>: Pengiriman Kontingen Group Kesenian &amp; Kebudayaan (Wakil Desa tkt. Kec/Kab/Kot) (Lomba Defile Budaya Kader PKK)</v>
      </c>
      <c r="E152" s="1" t="s">
        <v>3228</v>
      </c>
      <c r="F152" s="4" t="s">
        <v>3241</v>
      </c>
      <c r="G152" s="999">
        <v>1</v>
      </c>
      <c r="H152" s="4" t="s">
        <v>1012</v>
      </c>
      <c r="I152" s="1"/>
      <c r="J152" s="1" t="s">
        <v>2674</v>
      </c>
      <c r="K152" s="1" t="s">
        <v>2725</v>
      </c>
      <c r="L152" s="73">
        <f>'Bid 3b'!F821</f>
        <v>44630000</v>
      </c>
      <c r="M152" s="1"/>
      <c r="N152" s="1"/>
    </row>
    <row r="153" spans="1:14" ht="60" x14ac:dyDescent="0.25">
      <c r="A153" s="1"/>
      <c r="B153" s="1"/>
      <c r="C153" s="1">
        <v>20</v>
      </c>
      <c r="D153" s="1" t="str">
        <f>'Bid 3b'!B836</f>
        <v>: Pembinaan Karang Taruna</v>
      </c>
      <c r="E153" s="1" t="s">
        <v>3228</v>
      </c>
      <c r="F153" s="4" t="s">
        <v>3242</v>
      </c>
      <c r="G153" s="999">
        <v>1</v>
      </c>
      <c r="H153" s="4" t="s">
        <v>1012</v>
      </c>
      <c r="I153" s="1"/>
      <c r="J153" s="1" t="s">
        <v>2674</v>
      </c>
      <c r="K153" s="1" t="s">
        <v>2725</v>
      </c>
      <c r="L153" s="73">
        <f>'Bid 3b'!F855</f>
        <v>20600000</v>
      </c>
      <c r="M153" s="1"/>
      <c r="N153" s="1"/>
    </row>
    <row r="154" spans="1:14" ht="60" x14ac:dyDescent="0.25">
      <c r="A154" s="1"/>
      <c r="B154" s="1"/>
      <c r="C154" s="1">
        <v>21</v>
      </c>
      <c r="D154" s="4" t="str">
        <f>'Bid 3b'!B868</f>
        <v>: Pembinaan Karang Taruna (Sosialisasi Pemuda Pelopor Desa)</v>
      </c>
      <c r="E154" s="1" t="s">
        <v>3228</v>
      </c>
      <c r="F154" s="4" t="s">
        <v>3242</v>
      </c>
      <c r="G154" s="999">
        <v>1</v>
      </c>
      <c r="H154" s="4" t="s">
        <v>1012</v>
      </c>
      <c r="I154" s="1"/>
      <c r="J154" s="1" t="s">
        <v>2674</v>
      </c>
      <c r="K154" s="1" t="s">
        <v>2725</v>
      </c>
      <c r="L154" s="73">
        <f>'Bid 3b'!F885</f>
        <v>9840000</v>
      </c>
      <c r="M154" s="1"/>
      <c r="N154" s="1"/>
    </row>
    <row r="155" spans="1:14" ht="60" x14ac:dyDescent="0.25">
      <c r="A155" s="1"/>
      <c r="B155" s="1"/>
      <c r="C155" s="1">
        <v>22</v>
      </c>
      <c r="D155" s="4" t="str">
        <f>'Bid 3b'!B897</f>
        <v>: Penunjang Kegiatan Ekonomi Produktif untuk Sekeha Teruna (BKK Kota)</v>
      </c>
      <c r="E155" s="1" t="s">
        <v>3228</v>
      </c>
      <c r="F155" s="4" t="s">
        <v>3243</v>
      </c>
      <c r="G155" s="999">
        <v>1</v>
      </c>
      <c r="H155" s="4" t="s">
        <v>1012</v>
      </c>
      <c r="I155" s="1"/>
      <c r="J155" s="1" t="s">
        <v>2674</v>
      </c>
      <c r="K155" s="1" t="s">
        <v>2725</v>
      </c>
      <c r="L155" s="73">
        <f>'Bid 3b'!F907</f>
        <v>420000000</v>
      </c>
      <c r="M155" s="1"/>
      <c r="N155" s="1"/>
    </row>
    <row r="156" spans="1:14" ht="90" x14ac:dyDescent="0.25">
      <c r="A156" s="1"/>
      <c r="B156" s="1"/>
      <c r="C156" s="1">
        <v>23</v>
      </c>
      <c r="D156" s="4" t="str">
        <f>'Bid 3b'!B957</f>
        <v>: Pelatihan Pembinaan Lembaga Kemasyarakatan (Bulan bakti Gotong royong LPM)</v>
      </c>
      <c r="E156" s="1">
        <v>5</v>
      </c>
      <c r="F156" s="4" t="s">
        <v>3244</v>
      </c>
      <c r="G156" s="999">
        <v>1</v>
      </c>
      <c r="H156" s="4" t="s">
        <v>1012</v>
      </c>
      <c r="I156" s="1"/>
      <c r="J156" s="1" t="s">
        <v>2674</v>
      </c>
      <c r="K156" s="1" t="s">
        <v>2725</v>
      </c>
      <c r="L156" s="73">
        <f>'Bid 3b'!F1075</f>
        <v>121004000</v>
      </c>
      <c r="M156" s="1"/>
      <c r="N156" s="1"/>
    </row>
    <row r="157" spans="1:14" ht="60" x14ac:dyDescent="0.25">
      <c r="A157" s="1"/>
      <c r="B157" s="1"/>
      <c r="C157" s="1">
        <v>24</v>
      </c>
      <c r="D157" s="4" t="str">
        <f>'Bid 3b'!B1088</f>
        <v>: Pembinaan LKMD / LPM / LPMD (Pelatihan LPM)</v>
      </c>
      <c r="E157" s="1">
        <v>5</v>
      </c>
      <c r="F157" s="4" t="s">
        <v>3245</v>
      </c>
      <c r="G157" s="999">
        <v>1</v>
      </c>
      <c r="H157" s="4" t="s">
        <v>1012</v>
      </c>
      <c r="I157" s="1"/>
      <c r="J157" s="1" t="s">
        <v>2674</v>
      </c>
      <c r="K157" s="1" t="s">
        <v>2725</v>
      </c>
      <c r="L157" s="73">
        <f>'Bid 3b'!F1114</f>
        <v>11598584.66</v>
      </c>
      <c r="M157" s="1"/>
      <c r="N157" s="1"/>
    </row>
    <row r="158" spans="1:14" ht="60" x14ac:dyDescent="0.25">
      <c r="A158" s="1"/>
      <c r="B158" s="1"/>
      <c r="C158" s="1">
        <v>25</v>
      </c>
      <c r="D158" s="4" t="str">
        <f>'Bid 3b'!B1127</f>
        <v>: Pembinaan PKK  ( Pembinaan Administrasi dan Pokja PKK Desa  )</v>
      </c>
      <c r="E158" s="1">
        <v>5</v>
      </c>
      <c r="F158" s="4" t="s">
        <v>3246</v>
      </c>
      <c r="G158" s="999">
        <v>1</v>
      </c>
      <c r="H158" s="4" t="s">
        <v>1012</v>
      </c>
      <c r="I158" s="1"/>
      <c r="J158" s="1" t="s">
        <v>2674</v>
      </c>
      <c r="K158" s="1" t="s">
        <v>2725</v>
      </c>
      <c r="L158" s="73">
        <f>'Bid 3b'!F1152</f>
        <v>68435000</v>
      </c>
      <c r="M158" s="1"/>
      <c r="N158" s="1"/>
    </row>
    <row r="159" spans="1:14" ht="60" x14ac:dyDescent="0.25">
      <c r="A159" s="1"/>
      <c r="B159" s="1"/>
      <c r="C159" s="1">
        <v>26</v>
      </c>
      <c r="D159" s="4" t="str">
        <f>'Bid 3b'!B1167</f>
        <v>:Pelatihan Pembinaan Lembaga Kemasyarakatan (Input data  Dasawisma)</v>
      </c>
      <c r="E159" s="1">
        <v>5</v>
      </c>
      <c r="F159" s="4" t="s">
        <v>3247</v>
      </c>
      <c r="G159" s="999">
        <v>1</v>
      </c>
      <c r="H159" s="4" t="s">
        <v>1012</v>
      </c>
      <c r="I159" s="1"/>
      <c r="J159" s="1" t="s">
        <v>2674</v>
      </c>
      <c r="K159" s="1" t="s">
        <v>2725</v>
      </c>
      <c r="L159" s="73">
        <f>'Bid 3b'!F1195</f>
        <v>11628000</v>
      </c>
      <c r="M159" s="1"/>
      <c r="N159" s="1"/>
    </row>
    <row r="160" spans="1:14" x14ac:dyDescent="0.25">
      <c r="A160" s="2226" t="s">
        <v>1120</v>
      </c>
      <c r="B160" s="2227"/>
      <c r="C160" s="2227"/>
      <c r="D160" s="2227"/>
      <c r="E160" s="2227"/>
      <c r="F160" s="2227"/>
      <c r="G160" s="2227"/>
      <c r="H160" s="2227"/>
      <c r="I160" s="2227"/>
      <c r="J160" s="2227"/>
      <c r="K160" s="2228"/>
      <c r="L160" s="73">
        <f>SUM(L135:L159)</f>
        <v>4158795716.8400002</v>
      </c>
      <c r="M160" s="1"/>
      <c r="N160" s="1"/>
    </row>
    <row r="161" spans="1:15" ht="60" x14ac:dyDescent="0.25">
      <c r="A161" s="1"/>
      <c r="B161" s="4" t="str">
        <f>'BID 4 b'!B5</f>
        <v>: Pemberdayaan Masyarakat Desa</v>
      </c>
      <c r="C161" s="1">
        <v>1</v>
      </c>
      <c r="D161" s="4" t="str">
        <f>'BID 4 b'!B7</f>
        <v>: Pemeliharaan Karamba/Kolam Perikanan Darat  (Pelatihan Kelompok Lele)</v>
      </c>
      <c r="E161" s="1" t="s">
        <v>3248</v>
      </c>
      <c r="F161" s="4" t="s">
        <v>3249</v>
      </c>
      <c r="G161" s="999">
        <v>1</v>
      </c>
      <c r="H161" s="4" t="s">
        <v>1012</v>
      </c>
      <c r="I161" s="1"/>
      <c r="J161" s="1" t="s">
        <v>2674</v>
      </c>
      <c r="K161" s="1" t="s">
        <v>2725</v>
      </c>
      <c r="L161" s="73">
        <f>'BID 4 b'!F49</f>
        <v>175300000</v>
      </c>
      <c r="M161" s="1"/>
      <c r="N161" s="1"/>
    </row>
    <row r="162" spans="1:15" ht="60" x14ac:dyDescent="0.25">
      <c r="A162" s="1"/>
      <c r="B162" s="1"/>
      <c r="C162" s="1">
        <v>2</v>
      </c>
      <c r="D162" s="4" t="str">
        <f>'BID 4 b'!B62</f>
        <v>: Peningkatan Produksi Tanaman Pangan (Pelatihan Pembuatan Media Tanam)</v>
      </c>
      <c r="E162" s="1" t="s">
        <v>3248</v>
      </c>
      <c r="F162" s="4" t="s">
        <v>3250</v>
      </c>
      <c r="G162" s="999">
        <v>1</v>
      </c>
      <c r="H162" s="4" t="s">
        <v>1012</v>
      </c>
      <c r="I162" s="1"/>
      <c r="J162" s="1" t="s">
        <v>2674</v>
      </c>
      <c r="K162" s="1" t="s">
        <v>2725</v>
      </c>
      <c r="L162" s="73">
        <f>'BID 4 b'!F101</f>
        <v>32421000</v>
      </c>
      <c r="M162" s="1"/>
      <c r="N162" s="1"/>
    </row>
    <row r="163" spans="1:15" ht="60" x14ac:dyDescent="0.25">
      <c r="A163" s="1"/>
      <c r="B163" s="1"/>
      <c r="C163" s="1">
        <v>3</v>
      </c>
      <c r="D163" s="4" t="str">
        <f>'BID 4 b'!B113</f>
        <v>:Peningkatan Produksi Peternakan (Ternak Ayam Caru)</v>
      </c>
      <c r="E163" s="1" t="s">
        <v>3248</v>
      </c>
      <c r="F163" s="4" t="s">
        <v>3249</v>
      </c>
      <c r="G163" s="999">
        <v>1</v>
      </c>
      <c r="H163" s="4" t="s">
        <v>1012</v>
      </c>
      <c r="I163" s="1"/>
      <c r="J163" s="1" t="s">
        <v>2674</v>
      </c>
      <c r="K163" s="1" t="s">
        <v>2725</v>
      </c>
      <c r="L163" s="73">
        <f>'BID 4 b'!F147</f>
        <v>0</v>
      </c>
      <c r="M163" s="1"/>
      <c r="N163" s="1"/>
    </row>
    <row r="164" spans="1:15" ht="60" x14ac:dyDescent="0.25">
      <c r="A164" s="1"/>
      <c r="B164" s="1"/>
      <c r="C164" s="1">
        <v>4</v>
      </c>
      <c r="D164" s="4" t="str">
        <f>'BID 4 b'!B160</f>
        <v>: Peningkatan Produksi Peternakan (Pelatihan Kelompok Usaha Telur Asin)</v>
      </c>
      <c r="E164" s="1" t="s">
        <v>3248</v>
      </c>
      <c r="F164" s="4" t="s">
        <v>3249</v>
      </c>
      <c r="G164" s="999">
        <v>1</v>
      </c>
      <c r="H164" s="4" t="s">
        <v>1012</v>
      </c>
      <c r="I164" s="1"/>
      <c r="J164" s="1" t="s">
        <v>2674</v>
      </c>
      <c r="K164" s="1" t="s">
        <v>2725</v>
      </c>
      <c r="L164" s="73">
        <f>'BID 4 b'!F204</f>
        <v>49386000</v>
      </c>
      <c r="M164" s="1"/>
      <c r="N164" s="1"/>
    </row>
    <row r="165" spans="1:15" ht="60" x14ac:dyDescent="0.25">
      <c r="A165" s="1"/>
      <c r="B165" s="1"/>
      <c r="C165" s="1">
        <v>5</v>
      </c>
      <c r="D165" s="4" t="str">
        <f>'BID 4 b'!B217</f>
        <v>: Penguatan Ketahanan Pangan Tingkat Desa (Pelatihan Pengolahan Tanah)</v>
      </c>
      <c r="E165" s="1" t="s">
        <v>3248</v>
      </c>
      <c r="F165" s="4" t="s">
        <v>3250</v>
      </c>
      <c r="G165" s="999">
        <v>1</v>
      </c>
      <c r="H165" s="4" t="s">
        <v>1012</v>
      </c>
      <c r="I165" s="1"/>
      <c r="J165" s="1" t="s">
        <v>2674</v>
      </c>
      <c r="K165" s="1" t="s">
        <v>2725</v>
      </c>
      <c r="L165" s="73">
        <f>'BID 4 b'!F258</f>
        <v>256897500</v>
      </c>
      <c r="M165" s="1"/>
      <c r="N165" s="1"/>
    </row>
    <row r="166" spans="1:15" ht="60" x14ac:dyDescent="0.25">
      <c r="A166" s="1"/>
      <c r="B166" s="1"/>
      <c r="C166" s="1">
        <v>6</v>
      </c>
      <c r="D166" s="4" t="str">
        <f>'BID 4 b'!B271</f>
        <v>: Penguatan Ketahanan Pangan Tingkat Desa (Penanaman Cabe, Terong dan Tomat)</v>
      </c>
      <c r="E166" s="1" t="s">
        <v>3248</v>
      </c>
      <c r="F166" s="4" t="s">
        <v>3250</v>
      </c>
      <c r="G166" s="999">
        <v>1</v>
      </c>
      <c r="H166" s="4" t="s">
        <v>1012</v>
      </c>
      <c r="I166" s="1"/>
      <c r="J166" s="1" t="s">
        <v>2674</v>
      </c>
      <c r="K166" s="1" t="s">
        <v>2725</v>
      </c>
      <c r="L166" s="73">
        <f>'BID 4 b'!F308</f>
        <v>28606000</v>
      </c>
      <c r="M166" s="1"/>
      <c r="N166" s="1"/>
    </row>
    <row r="167" spans="1:15" ht="60" x14ac:dyDescent="0.25">
      <c r="A167" s="1"/>
      <c r="B167" s="1"/>
      <c r="C167" s="1">
        <v>7</v>
      </c>
      <c r="D167" s="4" t="str">
        <f>'BID 4 b'!B321</f>
        <v>: Penguatan Ketahanan Pangan Tingkat Desa (Pelatihan Kelompok Pekarangan Pangan Bergizi)</v>
      </c>
      <c r="E167" s="1" t="s">
        <v>3248</v>
      </c>
      <c r="F167" s="4" t="s">
        <v>3250</v>
      </c>
      <c r="G167" s="999">
        <v>1</v>
      </c>
      <c r="H167" s="4" t="s">
        <v>1012</v>
      </c>
      <c r="I167" s="1"/>
      <c r="J167" s="1" t="s">
        <v>2674</v>
      </c>
      <c r="K167" s="1" t="s">
        <v>2725</v>
      </c>
      <c r="L167" s="73">
        <f>'BID 4 b'!F364</f>
        <v>208355000</v>
      </c>
      <c r="M167" s="1"/>
      <c r="N167" s="1"/>
    </row>
    <row r="168" spans="1:15" s="96" customFormat="1" ht="60" x14ac:dyDescent="0.25">
      <c r="A168" s="865"/>
      <c r="B168" s="865"/>
      <c r="C168" s="1">
        <v>8</v>
      </c>
      <c r="D168" s="1061" t="str">
        <f>'BID 4 b'!B613</f>
        <v>: Perbaikan Saluran Cacing Subak Taman, Munduk Njung</v>
      </c>
      <c r="E168" s="1">
        <v>9</v>
      </c>
      <c r="F168" s="1061" t="s">
        <v>3251</v>
      </c>
      <c r="G168" s="1062">
        <v>1</v>
      </c>
      <c r="H168" s="1061" t="s">
        <v>1012</v>
      </c>
      <c r="I168" s="865" t="s">
        <v>3076</v>
      </c>
      <c r="J168" s="865" t="s">
        <v>2674</v>
      </c>
      <c r="K168" s="865" t="s">
        <v>2725</v>
      </c>
      <c r="L168" s="1063">
        <f>'BID 4 b'!F644</f>
        <v>174913159.90299824</v>
      </c>
      <c r="M168" s="865"/>
      <c r="N168" s="865"/>
      <c r="O168" s="963"/>
    </row>
    <row r="169" spans="1:15" ht="60" x14ac:dyDescent="0.25">
      <c r="A169" s="1"/>
      <c r="B169" s="1"/>
      <c r="C169" s="1">
        <v>9</v>
      </c>
      <c r="D169" s="4" t="str">
        <f>'BID 4 b'!B426</f>
        <v>: Pembangunan Jalan Usaha Tani (SALURAN Tersier Munduk Pengiung )</v>
      </c>
      <c r="E169" s="1">
        <v>9</v>
      </c>
      <c r="F169" s="1061" t="s">
        <v>3251</v>
      </c>
      <c r="G169" s="999">
        <v>1</v>
      </c>
      <c r="H169" s="4" t="s">
        <v>1012</v>
      </c>
      <c r="I169" s="1" t="s">
        <v>3070</v>
      </c>
      <c r="J169" s="1" t="s">
        <v>2674</v>
      </c>
      <c r="K169" s="1" t="s">
        <v>2725</v>
      </c>
      <c r="L169" s="73">
        <f>'BID 4 b'!F442</f>
        <v>443200</v>
      </c>
      <c r="M169" s="1"/>
      <c r="N169" s="1"/>
    </row>
    <row r="170" spans="1:15" ht="60" x14ac:dyDescent="0.25">
      <c r="A170" s="1"/>
      <c r="B170" s="1"/>
      <c r="C170" s="1">
        <v>10</v>
      </c>
      <c r="D170" s="4" t="str">
        <f>'BID 4 b'!B451</f>
        <v>: Pembangunan Jalan Usaha Tani (SALURAN Tersier Munduk Pengiung )</v>
      </c>
      <c r="E170" s="1">
        <v>9</v>
      </c>
      <c r="F170" s="1061" t="s">
        <v>3251</v>
      </c>
      <c r="G170" s="999">
        <v>1</v>
      </c>
      <c r="H170" s="4" t="s">
        <v>1012</v>
      </c>
      <c r="I170" s="1" t="s">
        <v>3071</v>
      </c>
      <c r="J170" s="1" t="s">
        <v>2674</v>
      </c>
      <c r="K170" s="1" t="s">
        <v>2725</v>
      </c>
      <c r="L170" s="73">
        <f>'BID 4 b'!F467</f>
        <v>6575400</v>
      </c>
      <c r="M170" s="1"/>
      <c r="N170" s="1"/>
    </row>
    <row r="171" spans="1:15" ht="60" x14ac:dyDescent="0.25">
      <c r="A171" s="1"/>
      <c r="B171" s="1"/>
      <c r="C171" s="1">
        <v>11</v>
      </c>
      <c r="D171" s="4" t="str">
        <f>'BID 4 b'!B477</f>
        <v>: Pembangunan Jalan Usaha Tani (SALURAN Tersier Munduk Pengiung )</v>
      </c>
      <c r="E171" s="1">
        <v>9</v>
      </c>
      <c r="F171" s="1061" t="s">
        <v>3251</v>
      </c>
      <c r="G171" s="999">
        <v>1</v>
      </c>
      <c r="H171" s="4" t="s">
        <v>1012</v>
      </c>
      <c r="I171" s="1" t="s">
        <v>3072</v>
      </c>
      <c r="J171" s="1" t="s">
        <v>2674</v>
      </c>
      <c r="K171" s="1" t="s">
        <v>2725</v>
      </c>
      <c r="L171" s="73">
        <f>'BID 4 b'!F501</f>
        <v>9048420</v>
      </c>
      <c r="M171" s="1"/>
      <c r="N171" s="1"/>
    </row>
    <row r="172" spans="1:15" ht="60" x14ac:dyDescent="0.25">
      <c r="A172" s="1"/>
      <c r="B172" s="1"/>
      <c r="C172" s="1">
        <v>12</v>
      </c>
      <c r="D172" s="4" t="str">
        <f>'BID 4 b'!B511</f>
        <v>: Pembangunan Jalan Usaha Tani (SALURAN Tersier Munduk Pengiung )</v>
      </c>
      <c r="E172" s="1">
        <v>9</v>
      </c>
      <c r="F172" s="1061" t="s">
        <v>3251</v>
      </c>
      <c r="G172" s="999">
        <v>1</v>
      </c>
      <c r="H172" s="4" t="s">
        <v>1012</v>
      </c>
      <c r="I172" s="1" t="s">
        <v>3073</v>
      </c>
      <c r="J172" s="1" t="s">
        <v>2674</v>
      </c>
      <c r="K172" s="1" t="s">
        <v>2725</v>
      </c>
      <c r="L172" s="73">
        <f>'BID 4 b'!F532</f>
        <v>30893960</v>
      </c>
      <c r="M172" s="1"/>
      <c r="N172" s="1"/>
    </row>
    <row r="173" spans="1:15" ht="60" x14ac:dyDescent="0.25">
      <c r="A173" s="1"/>
      <c r="B173" s="1"/>
      <c r="C173" s="1">
        <v>13</v>
      </c>
      <c r="D173" s="4" t="str">
        <f>'BID 4 b'!B544</f>
        <v>: Pembangunan Jalan Usaha Tani (SALURAN Tersier Munduk Pengiung )</v>
      </c>
      <c r="E173" s="1">
        <v>9</v>
      </c>
      <c r="F173" s="1061" t="s">
        <v>3251</v>
      </c>
      <c r="G173" s="999">
        <v>1</v>
      </c>
      <c r="H173" s="4" t="s">
        <v>1012</v>
      </c>
      <c r="I173" s="1" t="s">
        <v>3074</v>
      </c>
      <c r="J173" s="1" t="s">
        <v>2674</v>
      </c>
      <c r="K173" s="1" t="s">
        <v>2725</v>
      </c>
      <c r="L173" s="73">
        <f>'BID 4 b'!F567</f>
        <v>42873200</v>
      </c>
      <c r="M173" s="1"/>
      <c r="N173" s="1"/>
    </row>
    <row r="174" spans="1:15" ht="60" x14ac:dyDescent="0.25">
      <c r="A174" s="1"/>
      <c r="B174" s="1"/>
      <c r="C174" s="1">
        <v>14</v>
      </c>
      <c r="D174" s="4" t="str">
        <f>'BID 4 b'!B578</f>
        <v>: Pembangunan Jalan Usaha Tani (SALURAN Tersier Munduk Pengiung )</v>
      </c>
      <c r="E174" s="1">
        <v>9</v>
      </c>
      <c r="F174" s="1061" t="s">
        <v>3251</v>
      </c>
      <c r="G174" s="999">
        <v>1</v>
      </c>
      <c r="H174" s="4" t="s">
        <v>1012</v>
      </c>
      <c r="I174" s="1" t="s">
        <v>3075</v>
      </c>
      <c r="J174" s="1" t="s">
        <v>2674</v>
      </c>
      <c r="K174" s="1" t="s">
        <v>2725</v>
      </c>
      <c r="L174" s="73">
        <f>'BID 4 b'!F604</f>
        <v>60820000</v>
      </c>
      <c r="M174" s="1"/>
      <c r="N174" s="1"/>
    </row>
    <row r="175" spans="1:15" ht="60" x14ac:dyDescent="0.25">
      <c r="A175" s="1"/>
      <c r="B175" s="1"/>
      <c r="C175" s="1">
        <v>15</v>
      </c>
      <c r="D175" s="4" t="str">
        <f>'BID 4 b'!B658</f>
        <v>:Pengembangan Sarana Prasarana Usaha Mikro, Kecil, Menengah (Pelatihan Kelompok Tukang Jahit)</v>
      </c>
      <c r="E175" s="1" t="s">
        <v>3248</v>
      </c>
      <c r="F175" s="4" t="s">
        <v>3249</v>
      </c>
      <c r="G175" s="999">
        <v>1</v>
      </c>
      <c r="H175" s="4" t="s">
        <v>1012</v>
      </c>
      <c r="I175" s="1"/>
      <c r="J175" s="1" t="s">
        <v>2674</v>
      </c>
      <c r="K175" s="1" t="s">
        <v>2725</v>
      </c>
      <c r="L175" s="73">
        <f>'BID 4 b'!F695</f>
        <v>197413000</v>
      </c>
      <c r="M175" s="1"/>
      <c r="N175" s="1"/>
    </row>
    <row r="176" spans="1:15" ht="60" x14ac:dyDescent="0.25">
      <c r="A176" s="1"/>
      <c r="B176" s="1"/>
      <c r="C176" s="1">
        <v>16</v>
      </c>
      <c r="D176" s="4" t="str">
        <f>'BID 4 b'!B708</f>
        <v>: Pengembangan Sarana Prasarana Usaha Mikro, Kecil, Menengah (Pelatihan Kelompok Pengrajin Pisau)</v>
      </c>
      <c r="E176" s="1" t="s">
        <v>3248</v>
      </c>
      <c r="F176" s="4" t="s">
        <v>3249</v>
      </c>
      <c r="G176" s="999">
        <v>1</v>
      </c>
      <c r="H176" s="4" t="s">
        <v>1012</v>
      </c>
      <c r="I176" s="1"/>
      <c r="J176" s="1" t="s">
        <v>2674</v>
      </c>
      <c r="K176" s="1" t="s">
        <v>2725</v>
      </c>
      <c r="L176" s="73">
        <f>'BID 4 b'!F748</f>
        <v>58837000</v>
      </c>
      <c r="M176" s="1"/>
      <c r="N176" s="1"/>
    </row>
    <row r="177" spans="1:14" ht="75" x14ac:dyDescent="0.25">
      <c r="A177" s="1"/>
      <c r="B177" s="1"/>
      <c r="C177" s="1">
        <v>17</v>
      </c>
      <c r="D177" s="4" t="str">
        <f>'BID 4 b'!B762</f>
        <v>: /Pelatihan/Pendampingan kelompok usaha ekonomi produktif (Pelatihan Kelompok Usaha Kerupuk Beras)</v>
      </c>
      <c r="E177" s="1" t="s">
        <v>3248</v>
      </c>
      <c r="F177" s="4" t="s">
        <v>3249</v>
      </c>
      <c r="G177" s="999">
        <v>1</v>
      </c>
      <c r="H177" s="4" t="s">
        <v>1012</v>
      </c>
      <c r="I177" s="1"/>
      <c r="J177" s="1" t="s">
        <v>2674</v>
      </c>
      <c r="K177" s="1" t="s">
        <v>2725</v>
      </c>
      <c r="L177" s="73">
        <f>'BID 4 b'!F810</f>
        <v>66443000</v>
      </c>
      <c r="M177" s="1"/>
      <c r="N177" s="1"/>
    </row>
    <row r="178" spans="1:14" ht="60" x14ac:dyDescent="0.25">
      <c r="A178" s="1"/>
      <c r="B178" s="1"/>
      <c r="C178" s="1">
        <v>18</v>
      </c>
      <c r="D178" s="4" t="str">
        <f>'BID 4 b'!B823</f>
        <v>:Pelatihan/Pendampingan kelompok usaha ekonomi produktif (Pelatihan Kelompok Jajan Bali)</v>
      </c>
      <c r="E178" s="1" t="s">
        <v>3248</v>
      </c>
      <c r="F178" s="4" t="s">
        <v>3249</v>
      </c>
      <c r="G178" s="999">
        <v>1</v>
      </c>
      <c r="H178" s="4" t="s">
        <v>1012</v>
      </c>
      <c r="I178" s="1"/>
      <c r="J178" s="1" t="s">
        <v>2674</v>
      </c>
      <c r="K178" s="1" t="s">
        <v>2725</v>
      </c>
      <c r="L178" s="73">
        <f>'BID 4 b'!F869</f>
        <v>156463000</v>
      </c>
      <c r="M178" s="1"/>
      <c r="N178" s="1"/>
    </row>
    <row r="179" spans="1:14" ht="60" x14ac:dyDescent="0.25">
      <c r="A179" s="1"/>
      <c r="B179" s="1"/>
      <c r="C179" s="1">
        <v>19</v>
      </c>
      <c r="D179" s="4" t="str">
        <f>'BID 4 b'!B938</f>
        <v>: Pelatihan Tim Verifikasi dan penyusunan RKP ( Pelatihan Penysunan RKPDes)</v>
      </c>
      <c r="E179" s="1" t="s">
        <v>3252</v>
      </c>
      <c r="F179" s="4" t="s">
        <v>3253</v>
      </c>
      <c r="G179" s="999">
        <v>1</v>
      </c>
      <c r="H179" s="4" t="s">
        <v>1012</v>
      </c>
      <c r="I179" s="1"/>
      <c r="J179" s="1" t="s">
        <v>2674</v>
      </c>
      <c r="K179" s="1" t="s">
        <v>2725</v>
      </c>
      <c r="L179" s="73">
        <f>'BID 4 b'!F959</f>
        <v>1380000</v>
      </c>
      <c r="M179" s="1"/>
      <c r="N179" s="1"/>
    </row>
    <row r="180" spans="1:14" ht="75" x14ac:dyDescent="0.25">
      <c r="A180" s="1"/>
      <c r="B180" s="1"/>
      <c r="C180" s="1">
        <v>20</v>
      </c>
      <c r="D180" s="1" t="str">
        <f>'BID 4 b'!B975</f>
        <v>: Pelatihan Perangkat Desa</v>
      </c>
      <c r="E180" s="1" t="s">
        <v>3252</v>
      </c>
      <c r="F180" s="4" t="s">
        <v>3254</v>
      </c>
      <c r="G180" s="999">
        <v>1</v>
      </c>
      <c r="H180" s="4" t="s">
        <v>1012</v>
      </c>
      <c r="I180" s="1"/>
      <c r="J180" s="1" t="s">
        <v>2674</v>
      </c>
      <c r="K180" s="1" t="s">
        <v>2725</v>
      </c>
      <c r="L180" s="73">
        <f>'BID 4 b'!F995</f>
        <v>40000000</v>
      </c>
      <c r="M180" s="1"/>
      <c r="N180" s="1"/>
    </row>
    <row r="181" spans="1:14" ht="75" x14ac:dyDescent="0.25">
      <c r="A181" s="1"/>
      <c r="B181" s="1"/>
      <c r="C181" s="1">
        <v>21</v>
      </c>
      <c r="D181" s="1" t="str">
        <f>'BID 4 b'!B1011</f>
        <v>: Peningkatan Kapasitas BPD</v>
      </c>
      <c r="E181" s="1" t="s">
        <v>3252</v>
      </c>
      <c r="F181" s="4" t="s">
        <v>3255</v>
      </c>
      <c r="G181" s="999">
        <v>1</v>
      </c>
      <c r="H181" s="4" t="s">
        <v>1012</v>
      </c>
      <c r="I181" s="1"/>
      <c r="J181" s="1" t="s">
        <v>2674</v>
      </c>
      <c r="K181" s="1" t="s">
        <v>2725</v>
      </c>
      <c r="L181" s="73">
        <f>'BID 4 b'!F1037</f>
        <v>16220000</v>
      </c>
      <c r="M181" s="1"/>
      <c r="N181" s="1"/>
    </row>
    <row r="182" spans="1:14" ht="75" x14ac:dyDescent="0.25">
      <c r="A182" s="1"/>
      <c r="B182" s="1"/>
      <c r="C182" s="1">
        <v>22</v>
      </c>
      <c r="D182" s="4" t="str">
        <f>'BID 4 b'!B1051</f>
        <v>: Pelatihan PKPKD, PPKD dan TPK</v>
      </c>
      <c r="E182" s="1" t="s">
        <v>3252</v>
      </c>
      <c r="F182" s="4" t="s">
        <v>3256</v>
      </c>
      <c r="G182" s="999">
        <v>1</v>
      </c>
      <c r="H182" s="4" t="s">
        <v>1012</v>
      </c>
      <c r="I182" s="1"/>
      <c r="J182" s="1" t="s">
        <v>2674</v>
      </c>
      <c r="K182" s="1" t="s">
        <v>2725</v>
      </c>
      <c r="L182" s="73">
        <f>'BID 4 b'!F1074</f>
        <v>1955204.83</v>
      </c>
      <c r="M182" s="1"/>
      <c r="N182" s="1"/>
    </row>
    <row r="183" spans="1:14" ht="60" x14ac:dyDescent="0.25">
      <c r="A183" s="1"/>
      <c r="B183" s="1"/>
      <c r="C183" s="1">
        <v>23</v>
      </c>
      <c r="D183" s="4" t="str">
        <f>'BID 4 b'!B1089</f>
        <v xml:space="preserve">: Pembinaan Kelompok P2WKSS  </v>
      </c>
      <c r="E183" s="1" t="s">
        <v>3252</v>
      </c>
      <c r="F183" s="4" t="s">
        <v>3257</v>
      </c>
      <c r="G183" s="999">
        <v>1</v>
      </c>
      <c r="H183" s="4" t="s">
        <v>1012</v>
      </c>
      <c r="I183" s="1"/>
      <c r="J183" s="1" t="s">
        <v>2674</v>
      </c>
      <c r="K183" s="1" t="s">
        <v>2725</v>
      </c>
      <c r="L183" s="73">
        <f>'BID 4 b'!F1108</f>
        <v>1820000</v>
      </c>
      <c r="M183" s="1"/>
      <c r="N183" s="1"/>
    </row>
    <row r="184" spans="1:14" ht="90" x14ac:dyDescent="0.25">
      <c r="A184" s="1"/>
      <c r="B184" s="1"/>
      <c r="C184" s="1">
        <v>24</v>
      </c>
      <c r="D184" s="4" t="str">
        <f>'BID 4 b'!B1122</f>
        <v>: Pelatihan dan Penyuluhan Pemberdayaan Perempuan Pembinaan Kelompok UP2K (Pelatihan Tatarias dan Mesanggul Kelompok Krisnananda)</v>
      </c>
      <c r="E184" s="1" t="s">
        <v>3252</v>
      </c>
      <c r="F184" s="4" t="s">
        <v>3258</v>
      </c>
      <c r="G184" s="999">
        <v>1</v>
      </c>
      <c r="H184" s="4" t="s">
        <v>1012</v>
      </c>
      <c r="I184" s="1"/>
      <c r="J184" s="1" t="s">
        <v>2674</v>
      </c>
      <c r="K184" s="1" t="s">
        <v>2725</v>
      </c>
      <c r="L184" s="73">
        <f>'BID 4 b'!F1168</f>
        <v>41485000</v>
      </c>
      <c r="M184" s="1"/>
      <c r="N184" s="1"/>
    </row>
    <row r="185" spans="1:14" ht="60" x14ac:dyDescent="0.25">
      <c r="A185" s="1"/>
      <c r="B185" s="1"/>
      <c r="C185" s="1">
        <v>25</v>
      </c>
      <c r="D185" s="4" t="str">
        <f>'BID 4 b'!B1181</f>
        <v>: Pelatihan dan Penyuluhan Pemberdayaan Perempuan Pembinaan WHDI</v>
      </c>
      <c r="E185" s="1" t="s">
        <v>3252</v>
      </c>
      <c r="F185" s="4" t="s">
        <v>3258</v>
      </c>
      <c r="G185" s="999">
        <v>1</v>
      </c>
      <c r="H185" s="4" t="s">
        <v>1012</v>
      </c>
      <c r="I185" s="1"/>
      <c r="J185" s="1" t="s">
        <v>2674</v>
      </c>
      <c r="K185" s="1" t="s">
        <v>2725</v>
      </c>
      <c r="L185" s="73">
        <f>'BID 4 b'!F1256</f>
        <v>9688000</v>
      </c>
      <c r="M185" s="1"/>
      <c r="N185" s="1"/>
    </row>
    <row r="186" spans="1:14" ht="51" customHeight="1" x14ac:dyDescent="0.25">
      <c r="A186" s="1"/>
      <c r="B186" s="1"/>
      <c r="C186" s="1">
        <v>26</v>
      </c>
      <c r="D186" s="4" t="str">
        <f>'BID 4 b'!B1270</f>
        <v>: Pelatihan dan Penyuluhan Pemberdayaan Perempuan Pembinaan PHDI</v>
      </c>
      <c r="E186" s="1" t="s">
        <v>3252</v>
      </c>
      <c r="F186" s="4" t="s">
        <v>3258</v>
      </c>
      <c r="G186" s="999">
        <v>1</v>
      </c>
      <c r="H186" s="4" t="s">
        <v>1012</v>
      </c>
      <c r="I186" s="1"/>
      <c r="J186" s="1" t="s">
        <v>2674</v>
      </c>
      <c r="K186" s="1" t="s">
        <v>2725</v>
      </c>
      <c r="L186" s="73">
        <f>'BID 4 b'!F1292</f>
        <v>1915000</v>
      </c>
      <c r="M186" s="1"/>
      <c r="N186" s="1"/>
    </row>
    <row r="187" spans="1:14" ht="75" x14ac:dyDescent="0.25">
      <c r="A187" s="1"/>
      <c r="B187" s="1"/>
      <c r="C187" s="1">
        <v>27</v>
      </c>
      <c r="D187" s="4" t="str">
        <f>'BID 4 b'!B1305</f>
        <v>: Pengembangan sarana dan prasarana usaha mikro, kecil dan menengah serta koprasi  (Pelatihan Management BUMDes)</v>
      </c>
      <c r="E187" s="1" t="s">
        <v>3248</v>
      </c>
      <c r="F187" s="4" t="s">
        <v>3259</v>
      </c>
      <c r="G187" s="999">
        <v>1</v>
      </c>
      <c r="H187" s="4" t="s">
        <v>1012</v>
      </c>
      <c r="I187" s="1"/>
      <c r="J187" s="1" t="s">
        <v>2674</v>
      </c>
      <c r="K187" s="1" t="s">
        <v>2725</v>
      </c>
      <c r="L187" s="73">
        <f>'BID 4 b'!F1331</f>
        <v>13855000</v>
      </c>
      <c r="M187" s="1"/>
      <c r="N187" s="1"/>
    </row>
    <row r="188" spans="1:14" ht="93.75" customHeight="1" x14ac:dyDescent="0.25">
      <c r="A188" s="1"/>
      <c r="B188" s="1"/>
      <c r="C188" s="1"/>
      <c r="D188" s="4" t="str">
        <f>'BID 4 b'!B1344</f>
        <v>: Pengembangan sarana dan prasarana usaha mikro, kecil dan menengah serta koprasi  (Pembentukan dan Sosialisasi Koperasi Desa Merah Putih)</v>
      </c>
      <c r="E188" s="1" t="s">
        <v>3248</v>
      </c>
      <c r="F188" s="4" t="s">
        <v>3322</v>
      </c>
      <c r="G188" s="999">
        <v>1</v>
      </c>
      <c r="H188" s="4" t="s">
        <v>1012</v>
      </c>
      <c r="I188" s="1"/>
      <c r="J188" s="1" t="s">
        <v>2674</v>
      </c>
      <c r="K188" s="1" t="s">
        <v>2725</v>
      </c>
      <c r="L188" s="73">
        <f>'BID 4 b'!F1363</f>
        <v>14715000</v>
      </c>
      <c r="M188" s="1"/>
      <c r="N188" s="1"/>
    </row>
    <row r="189" spans="1:14" ht="60" x14ac:dyDescent="0.25">
      <c r="A189" s="1"/>
      <c r="B189" s="1"/>
      <c r="C189" s="1">
        <v>28</v>
      </c>
      <c r="D189" s="4" t="str">
        <f>'BID 4 b'!B1376</f>
        <v>: Penyediaan Jaring Pengaman Sosial (BLT DD)</v>
      </c>
      <c r="E189" s="1">
        <v>1</v>
      </c>
      <c r="F189" s="4" t="s">
        <v>3260</v>
      </c>
      <c r="G189" s="999">
        <v>1</v>
      </c>
      <c r="H189" s="4" t="s">
        <v>1012</v>
      </c>
      <c r="I189" s="1"/>
      <c r="J189" s="1" t="s">
        <v>2674</v>
      </c>
      <c r="K189" s="1" t="s">
        <v>250</v>
      </c>
      <c r="L189" s="73">
        <f>'BID 4 b'!F1388</f>
        <v>0</v>
      </c>
      <c r="M189" s="1"/>
      <c r="N189" s="1"/>
    </row>
    <row r="190" spans="1:14" x14ac:dyDescent="0.25">
      <c r="A190" s="2226" t="s">
        <v>1121</v>
      </c>
      <c r="B190" s="2227"/>
      <c r="C190" s="2227"/>
      <c r="D190" s="2227"/>
      <c r="E190" s="2227"/>
      <c r="F190" s="2227"/>
      <c r="G190" s="2227"/>
      <c r="H190" s="2227"/>
      <c r="I190" s="2227"/>
      <c r="J190" s="2227"/>
      <c r="K190" s="2228"/>
      <c r="L190" s="73">
        <f>SUM(L161:L189)</f>
        <v>1698722044.7329981</v>
      </c>
      <c r="M190" s="1"/>
      <c r="N190" s="1"/>
    </row>
    <row r="191" spans="1:14" x14ac:dyDescent="0.25">
      <c r="A191" s="2225" t="s">
        <v>3110</v>
      </c>
      <c r="B191" s="2225"/>
      <c r="C191" s="2225"/>
      <c r="D191" s="2225"/>
      <c r="E191" s="2225"/>
      <c r="F191" s="2225"/>
      <c r="G191" s="2225"/>
      <c r="H191" s="2225"/>
      <c r="I191" s="2225"/>
      <c r="J191" s="2225"/>
      <c r="K191" s="2225"/>
      <c r="L191" s="73" t="e">
        <f>L190+L160+L56+L134</f>
        <v>#REF!</v>
      </c>
      <c r="M191" s="1"/>
      <c r="N191" s="1"/>
    </row>
    <row r="192" spans="1:14" x14ac:dyDescent="0.25">
      <c r="L192" s="68">
        <v>2400000000</v>
      </c>
    </row>
    <row r="193" spans="12:12" x14ac:dyDescent="0.25">
      <c r="L193" s="68">
        <v>2500000000</v>
      </c>
    </row>
    <row r="194" spans="12:12" x14ac:dyDescent="0.25">
      <c r="L194" s="68">
        <f>L192+L193</f>
        <v>4900000000</v>
      </c>
    </row>
    <row r="195" spans="12:12" x14ac:dyDescent="0.25">
      <c r="L195" s="68" t="e">
        <f>L191-L194</f>
        <v>#REF!</v>
      </c>
    </row>
    <row r="197" spans="12:12" x14ac:dyDescent="0.25">
      <c r="L197" s="68">
        <f>'BID 1 b'!F1570</f>
        <v>0</v>
      </c>
    </row>
    <row r="198" spans="12:12" x14ac:dyDescent="0.25">
      <c r="L198" s="68" t="e">
        <f>'Bid 2b'!F2624</f>
        <v>#REF!</v>
      </c>
    </row>
    <row r="199" spans="12:12" x14ac:dyDescent="0.25">
      <c r="L199" s="68">
        <f>'Bid 3b'!F1206</f>
        <v>4158795716.8400002</v>
      </c>
    </row>
    <row r="200" spans="12:12" x14ac:dyDescent="0.25">
      <c r="L200" s="68">
        <f>'BID 4 b'!F1397</f>
        <v>512798699.82999998</v>
      </c>
    </row>
    <row r="201" spans="12:12" x14ac:dyDescent="0.25">
      <c r="L201" s="68" t="e">
        <f>SUM(L197:L200)</f>
        <v>#REF!</v>
      </c>
    </row>
    <row r="1048506" spans="11:11" x14ac:dyDescent="0.25">
      <c r="K1048506" s="1"/>
    </row>
  </sheetData>
  <mergeCells count="11">
    <mergeCell ref="A191:K191"/>
    <mergeCell ref="A134:K134"/>
    <mergeCell ref="A160:K160"/>
    <mergeCell ref="A190:K190"/>
    <mergeCell ref="A56:K56"/>
    <mergeCell ref="O9:O10"/>
    <mergeCell ref="A1:N1"/>
    <mergeCell ref="A2:N2"/>
    <mergeCell ref="B9:D9"/>
    <mergeCell ref="L9:M9"/>
    <mergeCell ref="N9:N10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48506"/>
  <sheetViews>
    <sheetView workbookViewId="0">
      <selection activeCell="D16" sqref="D16"/>
    </sheetView>
  </sheetViews>
  <sheetFormatPr defaultRowHeight="15" x14ac:dyDescent="0.25"/>
  <cols>
    <col min="1" max="1" width="15.28515625" bestFit="1" customWidth="1"/>
    <col min="2" max="2" width="22.140625" customWidth="1"/>
    <col min="3" max="3" width="10.7109375" customWidth="1"/>
    <col min="4" max="4" width="27.140625" customWidth="1"/>
    <col min="5" max="5" width="26.140625" customWidth="1"/>
    <col min="6" max="6" width="14.85546875" customWidth="1"/>
    <col min="7" max="7" width="16.5703125" customWidth="1"/>
    <col min="8" max="8" width="11" customWidth="1"/>
    <col min="9" max="9" width="11.85546875" customWidth="1"/>
    <col min="10" max="10" width="13.140625" customWidth="1"/>
    <col min="11" max="11" width="15" customWidth="1"/>
    <col min="12" max="12" width="18" style="68" customWidth="1"/>
    <col min="13" max="13" width="12.85546875" customWidth="1"/>
    <col min="14" max="14" width="26.28515625" customWidth="1"/>
    <col min="15" max="15" width="21.5703125" customWidth="1"/>
  </cols>
  <sheetData>
    <row r="1" spans="1:15" s="7" customFormat="1" ht="29.25" customHeight="1" x14ac:dyDescent="0.25">
      <c r="A1" s="2245" t="s">
        <v>2663</v>
      </c>
      <c r="B1" s="2245"/>
      <c r="C1" s="2245"/>
      <c r="D1" s="2245"/>
      <c r="E1" s="2245"/>
      <c r="F1" s="2245"/>
      <c r="G1" s="2245"/>
      <c r="H1" s="2245"/>
      <c r="I1" s="2245"/>
      <c r="J1" s="2245"/>
      <c r="K1" s="2245"/>
      <c r="L1" s="2245"/>
      <c r="M1" s="2245"/>
      <c r="N1" s="2245"/>
      <c r="O1" s="879"/>
    </row>
    <row r="2" spans="1:15" s="7" customFormat="1" ht="23.25" customHeight="1" x14ac:dyDescent="0.25">
      <c r="A2" s="2245" t="s">
        <v>1737</v>
      </c>
      <c r="B2" s="2245"/>
      <c r="C2" s="2245"/>
      <c r="D2" s="2245"/>
      <c r="E2" s="2245"/>
      <c r="F2" s="2245"/>
      <c r="G2" s="2245"/>
      <c r="H2" s="2245"/>
      <c r="I2" s="2245"/>
      <c r="J2" s="2245"/>
      <c r="K2" s="2245"/>
      <c r="L2" s="2245"/>
      <c r="M2" s="2245"/>
      <c r="N2" s="2245"/>
      <c r="O2" s="879"/>
    </row>
    <row r="3" spans="1:15" s="7" customFormat="1" ht="15.75" x14ac:dyDescent="0.25">
      <c r="B3" s="8"/>
      <c r="D3" s="8"/>
      <c r="H3" s="8"/>
      <c r="J3" s="9"/>
      <c r="L3" s="867"/>
      <c r="M3" s="113"/>
      <c r="O3" s="879"/>
    </row>
    <row r="4" spans="1:15" s="7" customFormat="1" ht="31.5" x14ac:dyDescent="0.25">
      <c r="A4" s="7" t="s">
        <v>977</v>
      </c>
      <c r="B4" s="8" t="s">
        <v>978</v>
      </c>
      <c r="D4" s="8"/>
      <c r="H4" s="8"/>
      <c r="J4" s="9"/>
      <c r="L4" s="867"/>
      <c r="M4" s="113"/>
      <c r="O4" s="879"/>
    </row>
    <row r="5" spans="1:15" s="7" customFormat="1" ht="31.5" x14ac:dyDescent="0.25">
      <c r="A5" s="7" t="s">
        <v>979</v>
      </c>
      <c r="B5" s="8" t="s">
        <v>980</v>
      </c>
      <c r="D5" s="8"/>
      <c r="H5" s="8"/>
      <c r="J5" s="9"/>
      <c r="L5" s="867"/>
      <c r="M5" s="113"/>
      <c r="O5" s="879"/>
    </row>
    <row r="6" spans="1:15" s="7" customFormat="1" ht="15.75" x14ac:dyDescent="0.25">
      <c r="A6" s="7" t="s">
        <v>981</v>
      </c>
      <c r="B6" s="8" t="s">
        <v>982</v>
      </c>
      <c r="D6" s="8"/>
      <c r="H6" s="8"/>
      <c r="J6" s="9"/>
      <c r="L6" s="867"/>
      <c r="M6" s="113"/>
      <c r="O6" s="879"/>
    </row>
    <row r="7" spans="1:15" s="7" customFormat="1" ht="15.75" x14ac:dyDescent="0.25">
      <c r="A7" s="7" t="s">
        <v>983</v>
      </c>
      <c r="B7" s="8" t="s">
        <v>984</v>
      </c>
      <c r="D7" s="8"/>
      <c r="H7" s="8"/>
      <c r="J7" s="9"/>
      <c r="L7" s="867"/>
      <c r="M7" s="113"/>
      <c r="O7" s="879"/>
    </row>
    <row r="8" spans="1:15" s="7" customFormat="1" ht="15.75" x14ac:dyDescent="0.25">
      <c r="B8" s="8"/>
      <c r="D8" s="8"/>
      <c r="H8" s="8"/>
      <c r="J8" s="9"/>
      <c r="L8" s="867"/>
      <c r="M8" s="113"/>
      <c r="O8" s="879"/>
    </row>
    <row r="9" spans="1:15" s="7" customFormat="1" ht="72.75" customHeight="1" x14ac:dyDescent="0.25">
      <c r="A9" s="10" t="s">
        <v>951</v>
      </c>
      <c r="B9" s="2246" t="s">
        <v>985</v>
      </c>
      <c r="C9" s="2246"/>
      <c r="D9" s="2246"/>
      <c r="E9" s="11" t="s">
        <v>986</v>
      </c>
      <c r="F9" s="11" t="s">
        <v>987</v>
      </c>
      <c r="G9" s="11" t="s">
        <v>2669</v>
      </c>
      <c r="H9" s="11" t="s">
        <v>988</v>
      </c>
      <c r="I9" s="11" t="s">
        <v>989</v>
      </c>
      <c r="J9" s="11" t="s">
        <v>990</v>
      </c>
      <c r="K9" s="11" t="s">
        <v>395</v>
      </c>
      <c r="L9" s="2247" t="s">
        <v>991</v>
      </c>
      <c r="M9" s="2247"/>
      <c r="N9" s="2247" t="s">
        <v>992</v>
      </c>
      <c r="O9" s="2244" t="s">
        <v>993</v>
      </c>
    </row>
    <row r="10" spans="1:15" s="7" customFormat="1" ht="15.75" x14ac:dyDescent="0.25">
      <c r="A10" s="12"/>
      <c r="B10" s="14" t="s">
        <v>994</v>
      </c>
      <c r="C10" s="13"/>
      <c r="D10" s="14" t="s">
        <v>445</v>
      </c>
      <c r="E10" s="12"/>
      <c r="F10" s="12"/>
      <c r="G10" s="12"/>
      <c r="H10" s="868"/>
      <c r="I10" s="12"/>
      <c r="J10" s="15"/>
      <c r="K10" s="12"/>
      <c r="L10" s="110" t="s">
        <v>996</v>
      </c>
      <c r="M10" s="13" t="s">
        <v>997</v>
      </c>
      <c r="N10" s="2247"/>
      <c r="O10" s="2244"/>
    </row>
    <row r="11" spans="1:15" s="7" customFormat="1" ht="18" customHeight="1" x14ac:dyDescent="0.25">
      <c r="A11" s="13" t="s">
        <v>998</v>
      </c>
      <c r="B11" s="14" t="s">
        <v>999</v>
      </c>
      <c r="C11" s="13" t="s">
        <v>1000</v>
      </c>
      <c r="D11" s="14" t="s">
        <v>1001</v>
      </c>
      <c r="E11" s="13" t="s">
        <v>1002</v>
      </c>
      <c r="F11" s="13" t="s">
        <v>1003</v>
      </c>
      <c r="G11" s="13" t="s">
        <v>1004</v>
      </c>
      <c r="H11" s="14" t="s">
        <v>1005</v>
      </c>
      <c r="I11" s="13" t="s">
        <v>1006</v>
      </c>
      <c r="J11" s="10" t="s">
        <v>1007</v>
      </c>
      <c r="K11" s="13" t="s">
        <v>1008</v>
      </c>
      <c r="L11" s="110" t="s">
        <v>1009</v>
      </c>
      <c r="M11" s="13" t="s">
        <v>455</v>
      </c>
      <c r="N11" s="13" t="s">
        <v>1010</v>
      </c>
      <c r="O11" s="879" t="s">
        <v>1011</v>
      </c>
    </row>
    <row r="12" spans="1:15" ht="60" x14ac:dyDescent="0.25">
      <c r="A12" s="1">
        <v>1</v>
      </c>
      <c r="B12" s="4" t="str">
        <f>'BID 1 b'!B5</f>
        <v>: Penyelenggaraan Pemerintahan Desa</v>
      </c>
      <c r="C12" s="1" t="s">
        <v>3129</v>
      </c>
      <c r="D12" s="4" t="str">
        <f>'BID 1 b'!B7</f>
        <v>: Penyediaan Penghasilan tetap dan Tunjangan Perbekel</v>
      </c>
      <c r="E12" s="1" t="s">
        <v>2668</v>
      </c>
      <c r="F12" s="4" t="s">
        <v>1377</v>
      </c>
      <c r="G12" s="999">
        <v>1</v>
      </c>
      <c r="H12" s="4" t="s">
        <v>1012</v>
      </c>
      <c r="I12" s="1" t="s">
        <v>1378</v>
      </c>
      <c r="J12" s="1" t="s">
        <v>1379</v>
      </c>
      <c r="K12" s="1" t="s">
        <v>250</v>
      </c>
      <c r="L12" s="73">
        <f>'BID 1 b'!F20</f>
        <v>180740000</v>
      </c>
      <c r="M12" s="1" t="s">
        <v>1014</v>
      </c>
      <c r="N12" s="1" t="s">
        <v>1015</v>
      </c>
    </row>
    <row r="13" spans="1:15" ht="60" x14ac:dyDescent="0.25">
      <c r="A13" s="1"/>
      <c r="B13" s="1"/>
      <c r="C13" s="1" t="s">
        <v>3130</v>
      </c>
      <c r="D13" s="4" t="str">
        <f>'BID 1 b'!B36</f>
        <v>: Penyediaan Penghasilan tetap dan Tunjangan Perangkat Desa</v>
      </c>
      <c r="E13" s="1" t="s">
        <v>2668</v>
      </c>
      <c r="F13" s="4" t="s">
        <v>2670</v>
      </c>
      <c r="G13" s="999">
        <v>1</v>
      </c>
      <c r="H13" s="4" t="s">
        <v>1012</v>
      </c>
      <c r="I13" s="1" t="s">
        <v>1378</v>
      </c>
      <c r="J13" s="1" t="s">
        <v>1380</v>
      </c>
      <c r="K13" s="1" t="s">
        <v>250</v>
      </c>
      <c r="L13" s="73">
        <f>'BID 1 b'!F63</f>
        <v>1049635167</v>
      </c>
      <c r="M13" s="1" t="s">
        <v>1014</v>
      </c>
      <c r="N13" s="1" t="s">
        <v>1015</v>
      </c>
    </row>
    <row r="14" spans="1:15" ht="60" x14ac:dyDescent="0.25">
      <c r="A14" s="1"/>
      <c r="B14" s="1"/>
      <c r="C14" s="1" t="s">
        <v>3131</v>
      </c>
      <c r="D14" s="4" t="str">
        <f>'BID 1 b'!B79</f>
        <v>Penyediaan Jaminan Kesehatan dan Ketenaga Kerjaan Bagi Perbekel dan Perangkat Desa</v>
      </c>
      <c r="E14" s="1" t="s">
        <v>2668</v>
      </c>
      <c r="F14" s="4" t="s">
        <v>2671</v>
      </c>
      <c r="G14" s="999">
        <v>1</v>
      </c>
      <c r="H14" s="4" t="s">
        <v>1012</v>
      </c>
      <c r="I14" s="1" t="s">
        <v>1378</v>
      </c>
      <c r="J14" s="1" t="s">
        <v>1381</v>
      </c>
      <c r="K14" s="1" t="s">
        <v>250</v>
      </c>
      <c r="L14" s="73">
        <f>'BID 1 b'!F98</f>
        <v>77761313</v>
      </c>
      <c r="M14" s="1" t="s">
        <v>1014</v>
      </c>
      <c r="N14" s="1" t="s">
        <v>1015</v>
      </c>
    </row>
    <row r="15" spans="1:15" ht="60" x14ac:dyDescent="0.25">
      <c r="A15" s="1"/>
      <c r="B15" s="1"/>
      <c r="C15" s="1" t="s">
        <v>3132</v>
      </c>
      <c r="D15" s="4" t="str">
        <f>'BID 1 b'!B113</f>
        <v>: Penyediaan Operasional Pemerintah Desa</v>
      </c>
      <c r="E15" s="1" t="s">
        <v>2668</v>
      </c>
      <c r="F15" s="4" t="s">
        <v>2672</v>
      </c>
      <c r="G15" s="999">
        <v>1</v>
      </c>
      <c r="H15" s="4" t="s">
        <v>1012</v>
      </c>
      <c r="I15" s="1" t="s">
        <v>2673</v>
      </c>
      <c r="J15" s="1" t="s">
        <v>2674</v>
      </c>
      <c r="K15" s="1" t="s">
        <v>250</v>
      </c>
      <c r="L15" s="73">
        <f>'BID 1 b'!F304</f>
        <v>712389600.84000003</v>
      </c>
      <c r="M15" s="1" t="s">
        <v>1014</v>
      </c>
      <c r="N15" s="1" t="s">
        <v>1015</v>
      </c>
    </row>
    <row r="16" spans="1:15" ht="60" x14ac:dyDescent="0.25">
      <c r="A16" s="1"/>
      <c r="B16" s="1"/>
      <c r="C16" s="1" t="s">
        <v>3133</v>
      </c>
      <c r="D16" s="1" t="str">
        <f>'BID 1 b'!B348</f>
        <v>: Penyediaan tunjangan BPD</v>
      </c>
      <c r="E16" s="1" t="s">
        <v>2668</v>
      </c>
      <c r="F16" s="4" t="s">
        <v>2675</v>
      </c>
      <c r="G16" s="999">
        <v>1</v>
      </c>
      <c r="H16" s="4" t="s">
        <v>1012</v>
      </c>
      <c r="I16" s="1" t="s">
        <v>1378</v>
      </c>
      <c r="J16" s="1" t="s">
        <v>1382</v>
      </c>
      <c r="K16" s="1" t="s">
        <v>250</v>
      </c>
      <c r="L16" s="73">
        <f>'BID 1 b'!F374</f>
        <v>457800000</v>
      </c>
      <c r="M16" s="1" t="s">
        <v>1014</v>
      </c>
      <c r="N16" s="1" t="s">
        <v>1015</v>
      </c>
    </row>
    <row r="17" spans="1:15" ht="60" x14ac:dyDescent="0.25">
      <c r="A17" s="1"/>
      <c r="B17" s="1"/>
      <c r="C17" s="1" t="s">
        <v>3134</v>
      </c>
      <c r="D17" s="1" t="str">
        <f>'BID 1 b'!B391</f>
        <v>: Penyediaan Operasional BPD</v>
      </c>
      <c r="E17" s="1" t="s">
        <v>2668</v>
      </c>
      <c r="F17" s="4" t="s">
        <v>2676</v>
      </c>
      <c r="G17" s="999">
        <v>1</v>
      </c>
      <c r="H17" s="4" t="s">
        <v>1012</v>
      </c>
      <c r="I17" s="1" t="s">
        <v>2673</v>
      </c>
      <c r="J17" s="1" t="s">
        <v>1382</v>
      </c>
      <c r="K17" s="1" t="s">
        <v>250</v>
      </c>
      <c r="L17" s="73">
        <f>'BID 1 b'!F418</f>
        <v>32282000</v>
      </c>
      <c r="M17" s="1" t="s">
        <v>1014</v>
      </c>
      <c r="N17" s="1" t="s">
        <v>1015</v>
      </c>
    </row>
    <row r="18" spans="1:15" ht="60" x14ac:dyDescent="0.25">
      <c r="A18" s="1"/>
      <c r="B18" s="1"/>
      <c r="C18" s="1" t="s">
        <v>3134</v>
      </c>
      <c r="D18" s="4" t="str">
        <f>'BID 1 b'!B433</f>
        <v>: Penyediaan Operasional BPD (Musyawarah BPD)</v>
      </c>
      <c r="E18" s="1" t="s">
        <v>2668</v>
      </c>
      <c r="F18" s="4" t="s">
        <v>2677</v>
      </c>
      <c r="G18" s="999">
        <v>1</v>
      </c>
      <c r="H18" s="4" t="s">
        <v>1012</v>
      </c>
      <c r="I18" s="1" t="s">
        <v>2678</v>
      </c>
      <c r="J18" s="1" t="s">
        <v>2674</v>
      </c>
      <c r="K18" s="1" t="s">
        <v>250</v>
      </c>
      <c r="L18" s="73">
        <f>'BID 1 b'!F455</f>
        <v>16400000</v>
      </c>
      <c r="M18" s="1" t="s">
        <v>1014</v>
      </c>
      <c r="N18" s="1" t="s">
        <v>1015</v>
      </c>
    </row>
    <row r="19" spans="1:15" ht="60" x14ac:dyDescent="0.25">
      <c r="A19" s="1"/>
      <c r="B19" s="1"/>
      <c r="C19" s="1" t="s">
        <v>3134</v>
      </c>
      <c r="D19" s="4" t="str">
        <f>'BID 1 b'!B470</f>
        <v>: Penyediaan Operasional BPD (Rapat FKAKD)</v>
      </c>
      <c r="E19" s="1" t="s">
        <v>2668</v>
      </c>
      <c r="F19" s="4" t="s">
        <v>2679</v>
      </c>
      <c r="G19" s="999">
        <v>1</v>
      </c>
      <c r="H19" s="4" t="s">
        <v>1012</v>
      </c>
      <c r="I19" s="1" t="s">
        <v>2680</v>
      </c>
      <c r="J19" s="1" t="s">
        <v>2674</v>
      </c>
      <c r="K19" s="1" t="s">
        <v>250</v>
      </c>
      <c r="L19" s="73">
        <f>'BID 1 b'!F492</f>
        <v>8685000</v>
      </c>
      <c r="M19" s="1" t="s">
        <v>1014</v>
      </c>
      <c r="N19" s="1" t="s">
        <v>1015</v>
      </c>
    </row>
    <row r="20" spans="1:15" ht="60" x14ac:dyDescent="0.25">
      <c r="A20" s="1"/>
      <c r="B20" s="1"/>
      <c r="C20" s="1" t="s">
        <v>3135</v>
      </c>
      <c r="D20" s="4" t="str">
        <f>'BID 1 b'!B508</f>
        <v xml:space="preserve">: Penyediaan Penghasilan Staf Desa </v>
      </c>
      <c r="E20" s="1" t="s">
        <v>2668</v>
      </c>
      <c r="F20" s="4" t="s">
        <v>2670</v>
      </c>
      <c r="G20" s="999">
        <v>1</v>
      </c>
      <c r="H20" s="4" t="s">
        <v>1012</v>
      </c>
      <c r="I20" s="1" t="s">
        <v>1378</v>
      </c>
      <c r="J20" s="1" t="s">
        <v>1380</v>
      </c>
      <c r="K20" s="1" t="s">
        <v>250</v>
      </c>
      <c r="L20" s="73">
        <f>'BID 1 b'!F526</f>
        <v>579582544.31999993</v>
      </c>
      <c r="M20" s="1" t="s">
        <v>1014</v>
      </c>
      <c r="N20" s="1" t="s">
        <v>1015</v>
      </c>
    </row>
    <row r="21" spans="1:15" ht="60" x14ac:dyDescent="0.25">
      <c r="A21" s="1"/>
      <c r="B21" s="1"/>
      <c r="C21" s="1" t="s">
        <v>3136</v>
      </c>
      <c r="D21" s="4" t="str">
        <f>'BID 1 b'!B541</f>
        <v>Penjaringan dan Penyaringan Perangkat Desa/Staf</v>
      </c>
      <c r="E21" s="1" t="s">
        <v>2668</v>
      </c>
      <c r="F21" s="4" t="s">
        <v>2681</v>
      </c>
      <c r="G21" s="999">
        <v>1</v>
      </c>
      <c r="H21" s="4" t="s">
        <v>1012</v>
      </c>
      <c r="I21" s="1" t="s">
        <v>2682</v>
      </c>
      <c r="J21" s="1" t="s">
        <v>2674</v>
      </c>
      <c r="K21" s="1" t="s">
        <v>2683</v>
      </c>
      <c r="L21" s="73">
        <f>'BID 1 b'!F567</f>
        <v>17455000</v>
      </c>
      <c r="M21" s="1" t="s">
        <v>1014</v>
      </c>
      <c r="N21" s="1" t="s">
        <v>1015</v>
      </c>
    </row>
    <row r="22" spans="1:15" ht="60" x14ac:dyDescent="0.25">
      <c r="A22" s="1"/>
      <c r="B22" s="1"/>
      <c r="C22" s="1" t="s">
        <v>3137</v>
      </c>
      <c r="D22" s="4" t="str">
        <f>'BID 1 b'!B583</f>
        <v>Penyedian Jaminan Keshatan dan ketenagakerjaan BPD</v>
      </c>
      <c r="E22" s="1" t="s">
        <v>2668</v>
      </c>
      <c r="F22" s="4" t="s">
        <v>2675</v>
      </c>
      <c r="G22" s="999">
        <v>1</v>
      </c>
      <c r="H22" s="4" t="s">
        <v>1012</v>
      </c>
      <c r="I22" s="1" t="s">
        <v>1378</v>
      </c>
      <c r="J22" s="1" t="s">
        <v>1382</v>
      </c>
      <c r="K22" s="1" t="s">
        <v>250</v>
      </c>
      <c r="L22" s="73">
        <f>'BID 1 b'!F601</f>
        <v>40757410.799999997</v>
      </c>
      <c r="M22" s="1" t="s">
        <v>1014</v>
      </c>
      <c r="N22" s="1" t="s">
        <v>1015</v>
      </c>
    </row>
    <row r="23" spans="1:15" ht="60" x14ac:dyDescent="0.25">
      <c r="A23" s="1"/>
      <c r="B23" s="1"/>
      <c r="C23" s="1" t="s">
        <v>3137</v>
      </c>
      <c r="D23" s="4" t="str">
        <f>'BID 1 b'!B617</f>
        <v>Penyedian Jaminan Keshatan dan ketenagakerjaan Staf Desa</v>
      </c>
      <c r="E23" s="1" t="s">
        <v>2668</v>
      </c>
      <c r="F23" s="4" t="s">
        <v>2670</v>
      </c>
      <c r="G23" s="999">
        <v>1</v>
      </c>
      <c r="H23" s="4" t="s">
        <v>1012</v>
      </c>
      <c r="I23" s="1" t="s">
        <v>1378</v>
      </c>
      <c r="J23" s="1" t="s">
        <v>1380</v>
      </c>
      <c r="K23" s="1" t="s">
        <v>250</v>
      </c>
      <c r="L23" s="73">
        <f>'BID 1 b'!F639</f>
        <v>28601009.999999996</v>
      </c>
      <c r="M23" s="1" t="s">
        <v>1014</v>
      </c>
      <c r="N23" s="1" t="s">
        <v>1015</v>
      </c>
    </row>
    <row r="24" spans="1:15" ht="60" x14ac:dyDescent="0.25">
      <c r="A24" s="1"/>
      <c r="B24" s="1"/>
      <c r="C24" s="1" t="s">
        <v>3137</v>
      </c>
      <c r="D24" s="4" t="str">
        <f>'BID 1 b'!B655</f>
        <v>Penyedian Jaminan Ketenagakerjaan Ekosistem Desa</v>
      </c>
      <c r="E24" s="1" t="s">
        <v>2668</v>
      </c>
      <c r="F24" s="4" t="s">
        <v>2684</v>
      </c>
      <c r="G24" s="999">
        <v>1</v>
      </c>
      <c r="H24" s="4" t="s">
        <v>1012</v>
      </c>
      <c r="I24" s="1" t="s">
        <v>1378</v>
      </c>
      <c r="J24" s="1" t="s">
        <v>2685</v>
      </c>
      <c r="K24" s="1" t="s">
        <v>250</v>
      </c>
      <c r="L24" s="73">
        <f>'BID 1 b'!F676</f>
        <v>53215772.040000007</v>
      </c>
      <c r="M24" s="1" t="s">
        <v>1014</v>
      </c>
      <c r="N24" s="1" t="s">
        <v>1015</v>
      </c>
    </row>
    <row r="25" spans="1:15" ht="60" x14ac:dyDescent="0.25">
      <c r="A25" s="1"/>
      <c r="B25" s="1"/>
      <c r="C25" s="1" t="s">
        <v>3138</v>
      </c>
      <c r="D25" s="4" t="str">
        <f>'BID 1 b'!B691</f>
        <v>: Penyediaan Kegiatan Sosial Desa</v>
      </c>
      <c r="E25" s="1" t="s">
        <v>2668</v>
      </c>
      <c r="F25" s="4" t="s">
        <v>2688</v>
      </c>
      <c r="G25" s="999">
        <v>1</v>
      </c>
      <c r="H25" s="4" t="s">
        <v>1012</v>
      </c>
      <c r="I25" s="1" t="s">
        <v>250</v>
      </c>
      <c r="J25" s="1" t="s">
        <v>2674</v>
      </c>
      <c r="K25" s="1" t="s">
        <v>250</v>
      </c>
      <c r="L25" s="73">
        <f>'BID 1 b'!F708</f>
        <v>39032000</v>
      </c>
      <c r="M25" s="1" t="s">
        <v>1014</v>
      </c>
      <c r="N25" s="1" t="s">
        <v>1015</v>
      </c>
    </row>
    <row r="26" spans="1:15" ht="75" x14ac:dyDescent="0.25">
      <c r="A26" s="1"/>
      <c r="B26" s="1"/>
      <c r="C26" s="1" t="s">
        <v>3139</v>
      </c>
      <c r="D26" s="4" t="str">
        <f>'BID 1 b'!B722</f>
        <v>: Penyelenggaraan Belanja Penghasilan Tetap, Tunjangan dan Operasional Pemerintah Desa ( Maksimal 30% )</v>
      </c>
      <c r="E26" s="1" t="s">
        <v>2668</v>
      </c>
      <c r="F26" s="4" t="s">
        <v>2689</v>
      </c>
      <c r="G26" s="999">
        <v>1</v>
      </c>
      <c r="H26" s="4" t="s">
        <v>1012</v>
      </c>
      <c r="I26" s="1" t="s">
        <v>250</v>
      </c>
      <c r="J26" s="1" t="s">
        <v>2674</v>
      </c>
      <c r="K26" s="1" t="s">
        <v>250</v>
      </c>
      <c r="L26" s="73">
        <f>'BID 1 b'!F735</f>
        <v>0</v>
      </c>
      <c r="M26" s="1" t="s">
        <v>1014</v>
      </c>
      <c r="N26" s="1" t="s">
        <v>1015</v>
      </c>
    </row>
    <row r="27" spans="1:15" ht="60" x14ac:dyDescent="0.25">
      <c r="A27" s="1"/>
      <c r="B27" s="1"/>
      <c r="C27" s="1" t="s">
        <v>3140</v>
      </c>
      <c r="D27" s="4" t="str">
        <f>'BID 1 b'!B752</f>
        <v>: Tambahan  Penghasilan Perbekel dari BKK</v>
      </c>
      <c r="E27" s="1" t="s">
        <v>2668</v>
      </c>
      <c r="F27" s="4" t="s">
        <v>2690</v>
      </c>
      <c r="G27" s="999">
        <v>1</v>
      </c>
      <c r="H27" s="4" t="s">
        <v>1012</v>
      </c>
      <c r="I27" s="1" t="s">
        <v>250</v>
      </c>
      <c r="J27" s="1" t="s">
        <v>1379</v>
      </c>
      <c r="K27" s="1" t="s">
        <v>250</v>
      </c>
      <c r="L27" s="73">
        <f>'BID 1 b'!F763</f>
        <v>18000000</v>
      </c>
      <c r="M27" s="1" t="s">
        <v>1014</v>
      </c>
      <c r="N27" s="1" t="s">
        <v>1015</v>
      </c>
    </row>
    <row r="28" spans="1:15" ht="60" x14ac:dyDescent="0.25">
      <c r="A28" s="1"/>
      <c r="B28" s="1"/>
      <c r="C28" s="1" t="s">
        <v>3141</v>
      </c>
      <c r="D28" s="4" t="str">
        <f>'BID 1 b'!B779</f>
        <v>: Tambahan  Penghasilan Perangkat Desa dari BKK</v>
      </c>
      <c r="E28" s="1" t="s">
        <v>2668</v>
      </c>
      <c r="F28" s="4" t="s">
        <v>2690</v>
      </c>
      <c r="G28" s="999">
        <v>1</v>
      </c>
      <c r="H28" s="4" t="s">
        <v>1012</v>
      </c>
      <c r="I28" s="1" t="s">
        <v>250</v>
      </c>
      <c r="J28" s="1" t="s">
        <v>1380</v>
      </c>
      <c r="K28" s="1" t="s">
        <v>250</v>
      </c>
      <c r="L28" s="73">
        <f>'BID 1 b'!F795</f>
        <v>56400000</v>
      </c>
      <c r="M28" s="1" t="s">
        <v>1014</v>
      </c>
      <c r="N28" s="1" t="s">
        <v>1015</v>
      </c>
      <c r="O28">
        <f>7+8</f>
        <v>15</v>
      </c>
    </row>
    <row r="29" spans="1:15" ht="60" x14ac:dyDescent="0.25">
      <c r="A29" s="1"/>
      <c r="B29" s="1"/>
      <c r="C29" s="1" t="s">
        <v>3142</v>
      </c>
      <c r="D29" s="4" t="str">
        <f>'BID 1 b'!B811</f>
        <v>: Penyediaan Aset Tetap (Prasarana Kantor Desa)</v>
      </c>
      <c r="E29" s="1" t="s">
        <v>2668</v>
      </c>
      <c r="F29" s="4" t="s">
        <v>2691</v>
      </c>
      <c r="G29" s="999">
        <v>1</v>
      </c>
      <c r="H29" s="4" t="s">
        <v>1012</v>
      </c>
      <c r="I29" s="1" t="s">
        <v>250</v>
      </c>
      <c r="J29" s="1" t="s">
        <v>2674</v>
      </c>
      <c r="K29" s="1" t="s">
        <v>250</v>
      </c>
      <c r="L29" s="73">
        <f>'BID 1 b'!F848</f>
        <v>3243107999</v>
      </c>
      <c r="M29" s="1" t="s">
        <v>1014</v>
      </c>
      <c r="N29" s="1" t="s">
        <v>1015</v>
      </c>
    </row>
    <row r="30" spans="1:15" ht="56.25" customHeight="1" x14ac:dyDescent="0.25">
      <c r="A30" s="1"/>
      <c r="B30" s="1"/>
      <c r="C30" s="1" t="s">
        <v>3143</v>
      </c>
      <c r="D30" s="4" t="e">
        <f>'BID 1 b'!#REF!</f>
        <v>#REF!</v>
      </c>
      <c r="E30" s="1"/>
      <c r="F30" s="4" t="s">
        <v>3020</v>
      </c>
      <c r="G30" s="999">
        <v>1</v>
      </c>
      <c r="H30" s="4" t="s">
        <v>1012</v>
      </c>
      <c r="I30" s="1" t="s">
        <v>3022</v>
      </c>
      <c r="J30" s="1" t="s">
        <v>2674</v>
      </c>
      <c r="K30" s="1" t="s">
        <v>250</v>
      </c>
      <c r="L30" s="73" t="e">
        <f>'BID 1 b'!#REF!</f>
        <v>#REF!</v>
      </c>
      <c r="M30" s="1"/>
      <c r="N30" s="1"/>
    </row>
    <row r="31" spans="1:15" ht="60" x14ac:dyDescent="0.25">
      <c r="A31" s="1"/>
      <c r="B31" s="1"/>
      <c r="C31" s="1" t="s">
        <v>3143</v>
      </c>
      <c r="D31" s="4" t="e">
        <f>'BID 1 b'!#REF!</f>
        <v>#REF!</v>
      </c>
      <c r="E31" s="1"/>
      <c r="F31" s="4" t="s">
        <v>3020</v>
      </c>
      <c r="G31" s="999">
        <v>1</v>
      </c>
      <c r="H31" s="4" t="s">
        <v>1012</v>
      </c>
      <c r="I31" s="1" t="s">
        <v>3023</v>
      </c>
      <c r="J31" s="1" t="s">
        <v>2674</v>
      </c>
      <c r="K31" s="1" t="s">
        <v>250</v>
      </c>
      <c r="L31" s="73" t="e">
        <f>'BID 1 b'!#REF!</f>
        <v>#REF!</v>
      </c>
      <c r="M31" s="1"/>
      <c r="N31" s="1"/>
    </row>
    <row r="32" spans="1:15" ht="60" x14ac:dyDescent="0.25">
      <c r="A32" s="1"/>
      <c r="B32" s="1"/>
      <c r="C32" s="1" t="s">
        <v>3143</v>
      </c>
      <c r="D32" s="4" t="e">
        <f>'BID 1 b'!#REF!</f>
        <v>#REF!</v>
      </c>
      <c r="E32" s="1"/>
      <c r="F32" s="4" t="s">
        <v>3020</v>
      </c>
      <c r="G32" s="999">
        <v>1</v>
      </c>
      <c r="H32" s="4" t="s">
        <v>1012</v>
      </c>
      <c r="I32" s="1" t="s">
        <v>3024</v>
      </c>
      <c r="J32" s="1" t="s">
        <v>2674</v>
      </c>
      <c r="K32" s="1" t="s">
        <v>250</v>
      </c>
      <c r="L32" s="73" t="e">
        <f>'BID 1 b'!#REF!</f>
        <v>#REF!</v>
      </c>
      <c r="M32" s="1"/>
      <c r="N32" s="1"/>
    </row>
    <row r="33" spans="1:14" ht="60" x14ac:dyDescent="0.25">
      <c r="A33" s="1"/>
      <c r="B33" s="1"/>
      <c r="C33" s="1" t="s">
        <v>3143</v>
      </c>
      <c r="D33" s="4" t="e">
        <f>'BID 1 b'!#REF!</f>
        <v>#REF!</v>
      </c>
      <c r="E33" s="1"/>
      <c r="F33" s="4" t="s">
        <v>3020</v>
      </c>
      <c r="G33" s="999">
        <v>1</v>
      </c>
      <c r="H33" s="4" t="s">
        <v>1012</v>
      </c>
      <c r="I33" s="1" t="s">
        <v>3025</v>
      </c>
      <c r="J33" s="1" t="s">
        <v>2674</v>
      </c>
      <c r="K33" s="1" t="s">
        <v>250</v>
      </c>
      <c r="L33" s="73" t="e">
        <f>'BID 1 b'!#REF!</f>
        <v>#REF!</v>
      </c>
      <c r="M33" s="1"/>
      <c r="N33" s="1"/>
    </row>
    <row r="34" spans="1:14" ht="60" x14ac:dyDescent="0.25">
      <c r="A34" s="1"/>
      <c r="B34" s="1"/>
      <c r="C34" s="1" t="s">
        <v>3143</v>
      </c>
      <c r="D34" s="4" t="str">
        <f>'BID 1 b'!B911</f>
        <v>Pemeliharaan Gedung/Prasarana Kantor Desa (Ruang Pelayanan Umum)</v>
      </c>
      <c r="E34" s="1"/>
      <c r="F34" s="4" t="s">
        <v>3020</v>
      </c>
      <c r="G34" s="999">
        <v>1</v>
      </c>
      <c r="H34" s="4" t="s">
        <v>1012</v>
      </c>
      <c r="I34" s="1" t="s">
        <v>3026</v>
      </c>
      <c r="J34" s="1" t="s">
        <v>2674</v>
      </c>
      <c r="K34" s="1" t="s">
        <v>250</v>
      </c>
      <c r="L34" s="73">
        <f>'BID 1 b'!F934</f>
        <v>4305420</v>
      </c>
      <c r="M34" s="1"/>
      <c r="N34" s="1"/>
    </row>
    <row r="35" spans="1:14" ht="60" x14ac:dyDescent="0.25">
      <c r="A35" s="1"/>
      <c r="B35" s="1"/>
      <c r="C35" s="1" t="s">
        <v>3143</v>
      </c>
      <c r="D35" s="4" t="e">
        <f>'BID 1 b'!#REF!</f>
        <v>#REF!</v>
      </c>
      <c r="E35" s="1"/>
      <c r="F35" s="4" t="s">
        <v>3020</v>
      </c>
      <c r="G35" s="999">
        <v>1</v>
      </c>
      <c r="H35" s="4" t="s">
        <v>1012</v>
      </c>
      <c r="I35" s="1" t="s">
        <v>3027</v>
      </c>
      <c r="J35" s="1" t="s">
        <v>2674</v>
      </c>
      <c r="K35" s="1" t="s">
        <v>250</v>
      </c>
      <c r="L35" s="73" t="e">
        <f>'BID 1 b'!#REF!</f>
        <v>#REF!</v>
      </c>
      <c r="M35" s="1"/>
      <c r="N35" s="1"/>
    </row>
    <row r="36" spans="1:14" ht="60" x14ac:dyDescent="0.25">
      <c r="A36" s="1"/>
      <c r="B36" s="1"/>
      <c r="C36" s="1" t="s">
        <v>3143</v>
      </c>
      <c r="D36" s="4" t="e">
        <f>'BID 1 b'!#REF!</f>
        <v>#REF!</v>
      </c>
      <c r="E36" s="1"/>
      <c r="F36" s="4" t="s">
        <v>3020</v>
      </c>
      <c r="G36" s="999">
        <v>1</v>
      </c>
      <c r="H36" s="4" t="s">
        <v>1012</v>
      </c>
      <c r="I36" s="1" t="s">
        <v>3028</v>
      </c>
      <c r="J36" s="1" t="s">
        <v>2674</v>
      </c>
      <c r="K36" s="1" t="s">
        <v>250</v>
      </c>
      <c r="L36" s="73" t="e">
        <f>'BID 1 b'!#REF!</f>
        <v>#REF!</v>
      </c>
      <c r="M36" s="1"/>
      <c r="N36" s="1"/>
    </row>
    <row r="37" spans="1:14" ht="60" x14ac:dyDescent="0.25">
      <c r="A37" s="1"/>
      <c r="B37" s="1"/>
      <c r="C37" s="1" t="s">
        <v>3143</v>
      </c>
      <c r="D37" s="4" t="e">
        <f>'BID 1 b'!#REF!</f>
        <v>#REF!</v>
      </c>
      <c r="E37" s="1"/>
      <c r="F37" s="4" t="s">
        <v>3020</v>
      </c>
      <c r="G37" s="999">
        <v>1</v>
      </c>
      <c r="H37" s="4" t="s">
        <v>1012</v>
      </c>
      <c r="I37" s="1" t="s">
        <v>3029</v>
      </c>
      <c r="J37" s="1" t="s">
        <v>2674</v>
      </c>
      <c r="K37" s="1" t="s">
        <v>250</v>
      </c>
      <c r="L37" s="73" t="e">
        <f>'BID 1 b'!#REF!</f>
        <v>#REF!</v>
      </c>
      <c r="M37" s="1"/>
      <c r="N37" s="1"/>
    </row>
    <row r="38" spans="1:14" ht="60" x14ac:dyDescent="0.25">
      <c r="A38" s="1"/>
      <c r="B38" s="1"/>
      <c r="C38" s="1" t="s">
        <v>3143</v>
      </c>
      <c r="D38" s="4" t="e">
        <f>'BID 1 b'!#REF!</f>
        <v>#REF!</v>
      </c>
      <c r="E38" s="1"/>
      <c r="F38" s="4" t="s">
        <v>3020</v>
      </c>
      <c r="G38" s="999">
        <v>1</v>
      </c>
      <c r="H38" s="4" t="s">
        <v>1012</v>
      </c>
      <c r="I38" s="1" t="s">
        <v>3030</v>
      </c>
      <c r="J38" s="1" t="s">
        <v>2674</v>
      </c>
      <c r="K38" s="1" t="s">
        <v>250</v>
      </c>
      <c r="L38" s="73" t="e">
        <f>'BID 1 b'!#REF!</f>
        <v>#REF!</v>
      </c>
      <c r="M38" s="1"/>
      <c r="N38" s="1"/>
    </row>
    <row r="39" spans="1:14" ht="60" x14ac:dyDescent="0.25">
      <c r="A39" s="1"/>
      <c r="B39" s="1"/>
      <c r="C39" s="1" t="s">
        <v>3143</v>
      </c>
      <c r="D39" s="4" t="e">
        <f>'BID 1 b'!#REF!</f>
        <v>#REF!</v>
      </c>
      <c r="E39" s="1"/>
      <c r="F39" s="4" t="s">
        <v>3021</v>
      </c>
      <c r="G39" s="999">
        <v>1</v>
      </c>
      <c r="H39" s="4" t="s">
        <v>1012</v>
      </c>
      <c r="I39" s="1" t="s">
        <v>3031</v>
      </c>
      <c r="J39" s="1" t="s">
        <v>2674</v>
      </c>
      <c r="K39" s="1" t="s">
        <v>250</v>
      </c>
      <c r="L39" s="73" t="e">
        <f>'BID 1 b'!#REF!</f>
        <v>#REF!</v>
      </c>
      <c r="M39" s="1"/>
      <c r="N39" s="1"/>
    </row>
    <row r="40" spans="1:14" ht="60" x14ac:dyDescent="0.25">
      <c r="A40" s="1"/>
      <c r="B40" s="1"/>
      <c r="C40" s="1" t="s">
        <v>3143</v>
      </c>
      <c r="D40" s="4" t="e">
        <f>'BID 1 b'!#REF!</f>
        <v>#REF!</v>
      </c>
      <c r="E40" s="1"/>
      <c r="F40" s="4" t="s">
        <v>3021</v>
      </c>
      <c r="G40" s="999">
        <v>1</v>
      </c>
      <c r="H40" s="4" t="s">
        <v>1012</v>
      </c>
      <c r="I40" s="1" t="s">
        <v>3032</v>
      </c>
      <c r="J40" s="1" t="s">
        <v>2674</v>
      </c>
      <c r="K40" s="1" t="s">
        <v>250</v>
      </c>
      <c r="L40" s="73" t="e">
        <f>'BID 1 b'!#REF!</f>
        <v>#REF!</v>
      </c>
      <c r="M40" s="1"/>
      <c r="N40" s="1"/>
    </row>
    <row r="41" spans="1:14" ht="60" x14ac:dyDescent="0.25">
      <c r="A41" s="1"/>
      <c r="B41" s="1"/>
      <c r="C41" s="1" t="s">
        <v>3143</v>
      </c>
      <c r="D41" s="4" t="e">
        <f>'BID 1 b'!#REF!</f>
        <v>#REF!</v>
      </c>
      <c r="E41" s="1"/>
      <c r="F41" s="4" t="s">
        <v>3021</v>
      </c>
      <c r="G41" s="999">
        <v>1</v>
      </c>
      <c r="H41" s="4" t="s">
        <v>1012</v>
      </c>
      <c r="I41" s="1" t="s">
        <v>3032</v>
      </c>
      <c r="J41" s="1" t="s">
        <v>2674</v>
      </c>
      <c r="K41" s="1" t="s">
        <v>250</v>
      </c>
      <c r="L41" s="73" t="e">
        <f>'BID 1 b'!#REF!</f>
        <v>#REF!</v>
      </c>
      <c r="M41" s="1"/>
      <c r="N41" s="1"/>
    </row>
    <row r="42" spans="1:14" ht="75" x14ac:dyDescent="0.25">
      <c r="A42" s="1"/>
      <c r="B42" s="1"/>
      <c r="C42" s="1" t="s">
        <v>3143</v>
      </c>
      <c r="D42" s="4" t="str">
        <f>'BID 1 b'!B1080</f>
        <v>Pemeliharaan/ Rehabilitasi/ Peningkatan Gedung/ Prasarana Kantor Desa (Penataan Kebun dan Vertical Garden)</v>
      </c>
      <c r="E42" s="1" t="s">
        <v>2668</v>
      </c>
      <c r="F42" s="4" t="s">
        <v>2692</v>
      </c>
      <c r="G42" s="999">
        <v>1</v>
      </c>
      <c r="H42" s="4" t="s">
        <v>1012</v>
      </c>
      <c r="I42" s="1" t="s">
        <v>2682</v>
      </c>
      <c r="J42" s="1" t="s">
        <v>2674</v>
      </c>
      <c r="K42" s="1" t="s">
        <v>2693</v>
      </c>
      <c r="L42" s="73">
        <f>'BID 1 b'!F1102</f>
        <v>8177600</v>
      </c>
      <c r="M42" s="1" t="s">
        <v>1014</v>
      </c>
      <c r="N42" s="1" t="s">
        <v>1015</v>
      </c>
    </row>
    <row r="43" spans="1:14" ht="75" x14ac:dyDescent="0.25">
      <c r="A43" s="1"/>
      <c r="B43" s="1"/>
      <c r="C43" s="1" t="s">
        <v>3144</v>
      </c>
      <c r="D43" s="4" t="str">
        <f>'BID 1 b'!B1116</f>
        <v>Perencanaan Pembangunan Geduk/Prasarana Kantor Desa (Perencanaan/ Penggkajian Pembangunan Desa Wisata)</v>
      </c>
      <c r="E43" s="1" t="s">
        <v>2694</v>
      </c>
      <c r="F43" s="4" t="s">
        <v>2695</v>
      </c>
      <c r="G43" s="999">
        <v>1</v>
      </c>
      <c r="H43" s="4" t="s">
        <v>1012</v>
      </c>
      <c r="I43" s="1" t="s">
        <v>2682</v>
      </c>
      <c r="J43" s="1" t="s">
        <v>2674</v>
      </c>
      <c r="K43" s="1" t="s">
        <v>2693</v>
      </c>
      <c r="L43" s="73">
        <f>'BID 1 b'!F1135</f>
        <v>50750000</v>
      </c>
      <c r="M43" s="1" t="s">
        <v>1014</v>
      </c>
      <c r="N43" s="1" t="s">
        <v>1015</v>
      </c>
    </row>
    <row r="44" spans="1:14" ht="60" x14ac:dyDescent="0.25">
      <c r="A44" s="1"/>
      <c r="B44" s="1"/>
      <c r="C44" s="1" t="s">
        <v>3145</v>
      </c>
      <c r="D44" s="4" t="str">
        <f>'BID 1 b'!B1150</f>
        <v>: Penyusunan/ Pendataan/PemuktahiranSDGS</v>
      </c>
      <c r="E44" s="1" t="s">
        <v>2668</v>
      </c>
      <c r="F44" s="4" t="s">
        <v>2696</v>
      </c>
      <c r="G44" s="999">
        <v>1</v>
      </c>
      <c r="H44" s="4" t="s">
        <v>1012</v>
      </c>
      <c r="I44" s="1" t="s">
        <v>2682</v>
      </c>
      <c r="J44" s="1" t="s">
        <v>2674</v>
      </c>
      <c r="K44" s="1" t="s">
        <v>2693</v>
      </c>
      <c r="L44" s="73">
        <f>'BID 1 b'!F1165</f>
        <v>5800000</v>
      </c>
      <c r="M44" s="1" t="s">
        <v>1014</v>
      </c>
      <c r="N44" s="1" t="s">
        <v>1015</v>
      </c>
    </row>
    <row r="45" spans="1:14" ht="60" x14ac:dyDescent="0.25">
      <c r="A45" s="1"/>
      <c r="B45" s="1"/>
      <c r="C45" s="1" t="s">
        <v>3146</v>
      </c>
      <c r="D45" s="4" t="str">
        <f>'BID 1 b'!B1182</f>
        <v>: Penyusunan/ Pendataan/Pemuktahiran Profil Desa (Indek Desa)</v>
      </c>
      <c r="E45" s="1" t="s">
        <v>2668</v>
      </c>
      <c r="F45" s="4" t="s">
        <v>2697</v>
      </c>
      <c r="G45" s="999">
        <v>1</v>
      </c>
      <c r="H45" s="4" t="s">
        <v>1012</v>
      </c>
      <c r="I45" s="1" t="s">
        <v>2682</v>
      </c>
      <c r="J45" s="1" t="s">
        <v>2674</v>
      </c>
      <c r="K45" s="1" t="s">
        <v>2693</v>
      </c>
      <c r="L45" s="73">
        <f>'BID 1 b'!F1197</f>
        <v>1900000</v>
      </c>
      <c r="M45" s="1" t="s">
        <v>1014</v>
      </c>
      <c r="N45" s="1" t="s">
        <v>1015</v>
      </c>
    </row>
    <row r="46" spans="1:14" ht="60" x14ac:dyDescent="0.25">
      <c r="A46" s="1"/>
      <c r="B46" s="1"/>
      <c r="C46" s="1" t="s">
        <v>3147</v>
      </c>
      <c r="D46" s="4" t="str">
        <f>'BID 1 b'!B1212</f>
        <v>: Pengelolaan Administrasi dan Kearsipan pemerintahan Desa ( Pelatihan Kearsipan )</v>
      </c>
      <c r="E46" s="1" t="s">
        <v>2668</v>
      </c>
      <c r="F46" s="4" t="s">
        <v>2698</v>
      </c>
      <c r="G46" s="999">
        <v>1</v>
      </c>
      <c r="H46" s="4" t="s">
        <v>1012</v>
      </c>
      <c r="I46" s="1" t="s">
        <v>2682</v>
      </c>
      <c r="J46" s="1" t="s">
        <v>2674</v>
      </c>
      <c r="K46" s="1" t="s">
        <v>2683</v>
      </c>
      <c r="L46" s="73">
        <f>'BID 1 b'!F1234</f>
        <v>2550000</v>
      </c>
      <c r="M46" s="1" t="s">
        <v>1014</v>
      </c>
      <c r="N46" s="1" t="s">
        <v>1015</v>
      </c>
    </row>
    <row r="47" spans="1:14" ht="75" x14ac:dyDescent="0.25">
      <c r="A47" s="1"/>
      <c r="B47" s="1"/>
      <c r="C47" s="1" t="s">
        <v>3148</v>
      </c>
      <c r="D47" s="4" t="str">
        <f>'BID 1 b'!B1251</f>
        <v>: Pendataan Administrasi Penduduk Non Permanen (Penertiban Penduduk Pendatang dan Sidak Dialogis)</v>
      </c>
      <c r="E47" s="1" t="s">
        <v>1643</v>
      </c>
      <c r="F47" s="4" t="s">
        <v>2699</v>
      </c>
      <c r="G47" s="999">
        <v>1</v>
      </c>
      <c r="H47" s="4" t="s">
        <v>1012</v>
      </c>
      <c r="I47" s="1" t="s">
        <v>2700</v>
      </c>
      <c r="J47" s="1" t="s">
        <v>2674</v>
      </c>
      <c r="K47" s="1" t="s">
        <v>2673</v>
      </c>
      <c r="L47" s="73">
        <f>'BID 1 b'!F1273</f>
        <v>40260000</v>
      </c>
      <c r="M47" s="1" t="s">
        <v>1014</v>
      </c>
      <c r="N47" s="1" t="s">
        <v>1015</v>
      </c>
    </row>
    <row r="48" spans="1:14" ht="60" x14ac:dyDescent="0.25">
      <c r="A48" s="1"/>
      <c r="B48" s="1"/>
      <c r="C48" s="1" t="s">
        <v>3149</v>
      </c>
      <c r="D48" s="4" t="str">
        <f>'BID 1 b'!B1290</f>
        <v>Penyelenggaraan Musyawarah Desa/ Pembahasan APBDes (Musrenbangdes)</v>
      </c>
      <c r="E48" s="1" t="s">
        <v>1643</v>
      </c>
      <c r="F48" s="4" t="s">
        <v>2701</v>
      </c>
      <c r="G48" s="999">
        <v>1</v>
      </c>
      <c r="H48" s="4" t="s">
        <v>1012</v>
      </c>
      <c r="I48" s="1" t="s">
        <v>2700</v>
      </c>
      <c r="J48" s="1" t="s">
        <v>2674</v>
      </c>
      <c r="K48" s="1" t="s">
        <v>2673</v>
      </c>
      <c r="L48" s="73">
        <f>'BID 1 b'!F1317</f>
        <v>35400000</v>
      </c>
      <c r="M48" s="1" t="s">
        <v>1014</v>
      </c>
      <c r="N48" s="1" t="s">
        <v>1015</v>
      </c>
    </row>
    <row r="49" spans="1:14" ht="105" x14ac:dyDescent="0.25">
      <c r="A49" s="1"/>
      <c r="B49" s="1"/>
      <c r="C49" s="1" t="s">
        <v>3149</v>
      </c>
      <c r="D49" s="4" t="str">
        <f>'BID 1 b'!B1333</f>
        <v>Penyelenggaraan Musyawarah Desa/ Pembahasan APBDes (Musdes, Musrenbangdes/pra musrenbangdes, dll yang bersifat reguler )</v>
      </c>
      <c r="E49" s="1" t="s">
        <v>1643</v>
      </c>
      <c r="F49" s="4" t="s">
        <v>2702</v>
      </c>
      <c r="G49" s="999">
        <v>1</v>
      </c>
      <c r="H49" s="4" t="s">
        <v>1012</v>
      </c>
      <c r="I49" s="1" t="s">
        <v>2680</v>
      </c>
      <c r="J49" s="1" t="s">
        <v>2674</v>
      </c>
      <c r="K49" s="1" t="s">
        <v>2673</v>
      </c>
      <c r="L49" s="73">
        <f>'BID 1 b'!F1359</f>
        <v>33176000</v>
      </c>
      <c r="M49" s="1" t="s">
        <v>1014</v>
      </c>
      <c r="N49" s="1" t="s">
        <v>1015</v>
      </c>
    </row>
    <row r="50" spans="1:14" ht="60" x14ac:dyDescent="0.25">
      <c r="A50" s="1"/>
      <c r="B50" s="1"/>
      <c r="C50" s="1" t="s">
        <v>3150</v>
      </c>
      <c r="D50" s="4" t="str">
        <f>'BID 1 b'!B1376</f>
        <v>: Penyelenggaraan Musyawarah Desa lainya (yang bersifat non reguler )</v>
      </c>
      <c r="E50" s="1" t="s">
        <v>1643</v>
      </c>
      <c r="F50" s="4" t="s">
        <v>2704</v>
      </c>
      <c r="G50" s="999">
        <v>1</v>
      </c>
      <c r="H50" s="4" t="s">
        <v>1012</v>
      </c>
      <c r="I50" s="1" t="s">
        <v>2680</v>
      </c>
      <c r="J50" s="1" t="s">
        <v>2674</v>
      </c>
      <c r="K50" s="1" t="s">
        <v>2673</v>
      </c>
      <c r="L50" s="73">
        <f>'BID 1 b'!F1402</f>
        <v>24160000</v>
      </c>
      <c r="M50" s="1" t="s">
        <v>1014</v>
      </c>
      <c r="N50" s="1" t="s">
        <v>1015</v>
      </c>
    </row>
    <row r="51" spans="1:14" ht="60" x14ac:dyDescent="0.25">
      <c r="A51" s="1"/>
      <c r="B51" s="1"/>
      <c r="C51" s="1" t="s">
        <v>3151</v>
      </c>
      <c r="D51" s="4" t="str">
        <f>'BID 1 b'!B1416</f>
        <v>Penyusunan Dokumen Perencanaan Desa (RKP Desa 2027)</v>
      </c>
      <c r="E51" s="1" t="s">
        <v>1643</v>
      </c>
      <c r="F51" s="4" t="s">
        <v>2705</v>
      </c>
      <c r="G51" s="999">
        <v>1</v>
      </c>
      <c r="H51" s="4" t="s">
        <v>1012</v>
      </c>
      <c r="I51" s="1" t="s">
        <v>2682</v>
      </c>
      <c r="J51" s="1" t="s">
        <v>2674</v>
      </c>
      <c r="K51" s="1" t="s">
        <v>2693</v>
      </c>
      <c r="L51" s="73">
        <f>'BID 1 b'!F1442</f>
        <v>34540000</v>
      </c>
      <c r="M51" s="1" t="s">
        <v>1014</v>
      </c>
      <c r="N51" s="1" t="s">
        <v>1015</v>
      </c>
    </row>
    <row r="52" spans="1:14" ht="60" x14ac:dyDescent="0.25">
      <c r="A52" s="1"/>
      <c r="B52" s="1"/>
      <c r="C52" s="1" t="s">
        <v>3152</v>
      </c>
      <c r="D52" s="4" t="str">
        <f>'BID 1 b'!B1457</f>
        <v>: Penyusunan dokumen keuangan Desa (APBDesa 2027 )</v>
      </c>
      <c r="E52" s="1" t="s">
        <v>1643</v>
      </c>
      <c r="F52" s="4" t="s">
        <v>2706</v>
      </c>
      <c r="G52" s="999">
        <v>1</v>
      </c>
      <c r="H52" s="4" t="s">
        <v>1012</v>
      </c>
      <c r="I52" s="1" t="s">
        <v>2682</v>
      </c>
      <c r="J52" s="1" t="s">
        <v>2674</v>
      </c>
      <c r="K52" s="1" t="s">
        <v>2693</v>
      </c>
      <c r="L52" s="73">
        <f>'BID 1 b'!F1472</f>
        <v>6105000</v>
      </c>
      <c r="M52" s="1" t="s">
        <v>1014</v>
      </c>
      <c r="N52" s="1" t="s">
        <v>1015</v>
      </c>
    </row>
    <row r="53" spans="1:14" ht="60" x14ac:dyDescent="0.25">
      <c r="A53" s="1"/>
      <c r="B53" s="1"/>
      <c r="C53" s="1" t="s">
        <v>3152</v>
      </c>
      <c r="D53" s="4" t="str">
        <f>'BID 1 b'!B1488</f>
        <v>: Penyusunan dokumen keuangan Desa (APBDesa Perubahan 2026)</v>
      </c>
      <c r="E53" s="1" t="s">
        <v>1643</v>
      </c>
      <c r="F53" s="4" t="s">
        <v>2707</v>
      </c>
      <c r="G53" s="999">
        <v>1</v>
      </c>
      <c r="H53" s="4" t="s">
        <v>1012</v>
      </c>
      <c r="I53" s="1" t="s">
        <v>2682</v>
      </c>
      <c r="J53" s="1" t="s">
        <v>2674</v>
      </c>
      <c r="K53" s="1" t="s">
        <v>2693</v>
      </c>
      <c r="L53" s="73">
        <f>'BID 1 b'!F1503</f>
        <v>7615000</v>
      </c>
      <c r="M53" s="1" t="s">
        <v>1014</v>
      </c>
      <c r="N53" s="1" t="s">
        <v>1015</v>
      </c>
    </row>
    <row r="54" spans="1:14" ht="60" x14ac:dyDescent="0.25">
      <c r="A54" s="1"/>
      <c r="B54" s="1"/>
      <c r="C54" s="1" t="s">
        <v>3152</v>
      </c>
      <c r="D54" s="4" t="str">
        <f>'BID 1 b'!B1518</f>
        <v>: Penyusunan dokumen keuangan Desa ( LPJ APBDesa 2025).</v>
      </c>
      <c r="E54" s="1" t="s">
        <v>1643</v>
      </c>
      <c r="F54" s="4" t="s">
        <v>2708</v>
      </c>
      <c r="G54" s="999">
        <v>1</v>
      </c>
      <c r="H54" s="4" t="s">
        <v>1012</v>
      </c>
      <c r="I54" s="1" t="s">
        <v>2682</v>
      </c>
      <c r="J54" s="1" t="s">
        <v>2674</v>
      </c>
      <c r="K54" s="1" t="s">
        <v>2693</v>
      </c>
      <c r="L54" s="73">
        <f>'BID 1 b'!F1530</f>
        <v>1660750</v>
      </c>
      <c r="M54" s="1" t="s">
        <v>1014</v>
      </c>
      <c r="N54" s="1" t="s">
        <v>1015</v>
      </c>
    </row>
    <row r="55" spans="1:14" ht="75" x14ac:dyDescent="0.25">
      <c r="A55" s="1"/>
      <c r="B55" s="1"/>
      <c r="C55" s="1" t="s">
        <v>3153</v>
      </c>
      <c r="D55" s="4" t="str">
        <f>'BID 1 b'!B1546</f>
        <v>: Penyusunan laporan Kepala Desa/ Penyelenggaraan Pemerintah Desa (Laporan akhir tahun anggaran )</v>
      </c>
      <c r="E55" s="1" t="s">
        <v>1643</v>
      </c>
      <c r="F55" s="4" t="s">
        <v>2709</v>
      </c>
      <c r="G55" s="999">
        <v>1</v>
      </c>
      <c r="H55" s="4" t="s">
        <v>1012</v>
      </c>
      <c r="I55" s="1" t="s">
        <v>2682</v>
      </c>
      <c r="J55" s="1" t="s">
        <v>2674</v>
      </c>
      <c r="K55" s="1" t="s">
        <v>2693</v>
      </c>
      <c r="L55" s="73">
        <f>'BID 1 b'!F1558</f>
        <v>1500000</v>
      </c>
      <c r="M55" s="1" t="s">
        <v>1014</v>
      </c>
      <c r="N55" s="1" t="s">
        <v>1015</v>
      </c>
    </row>
    <row r="56" spans="1:14" x14ac:dyDescent="0.25">
      <c r="A56" s="2250" t="s">
        <v>1117</v>
      </c>
      <c r="B56" s="2251"/>
      <c r="C56" s="2251"/>
      <c r="D56" s="2251"/>
      <c r="E56" s="2251"/>
      <c r="F56" s="2251"/>
      <c r="G56" s="2251"/>
      <c r="H56" s="2251"/>
      <c r="I56" s="2251"/>
      <c r="J56" s="2251"/>
      <c r="K56" s="2252"/>
      <c r="L56" s="1040" t="e">
        <f>SUM(L12:L55)</f>
        <v>#REF!</v>
      </c>
      <c r="M56" s="1"/>
      <c r="N56" s="1"/>
    </row>
    <row r="57" spans="1:14" ht="75" x14ac:dyDescent="0.25">
      <c r="A57" s="1">
        <v>2</v>
      </c>
      <c r="B57" s="4" t="str">
        <f>'Bid 2b'!B5</f>
        <v>Pelaksanaan Pembangunan Desa</v>
      </c>
      <c r="C57" s="1" t="s">
        <v>3154</v>
      </c>
      <c r="D57" s="4" t="str">
        <f>'Bid 2b'!B7</f>
        <v>Penyelenggaraan PAUD/TK/TKA/ Madrasah Non Formal Milik Desa (Pengelolaan Taman Kanak - kanak  TK Kumara Sari VI )</v>
      </c>
      <c r="E57" s="1" t="s">
        <v>2722</v>
      </c>
      <c r="F57" s="4" t="s">
        <v>2712</v>
      </c>
      <c r="G57" s="999">
        <v>1</v>
      </c>
      <c r="H57" s="4" t="s">
        <v>1012</v>
      </c>
      <c r="I57" s="1" t="s">
        <v>250</v>
      </c>
      <c r="J57" s="1" t="s">
        <v>2674</v>
      </c>
      <c r="K57" s="1" t="s">
        <v>250</v>
      </c>
      <c r="L57" s="73">
        <f>'Bid 2b'!F147</f>
        <v>276660000</v>
      </c>
      <c r="M57" s="1"/>
      <c r="N57" s="1"/>
    </row>
    <row r="58" spans="1:14" ht="90" x14ac:dyDescent="0.25">
      <c r="A58" s="1"/>
      <c r="B58" s="1"/>
      <c r="C58" s="1" t="s">
        <v>3155</v>
      </c>
      <c r="D58" s="4" t="str">
        <f>'Bid 2b'!B160</f>
        <v>: Pembinaan atau Pelatihan Kelompok Belajar Widya Kumara Bhuwana ( Pelatihan Bahasa dan Aksara Bali Untuk Anak-Anak )</v>
      </c>
      <c r="E58" s="1" t="s">
        <v>2722</v>
      </c>
      <c r="F58" s="4" t="s">
        <v>2713</v>
      </c>
      <c r="G58" s="999">
        <v>1</v>
      </c>
      <c r="H58" s="4" t="s">
        <v>1012</v>
      </c>
      <c r="I58" s="1" t="s">
        <v>2714</v>
      </c>
      <c r="J58" s="1" t="s">
        <v>1385</v>
      </c>
      <c r="K58" s="1" t="s">
        <v>2715</v>
      </c>
      <c r="L58" s="73">
        <f>'Bid 2b'!F191</f>
        <v>18008000</v>
      </c>
      <c r="M58" s="1"/>
      <c r="N58" s="1"/>
    </row>
    <row r="59" spans="1:14" ht="90" x14ac:dyDescent="0.25">
      <c r="A59" s="1"/>
      <c r="B59" s="1"/>
      <c r="C59" s="1" t="s">
        <v>3156</v>
      </c>
      <c r="D59" s="4" t="str">
        <f>'Bid 2b'!B204</f>
        <v>:Peningkatan Sarana Prasarana Perpustakaan/Taman Bacaan Desa/ Sanggar Belajar Milik Desa (Perpustakaan Digital dan keliling)</v>
      </c>
      <c r="E59" s="1" t="s">
        <v>2722</v>
      </c>
      <c r="F59" s="4" t="s">
        <v>2716</v>
      </c>
      <c r="G59" s="999">
        <v>1</v>
      </c>
      <c r="H59" s="4" t="s">
        <v>1012</v>
      </c>
      <c r="I59" s="1" t="s">
        <v>2673</v>
      </c>
      <c r="J59" s="1" t="s">
        <v>2674</v>
      </c>
      <c r="K59" s="1" t="s">
        <v>2673</v>
      </c>
      <c r="L59" s="73">
        <f>'Bid 2b'!F218</f>
        <v>6979246</v>
      </c>
      <c r="M59" s="1"/>
      <c r="N59" s="1"/>
    </row>
    <row r="60" spans="1:14" ht="75" x14ac:dyDescent="0.25">
      <c r="A60" s="1"/>
      <c r="B60" s="1"/>
      <c r="C60" s="1" t="s">
        <v>3157</v>
      </c>
      <c r="D60" s="4" t="str">
        <f>'Bid 2b'!B230</f>
        <v>: Penyelenggaraan Posyandu (Penyelenggaraan Posyandu ILP)</v>
      </c>
      <c r="E60" s="1">
        <v>3</v>
      </c>
      <c r="F60" s="4" t="s">
        <v>2717</v>
      </c>
      <c r="G60" s="999">
        <v>1</v>
      </c>
      <c r="H60" s="4" t="s">
        <v>1012</v>
      </c>
      <c r="I60" s="1" t="s">
        <v>2673</v>
      </c>
      <c r="J60" s="1" t="s">
        <v>2674</v>
      </c>
      <c r="K60" s="1" t="s">
        <v>2673</v>
      </c>
      <c r="L60" s="73">
        <f>'Bid 2b'!F267</f>
        <v>883933100</v>
      </c>
      <c r="M60" s="1"/>
      <c r="N60" s="1"/>
    </row>
    <row r="61" spans="1:14" ht="60" x14ac:dyDescent="0.25">
      <c r="A61" s="1"/>
      <c r="B61" s="1"/>
      <c r="C61" s="1" t="s">
        <v>3157</v>
      </c>
      <c r="D61" s="4" t="str">
        <f>'Bid 2b'!B281</f>
        <v>: Penyelenggaraan POSyandu (Pos Gizi dan Ibu Hamil)</v>
      </c>
      <c r="E61" s="1">
        <v>3</v>
      </c>
      <c r="F61" s="4" t="s">
        <v>2718</v>
      </c>
      <c r="G61" s="999">
        <v>1</v>
      </c>
      <c r="H61" s="4" t="s">
        <v>1012</v>
      </c>
      <c r="I61" s="1" t="s">
        <v>2682</v>
      </c>
      <c r="J61" s="1" t="s">
        <v>2674</v>
      </c>
      <c r="K61" s="1" t="s">
        <v>2683</v>
      </c>
      <c r="L61" s="73">
        <f>'Bid 2b'!F306</f>
        <v>3095000</v>
      </c>
      <c r="M61" s="1"/>
      <c r="N61" s="1"/>
    </row>
    <row r="62" spans="1:14" ht="60" x14ac:dyDescent="0.25">
      <c r="A62" s="1"/>
      <c r="B62" s="1"/>
      <c r="C62" s="1" t="s">
        <v>3157</v>
      </c>
      <c r="D62" s="4" t="str">
        <f>'Bid 2b'!B319</f>
        <v>: Penyelenggaraan Posyandu (Penyelenggaraan Posyandu Paripurna)</v>
      </c>
      <c r="E62" s="1">
        <v>3</v>
      </c>
      <c r="F62" s="4" t="s">
        <v>2719</v>
      </c>
      <c r="G62" s="999">
        <v>1</v>
      </c>
      <c r="H62" s="4" t="s">
        <v>1012</v>
      </c>
      <c r="I62" s="1" t="s">
        <v>2682</v>
      </c>
      <c r="J62" s="1" t="s">
        <v>2674</v>
      </c>
      <c r="K62" s="1" t="s">
        <v>2683</v>
      </c>
      <c r="L62" s="73">
        <f>'Bid 2b'!F356</f>
        <v>0</v>
      </c>
      <c r="M62" s="1"/>
      <c r="N62" s="1"/>
    </row>
    <row r="63" spans="1:14" ht="90" x14ac:dyDescent="0.25">
      <c r="A63" s="1"/>
      <c r="B63" s="1"/>
      <c r="C63" s="1" t="s">
        <v>3158</v>
      </c>
      <c r="D63" s="4" t="str">
        <f>'Bid 2b'!B369</f>
        <v>: Penyuluhan dan Pelatihan Bidang Kesehatan (Pembinaan Kader POSyandu terintegrasi/ILP)</v>
      </c>
      <c r="E63" s="1">
        <v>3</v>
      </c>
      <c r="F63" s="4" t="s">
        <v>2720</v>
      </c>
      <c r="G63" s="999">
        <v>1</v>
      </c>
      <c r="H63" s="4" t="s">
        <v>1012</v>
      </c>
      <c r="I63" s="1" t="s">
        <v>2682</v>
      </c>
      <c r="J63" s="1" t="s">
        <v>2674</v>
      </c>
      <c r="K63" s="1" t="s">
        <v>2683</v>
      </c>
      <c r="L63" s="73">
        <f>'Bid 2b'!F386</f>
        <v>8410000</v>
      </c>
      <c r="M63" s="1"/>
      <c r="N63" s="1"/>
    </row>
    <row r="64" spans="1:14" ht="90" x14ac:dyDescent="0.25">
      <c r="A64" s="1"/>
      <c r="B64" s="1"/>
      <c r="C64" s="1" t="s">
        <v>3158</v>
      </c>
      <c r="D64" s="4" t="str">
        <f>'Bid 2b'!B403</f>
        <v xml:space="preserve"> : Penyuluhan dan Pelatihan Bidang Kesehatan (Pendampingan calon pengantin)</v>
      </c>
      <c r="E64" s="1">
        <v>3</v>
      </c>
      <c r="F64" s="4" t="s">
        <v>2721</v>
      </c>
      <c r="G64" s="999">
        <v>1</v>
      </c>
      <c r="H64" s="4" t="s">
        <v>1012</v>
      </c>
      <c r="I64" s="1" t="s">
        <v>250</v>
      </c>
      <c r="J64" s="1" t="s">
        <v>2674</v>
      </c>
      <c r="K64" s="1" t="s">
        <v>250</v>
      </c>
      <c r="L64" s="73">
        <f>'Bid 2b'!F429</f>
        <v>11814900</v>
      </c>
      <c r="M64" s="1"/>
      <c r="N64" s="1"/>
    </row>
    <row r="65" spans="1:14" ht="90" x14ac:dyDescent="0.25">
      <c r="A65" s="1"/>
      <c r="B65" s="1"/>
      <c r="C65" s="1" t="s">
        <v>3158</v>
      </c>
      <c r="D65" s="4" t="str">
        <f>'Bid 2b'!B442</f>
        <v>: Penyuluhan dan Pelatihan Bidang Kesehatan untuk Masyarakat (Pembinaan Kampung Keluarga Berkualitas)</v>
      </c>
      <c r="E65" s="1">
        <v>3</v>
      </c>
      <c r="F65" s="4" t="s">
        <v>2723</v>
      </c>
      <c r="G65" s="999">
        <v>1</v>
      </c>
      <c r="H65" s="4" t="s">
        <v>1012</v>
      </c>
      <c r="I65" s="1" t="s">
        <v>2682</v>
      </c>
      <c r="J65" s="1" t="s">
        <v>2724</v>
      </c>
      <c r="K65" s="1" t="s">
        <v>2725</v>
      </c>
      <c r="L65" s="73">
        <f>'Bid 2b'!F464</f>
        <v>3757000</v>
      </c>
      <c r="M65" s="1"/>
      <c r="N65" s="1"/>
    </row>
    <row r="66" spans="1:14" ht="60" x14ac:dyDescent="0.25">
      <c r="A66" s="1"/>
      <c r="B66" s="1"/>
      <c r="C66" s="1" t="s">
        <v>3158</v>
      </c>
      <c r="D66" s="4" t="str">
        <f>'Bid 2b'!B479</f>
        <v>Penyuluhan dan Pelatihan Bidang Kesehatan (PHBS : Sostaliasasi AIDS, Tuber Colosis, Malaria)</v>
      </c>
      <c r="E66" s="1">
        <v>3</v>
      </c>
      <c r="F66" s="4" t="s">
        <v>2726</v>
      </c>
      <c r="G66" s="999">
        <v>1</v>
      </c>
      <c r="H66" s="4" t="s">
        <v>1012</v>
      </c>
      <c r="I66" s="1" t="s">
        <v>2682</v>
      </c>
      <c r="J66" s="1" t="s">
        <v>2727</v>
      </c>
      <c r="K66" s="1" t="s">
        <v>2725</v>
      </c>
      <c r="L66" s="73">
        <f>'Bid 2b'!F506</f>
        <v>19592000</v>
      </c>
      <c r="M66" s="1"/>
      <c r="N66" s="1"/>
    </row>
    <row r="67" spans="1:14" ht="90" x14ac:dyDescent="0.25">
      <c r="A67" s="1"/>
      <c r="B67" s="1"/>
      <c r="C67" s="1" t="s">
        <v>3158</v>
      </c>
      <c r="D67" s="4" t="str">
        <f>'Bid 2b'!B521</f>
        <v>: Penyuluhan dan Pelatihan Bidang Kesehatan (Penyuluhan Narkoba dan HIV/AIDS)</v>
      </c>
      <c r="E67" s="1">
        <v>3</v>
      </c>
      <c r="F67" s="4" t="s">
        <v>2728</v>
      </c>
      <c r="G67" s="999">
        <v>1</v>
      </c>
      <c r="H67" s="4" t="s">
        <v>1012</v>
      </c>
      <c r="I67" s="1" t="s">
        <v>2682</v>
      </c>
      <c r="J67" s="1" t="s">
        <v>2674</v>
      </c>
      <c r="K67" s="1" t="s">
        <v>2725</v>
      </c>
      <c r="L67" s="73">
        <f>'Bid 2b'!F552</f>
        <v>25440000</v>
      </c>
      <c r="M67" s="1"/>
      <c r="N67" s="1"/>
    </row>
    <row r="68" spans="1:14" ht="60" x14ac:dyDescent="0.25">
      <c r="A68" s="1"/>
      <c r="B68" s="1"/>
      <c r="C68" s="1" t="s">
        <v>3158</v>
      </c>
      <c r="D68" s="4" t="str">
        <f>'Bid 2b'!B569</f>
        <v>: Penyuluhan dan Pelatihan Bidang Kesehatan ( Penyuluhan KB )</v>
      </c>
      <c r="E68" s="1">
        <v>3</v>
      </c>
      <c r="F68" s="4" t="s">
        <v>2729</v>
      </c>
      <c r="G68" s="999">
        <v>1</v>
      </c>
      <c r="H68" s="4" t="s">
        <v>1012</v>
      </c>
      <c r="I68" s="1" t="s">
        <v>2682</v>
      </c>
      <c r="J68" s="1" t="s">
        <v>2674</v>
      </c>
      <c r="K68" s="1" t="s">
        <v>2725</v>
      </c>
      <c r="L68" s="73">
        <f>'Bid 2b'!F599</f>
        <v>25990000</v>
      </c>
      <c r="M68" s="1"/>
      <c r="N68" s="1"/>
    </row>
    <row r="69" spans="1:14" ht="75" x14ac:dyDescent="0.25">
      <c r="A69" s="1"/>
      <c r="B69" s="1"/>
      <c r="C69" s="1" t="s">
        <v>3158</v>
      </c>
      <c r="D69" s="4" t="str">
        <f>'Bid 2b'!B613</f>
        <v>:Penyuluhan dan Pelatihan Bidang Kesehatan Untuk Masyarakat (Penyelenggaraan Pembinaan dan Lomba PMT)</v>
      </c>
      <c r="E69" s="1">
        <v>3</v>
      </c>
      <c r="F69" s="4" t="s">
        <v>2730</v>
      </c>
      <c r="G69" s="999">
        <v>1</v>
      </c>
      <c r="H69" s="4" t="s">
        <v>1012</v>
      </c>
      <c r="I69" s="1" t="s">
        <v>2682</v>
      </c>
      <c r="J69" s="1" t="s">
        <v>2674</v>
      </c>
      <c r="K69" s="1" t="s">
        <v>2725</v>
      </c>
      <c r="L69" s="73">
        <f>'Bid 2b'!F661</f>
        <v>10261000</v>
      </c>
      <c r="M69" s="1"/>
      <c r="N69" s="1"/>
    </row>
    <row r="70" spans="1:14" ht="90" x14ac:dyDescent="0.25">
      <c r="A70" s="1"/>
      <c r="B70" s="1"/>
      <c r="C70" s="1" t="s">
        <v>3158</v>
      </c>
      <c r="D70" s="4" t="str">
        <f>'Bid 2b'!B676</f>
        <v>: Penyuluhan dan Pelatihan Bidang Kesehatan untuk Masyarakat (Penyuluhan kesehatan Organ Reproduksi dan Penyelenggaraan Papsmear)</v>
      </c>
      <c r="E70" s="1">
        <v>3</v>
      </c>
      <c r="F70" s="4" t="s">
        <v>2731</v>
      </c>
      <c r="G70" s="999">
        <v>1</v>
      </c>
      <c r="H70" s="4" t="s">
        <v>1012</v>
      </c>
      <c r="I70" s="1" t="s">
        <v>2682</v>
      </c>
      <c r="J70" s="1" t="s">
        <v>2732</v>
      </c>
      <c r="K70" s="1" t="s">
        <v>2725</v>
      </c>
      <c r="L70" s="73">
        <f>'Bid 2b'!F709</f>
        <v>8585000</v>
      </c>
      <c r="M70" s="1"/>
      <c r="N70" s="1"/>
    </row>
    <row r="71" spans="1:14" ht="60" x14ac:dyDescent="0.25">
      <c r="A71" s="1"/>
      <c r="B71" s="1"/>
      <c r="C71" s="1" t="s">
        <v>3158</v>
      </c>
      <c r="D71" s="4" t="str">
        <f>'Bid 2b'!B724</f>
        <v>: Penyuluhan dan Pelatihan Bidang Kesehatan untuk Masyarakat  (Pembinaan Rumah Dataku)</v>
      </c>
      <c r="E71" s="1">
        <v>3</v>
      </c>
      <c r="F71" s="4" t="s">
        <v>1644</v>
      </c>
      <c r="G71" s="999">
        <v>1</v>
      </c>
      <c r="H71" s="4" t="s">
        <v>1012</v>
      </c>
      <c r="I71" s="1" t="s">
        <v>2682</v>
      </c>
      <c r="J71" s="1" t="s">
        <v>1383</v>
      </c>
      <c r="K71" s="1" t="s">
        <v>2725</v>
      </c>
      <c r="L71" s="73">
        <f>'Bid 2b'!F750</f>
        <v>1550000</v>
      </c>
      <c r="M71" s="1"/>
      <c r="N71" s="1"/>
    </row>
    <row r="72" spans="1:14" ht="75" x14ac:dyDescent="0.25">
      <c r="A72" s="1"/>
      <c r="B72" s="1"/>
      <c r="C72" s="1" t="s">
        <v>3158</v>
      </c>
      <c r="D72" s="4" t="str">
        <f>'Bid 2b'!B766</f>
        <v>: Penyuluhan dan Pelatihan Bidang Kesehatan Untuk Masyarakat  (Sosialisasi Sanitasi pedagang )</v>
      </c>
      <c r="E72" s="1">
        <v>3</v>
      </c>
      <c r="F72" s="4" t="s">
        <v>2733</v>
      </c>
      <c r="G72" s="999">
        <v>1</v>
      </c>
      <c r="H72" s="4" t="s">
        <v>1012</v>
      </c>
      <c r="I72" s="1" t="s">
        <v>2682</v>
      </c>
      <c r="J72" s="1" t="s">
        <v>2674</v>
      </c>
      <c r="K72" s="1" t="s">
        <v>2725</v>
      </c>
      <c r="L72" s="73">
        <f>'Bid 2b'!F790</f>
        <v>4593200</v>
      </c>
      <c r="M72" s="1"/>
      <c r="N72" s="1"/>
    </row>
    <row r="73" spans="1:14" ht="90" x14ac:dyDescent="0.25">
      <c r="A73" s="1"/>
      <c r="B73" s="1"/>
      <c r="C73" s="1" t="s">
        <v>3158</v>
      </c>
      <c r="D73" s="4" t="str">
        <f>'Bid 2b'!B805</f>
        <v>: Penyuluhan dan Pelatihan Bidang Kesehatan Untuk Masyarakat  (Senam Untuk Kesehatan Perempuan)</v>
      </c>
      <c r="E73" s="1">
        <v>3</v>
      </c>
      <c r="F73" s="4" t="s">
        <v>2734</v>
      </c>
      <c r="G73" s="999">
        <v>1</v>
      </c>
      <c r="H73" s="4" t="s">
        <v>1012</v>
      </c>
      <c r="I73" s="1" t="s">
        <v>2735</v>
      </c>
      <c r="J73" s="1" t="s">
        <v>2674</v>
      </c>
      <c r="K73" s="1" t="s">
        <v>2736</v>
      </c>
      <c r="L73" s="73">
        <f>'Bid 2b'!F818</f>
        <v>4800000</v>
      </c>
      <c r="M73" s="1"/>
      <c r="N73" s="1"/>
    </row>
    <row r="74" spans="1:14" ht="60" x14ac:dyDescent="0.25">
      <c r="A74" s="1"/>
      <c r="B74" s="1"/>
      <c r="C74" s="1" t="s">
        <v>3160</v>
      </c>
      <c r="D74" s="4" t="str">
        <f>'Bid 2b'!B834</f>
        <v>: Penyelenggaraan  (Desa Siaga Kesehatan)</v>
      </c>
      <c r="E74" s="1">
        <v>3</v>
      </c>
      <c r="F74" s="4" t="s">
        <v>2737</v>
      </c>
      <c r="G74" s="999">
        <v>1</v>
      </c>
      <c r="H74" s="4" t="s">
        <v>1012</v>
      </c>
      <c r="I74" s="1" t="s">
        <v>2682</v>
      </c>
      <c r="J74" s="1" t="s">
        <v>2674</v>
      </c>
      <c r="K74" s="1" t="s">
        <v>2683</v>
      </c>
      <c r="L74" s="73">
        <f>'Bid 2b'!F865</f>
        <v>1802000</v>
      </c>
      <c r="M74" s="1"/>
      <c r="N74" s="1"/>
    </row>
    <row r="75" spans="1:14" ht="60" x14ac:dyDescent="0.25">
      <c r="A75" s="1"/>
      <c r="B75" s="1"/>
      <c r="C75" s="1" t="s">
        <v>3160</v>
      </c>
      <c r="D75" s="4" t="str">
        <f>'Bid 2b'!B879</f>
        <v>: Penyelenggaraan Desa Siaga Kesehatan( Sosialisasi anjing rabies)</v>
      </c>
      <c r="E75" s="1">
        <v>3</v>
      </c>
      <c r="F75" s="4" t="s">
        <v>2738</v>
      </c>
      <c r="G75" s="999">
        <v>1</v>
      </c>
      <c r="H75" s="4" t="s">
        <v>1012</v>
      </c>
      <c r="I75" s="1" t="s">
        <v>2682</v>
      </c>
      <c r="J75" s="1" t="s">
        <v>2674</v>
      </c>
      <c r="K75" s="1" t="s">
        <v>2683</v>
      </c>
      <c r="L75" s="73">
        <f>'Bid 2b'!F900</f>
        <v>1095000</v>
      </c>
      <c r="M75" s="1"/>
      <c r="N75" s="1"/>
    </row>
    <row r="76" spans="1:14" ht="60" x14ac:dyDescent="0.25">
      <c r="A76" s="1"/>
      <c r="B76" s="1"/>
      <c r="C76" s="1" t="s">
        <v>3161</v>
      </c>
      <c r="D76" s="4" t="str">
        <f>'Bid 2b'!B915</f>
        <v>: Penyelenggaraan Pembinaan dan Lomba Balita Sehat ( Kategori Baduta dan Balita)</v>
      </c>
      <c r="E76" s="1">
        <v>3</v>
      </c>
      <c r="F76" s="4" t="s">
        <v>2739</v>
      </c>
      <c r="G76" s="999">
        <v>1</v>
      </c>
      <c r="H76" s="4" t="s">
        <v>1012</v>
      </c>
      <c r="I76" s="1" t="s">
        <v>2682</v>
      </c>
      <c r="J76" s="1" t="s">
        <v>2674</v>
      </c>
      <c r="K76" s="1" t="s">
        <v>2683</v>
      </c>
      <c r="L76" s="73">
        <f>'Bid 2b'!F965</f>
        <v>19845000</v>
      </c>
      <c r="M76" s="1"/>
      <c r="N76" s="1"/>
    </row>
    <row r="77" spans="1:14" ht="60" x14ac:dyDescent="0.25">
      <c r="A77" s="1"/>
      <c r="B77" s="1"/>
      <c r="C77" s="1" t="s">
        <v>3162</v>
      </c>
      <c r="D77" s="1" t="str">
        <f>'Bid 2b'!B980</f>
        <v>:  Foging Fokus</v>
      </c>
      <c r="E77" s="1">
        <v>3</v>
      </c>
      <c r="F77" s="4" t="s">
        <v>2740</v>
      </c>
      <c r="G77" s="999">
        <v>1</v>
      </c>
      <c r="H77" s="4" t="s">
        <v>1012</v>
      </c>
      <c r="I77" s="1" t="s">
        <v>250</v>
      </c>
      <c r="J77" s="1" t="s">
        <v>2674</v>
      </c>
      <c r="K77" s="1" t="s">
        <v>250</v>
      </c>
      <c r="L77" s="73">
        <f>'Bid 2b'!F1009</f>
        <v>17529943</v>
      </c>
      <c r="M77" s="1"/>
      <c r="N77" s="1"/>
    </row>
    <row r="78" spans="1:14" ht="105" x14ac:dyDescent="0.25">
      <c r="A78" s="1"/>
      <c r="B78" s="1"/>
      <c r="C78" s="1" t="s">
        <v>3163</v>
      </c>
      <c r="D78" s="4" t="str">
        <f>'Bid 2b'!B1023</f>
        <v>: Gerakan Serentak PSN dan Lomba PSN</v>
      </c>
      <c r="E78" s="1">
        <v>3</v>
      </c>
      <c r="F78" s="4" t="s">
        <v>2741</v>
      </c>
      <c r="G78" s="999">
        <v>1</v>
      </c>
      <c r="H78" s="4" t="s">
        <v>1012</v>
      </c>
      <c r="I78" s="1" t="s">
        <v>2682</v>
      </c>
      <c r="J78" s="1" t="s">
        <v>2674</v>
      </c>
      <c r="K78" s="1" t="s">
        <v>2715</v>
      </c>
      <c r="L78" s="73">
        <f>'Bid 2b'!F1062</f>
        <v>51996000</v>
      </c>
      <c r="M78" s="1"/>
      <c r="N78" s="1"/>
    </row>
    <row r="79" spans="1:14" ht="75" x14ac:dyDescent="0.25">
      <c r="A79" s="1"/>
      <c r="B79" s="1"/>
      <c r="C79" s="1" t="s">
        <v>3164</v>
      </c>
      <c r="D79" s="4" t="str">
        <f>'Bid 2b'!B1074</f>
        <v>Penyelengggaraan Rumah Desa Sehat ( TPPS Desa )</v>
      </c>
      <c r="E79" s="1">
        <v>3</v>
      </c>
      <c r="F79" s="4" t="s">
        <v>2742</v>
      </c>
      <c r="G79" s="999">
        <v>1</v>
      </c>
      <c r="H79" s="4" t="s">
        <v>1012</v>
      </c>
      <c r="I79" s="1" t="s">
        <v>2680</v>
      </c>
      <c r="J79" s="1" t="s">
        <v>2674</v>
      </c>
      <c r="K79" s="1" t="s">
        <v>250</v>
      </c>
      <c r="L79" s="73">
        <f>'Bid 2b'!F1096</f>
        <v>5985000</v>
      </c>
      <c r="M79" s="1"/>
      <c r="N79" s="1"/>
    </row>
    <row r="80" spans="1:14" ht="60" x14ac:dyDescent="0.25">
      <c r="A80" s="1"/>
      <c r="B80" s="1"/>
      <c r="C80" s="1" t="s">
        <v>3164</v>
      </c>
      <c r="D80" s="4" t="str">
        <f>'Bid 2b'!B1109</f>
        <v>: Penyelengggaraan Rumah Desa Sehat (Rembuk Stunting)</v>
      </c>
      <c r="E80" s="1">
        <v>3</v>
      </c>
      <c r="F80" s="4" t="s">
        <v>2904</v>
      </c>
      <c r="G80" s="999">
        <v>1</v>
      </c>
      <c r="H80" s="4" t="s">
        <v>1012</v>
      </c>
      <c r="I80" s="1" t="s">
        <v>2682</v>
      </c>
      <c r="J80" s="1" t="s">
        <v>2674</v>
      </c>
      <c r="K80" s="1" t="s">
        <v>2725</v>
      </c>
      <c r="L80" s="73">
        <f>'Bid 2b'!F1130</f>
        <v>4990000</v>
      </c>
      <c r="M80" s="1"/>
      <c r="N80" s="1"/>
    </row>
    <row r="81" spans="1:15" ht="59.25" customHeight="1" x14ac:dyDescent="0.25">
      <c r="A81" s="1"/>
      <c r="B81" s="1"/>
      <c r="C81" s="1" t="s">
        <v>3166</v>
      </c>
      <c r="D81" s="4" t="e">
        <f>'Bid 2b'!#REF!</f>
        <v>#REF!</v>
      </c>
      <c r="E81" s="1"/>
      <c r="F81" s="4"/>
      <c r="G81" s="999">
        <v>1</v>
      </c>
      <c r="H81" s="4" t="s">
        <v>1012</v>
      </c>
      <c r="I81" s="1" t="s">
        <v>2682</v>
      </c>
      <c r="J81" s="1" t="s">
        <v>2674</v>
      </c>
      <c r="K81" s="1" t="s">
        <v>2725</v>
      </c>
      <c r="L81" s="73" t="e">
        <f>'Bid 2b'!#REF!</f>
        <v>#REF!</v>
      </c>
      <c r="M81" s="1"/>
      <c r="N81" s="1"/>
    </row>
    <row r="82" spans="1:15" ht="65.25" customHeight="1" x14ac:dyDescent="0.25">
      <c r="A82" s="1"/>
      <c r="B82" s="1"/>
      <c r="C82" s="1" t="s">
        <v>3166</v>
      </c>
      <c r="D82" s="4" t="e">
        <f>'Bid 2b'!#REF!</f>
        <v>#REF!</v>
      </c>
      <c r="E82" s="1"/>
      <c r="F82" s="4"/>
      <c r="G82" s="999">
        <v>1</v>
      </c>
      <c r="H82" s="4" t="s">
        <v>1012</v>
      </c>
      <c r="I82" s="1" t="s">
        <v>2682</v>
      </c>
      <c r="J82" s="1" t="s">
        <v>2674</v>
      </c>
      <c r="K82" s="1" t="s">
        <v>2725</v>
      </c>
      <c r="L82" s="73" t="e">
        <f>'Bid 2b'!#REF!</f>
        <v>#REF!</v>
      </c>
      <c r="M82" s="1"/>
      <c r="N82" s="1"/>
    </row>
    <row r="83" spans="1:15" ht="65.25" customHeight="1" x14ac:dyDescent="0.25">
      <c r="A83" s="1"/>
      <c r="B83" s="1"/>
      <c r="C83" s="1" t="s">
        <v>3166</v>
      </c>
      <c r="D83" s="4" t="str">
        <f>'Bid 2b'!B1183</f>
        <v>Pemeliharaan Jalan Lingkungan Permukiman /Lotus (Pemavingan)</v>
      </c>
      <c r="E83" s="1"/>
      <c r="F83" s="4"/>
      <c r="G83" s="999">
        <v>1</v>
      </c>
      <c r="H83" s="4" t="s">
        <v>1012</v>
      </c>
      <c r="I83" s="1" t="s">
        <v>2682</v>
      </c>
      <c r="J83" s="1" t="s">
        <v>2674</v>
      </c>
      <c r="K83" s="1" t="s">
        <v>2725</v>
      </c>
      <c r="L83" s="73">
        <f>'Bid 2b'!F1208</f>
        <v>116618000</v>
      </c>
      <c r="M83" s="1"/>
      <c r="N83" s="1"/>
    </row>
    <row r="84" spans="1:15" ht="65.25" customHeight="1" x14ac:dyDescent="0.25">
      <c r="A84" s="1"/>
      <c r="B84" s="1"/>
      <c r="C84" s="1" t="s">
        <v>3166</v>
      </c>
      <c r="D84" s="4" t="str">
        <f>'Bid 2b'!B1223</f>
        <v>Pemeliharaan Jalan Lingkungan Permukiman /Gang Lotus (Beton Pengunci)</v>
      </c>
      <c r="E84" s="1"/>
      <c r="F84" s="4"/>
      <c r="G84" s="999">
        <v>1</v>
      </c>
      <c r="H84" s="4" t="s">
        <v>1012</v>
      </c>
      <c r="I84" s="1" t="s">
        <v>2682</v>
      </c>
      <c r="J84" s="1" t="s">
        <v>2674</v>
      </c>
      <c r="K84" s="1" t="s">
        <v>2725</v>
      </c>
      <c r="L84" s="73">
        <f>'Bid 2b'!F1245</f>
        <v>5197000</v>
      </c>
      <c r="M84" s="1"/>
      <c r="N84" s="1"/>
    </row>
    <row r="85" spans="1:15" ht="65.25" customHeight="1" x14ac:dyDescent="0.25">
      <c r="A85" s="1"/>
      <c r="B85" s="1"/>
      <c r="C85" s="1" t="s">
        <v>3166</v>
      </c>
      <c r="D85" s="4" t="str">
        <f>'Bid 2b'!B1260</f>
        <v>Pemeliharaan Jalan Lingkungan Permukiman Gang LotusI (Pembersihan Site)</v>
      </c>
      <c r="E85" s="1"/>
      <c r="F85" s="4"/>
      <c r="G85" s="999">
        <v>1</v>
      </c>
      <c r="H85" s="4" t="s">
        <v>1012</v>
      </c>
      <c r="I85" s="1" t="s">
        <v>2682</v>
      </c>
      <c r="J85" s="1" t="s">
        <v>2674</v>
      </c>
      <c r="K85" s="1" t="s">
        <v>2725</v>
      </c>
      <c r="L85" s="73">
        <f>'Bid 2b'!F1276</f>
        <v>0</v>
      </c>
      <c r="M85" s="1"/>
      <c r="N85" s="1"/>
    </row>
    <row r="86" spans="1:15" s="96" customFormat="1" ht="60" x14ac:dyDescent="0.25">
      <c r="A86" s="865"/>
      <c r="B86" s="865"/>
      <c r="C86" s="1" t="s">
        <v>3166</v>
      </c>
      <c r="D86" s="1061" t="e">
        <f>'Bid 2b'!#REF!</f>
        <v>#REF!</v>
      </c>
      <c r="E86" s="865"/>
      <c r="F86" s="865"/>
      <c r="G86" s="1062">
        <v>1</v>
      </c>
      <c r="H86" s="1061" t="s">
        <v>1012</v>
      </c>
      <c r="I86" s="865" t="s">
        <v>3047</v>
      </c>
      <c r="J86" s="865" t="s">
        <v>2674</v>
      </c>
      <c r="K86" s="865" t="s">
        <v>2725</v>
      </c>
      <c r="L86" s="1063" t="e">
        <f>'Bid 2b'!#REF!</f>
        <v>#REF!</v>
      </c>
      <c r="M86" s="865"/>
      <c r="N86" s="865"/>
    </row>
    <row r="87" spans="1:15" s="96" customFormat="1" ht="60" x14ac:dyDescent="0.25">
      <c r="A87" s="865"/>
      <c r="B87" s="865"/>
      <c r="C87" s="1" t="s">
        <v>3166</v>
      </c>
      <c r="D87" s="1061" t="e">
        <f>'Bid 2b'!#REF!</f>
        <v>#REF!</v>
      </c>
      <c r="E87" s="865"/>
      <c r="F87" s="865"/>
      <c r="G87" s="1062">
        <v>1</v>
      </c>
      <c r="H87" s="1061" t="s">
        <v>1012</v>
      </c>
      <c r="I87" s="865" t="s">
        <v>3048</v>
      </c>
      <c r="J87" s="865" t="s">
        <v>2674</v>
      </c>
      <c r="K87" s="865" t="s">
        <v>2725</v>
      </c>
      <c r="L87" s="1063" t="e">
        <f>'Bid 2b'!#REF!</f>
        <v>#REF!</v>
      </c>
      <c r="M87" s="865"/>
      <c r="N87" s="865"/>
    </row>
    <row r="88" spans="1:15" s="96" customFormat="1" ht="60" x14ac:dyDescent="0.25">
      <c r="A88" s="865"/>
      <c r="B88" s="865"/>
      <c r="C88" s="1" t="s">
        <v>3166</v>
      </c>
      <c r="D88" s="1061" t="e">
        <f>'Bid 2b'!#REF!</f>
        <v>#REF!</v>
      </c>
      <c r="E88" s="865"/>
      <c r="F88" s="865"/>
      <c r="G88" s="1062">
        <v>1</v>
      </c>
      <c r="H88" s="1061" t="s">
        <v>1012</v>
      </c>
      <c r="I88" s="865" t="s">
        <v>3049</v>
      </c>
      <c r="J88" s="865" t="s">
        <v>2674</v>
      </c>
      <c r="K88" s="865" t="s">
        <v>2725</v>
      </c>
      <c r="L88" s="1063" t="e">
        <f>'Bid 2b'!#REF!</f>
        <v>#REF!</v>
      </c>
      <c r="M88" s="865"/>
      <c r="N88" s="865"/>
    </row>
    <row r="89" spans="1:15" s="96" customFormat="1" ht="60" x14ac:dyDescent="0.25">
      <c r="A89" s="865"/>
      <c r="B89" s="865"/>
      <c r="C89" s="1" t="s">
        <v>3166</v>
      </c>
      <c r="D89" s="1061" t="e">
        <f>'Bid 2b'!#REF!</f>
        <v>#REF!</v>
      </c>
      <c r="E89" s="865"/>
      <c r="F89" s="865"/>
      <c r="G89" s="1062">
        <v>1</v>
      </c>
      <c r="H89" s="1061" t="s">
        <v>1012</v>
      </c>
      <c r="I89" s="865" t="s">
        <v>3050</v>
      </c>
      <c r="J89" s="865" t="s">
        <v>2674</v>
      </c>
      <c r="K89" s="865" t="s">
        <v>2725</v>
      </c>
      <c r="L89" s="1063" t="e">
        <f>'Bid 2b'!#REF!</f>
        <v>#REF!</v>
      </c>
      <c r="M89" s="865"/>
      <c r="N89" s="865"/>
    </row>
    <row r="90" spans="1:15" s="96" customFormat="1" ht="60" x14ac:dyDescent="0.25">
      <c r="A90" s="865"/>
      <c r="B90" s="865"/>
      <c r="C90" s="1" t="s">
        <v>3166</v>
      </c>
      <c r="D90" s="1061" t="str">
        <f>'Bid 2b'!B1332</f>
        <v>: Pemeliharaan Jalan Lingkungan Gg. Pudak (Pondasi )</v>
      </c>
      <c r="E90" s="865"/>
      <c r="F90" s="865"/>
      <c r="G90" s="1062">
        <v>1</v>
      </c>
      <c r="H90" s="1061" t="s">
        <v>1012</v>
      </c>
      <c r="I90" s="865" t="s">
        <v>3051</v>
      </c>
      <c r="J90" s="865" t="s">
        <v>2674</v>
      </c>
      <c r="K90" s="865" t="s">
        <v>2725</v>
      </c>
      <c r="L90" s="1063">
        <f>'Bid 2b'!F1354</f>
        <v>6894000</v>
      </c>
      <c r="M90" s="865"/>
      <c r="N90" s="865"/>
    </row>
    <row r="91" spans="1:15" s="96" customFormat="1" ht="60" x14ac:dyDescent="0.25">
      <c r="A91" s="865"/>
      <c r="B91" s="865"/>
      <c r="C91" s="1" t="s">
        <v>3166</v>
      </c>
      <c r="D91" s="1061" t="str">
        <f>'Bid 2b'!B1369</f>
        <v>: Pemeliharaan Jalan Lingkungan Gg. Pudak (galian)</v>
      </c>
      <c r="E91" s="865"/>
      <c r="F91" s="865"/>
      <c r="G91" s="1062">
        <v>1</v>
      </c>
      <c r="H91" s="1061" t="s">
        <v>1012</v>
      </c>
      <c r="I91" s="865" t="s">
        <v>3052</v>
      </c>
      <c r="J91" s="865" t="s">
        <v>2674</v>
      </c>
      <c r="K91" s="865" t="s">
        <v>2725</v>
      </c>
      <c r="L91" s="1063">
        <f>'Bid 2b'!F1385</f>
        <v>2000200</v>
      </c>
      <c r="M91" s="865"/>
      <c r="N91" s="865"/>
    </row>
    <row r="92" spans="1:15" s="96" customFormat="1" ht="60" x14ac:dyDescent="0.25">
      <c r="A92" s="865"/>
      <c r="B92" s="865"/>
      <c r="C92" s="1" t="s">
        <v>3166</v>
      </c>
      <c r="D92" s="1061" t="str">
        <f>'Bid 2b'!B1400</f>
        <v>Pemeliharaan Jalan Lingkungan Permukiman Gang Pudak (Pembersihan Site)</v>
      </c>
      <c r="E92" s="865"/>
      <c r="F92" s="865"/>
      <c r="G92" s="1062">
        <v>1</v>
      </c>
      <c r="H92" s="1061" t="s">
        <v>1012</v>
      </c>
      <c r="I92" s="865" t="s">
        <v>3053</v>
      </c>
      <c r="J92" s="865" t="s">
        <v>2674</v>
      </c>
      <c r="K92" s="865" t="s">
        <v>2725</v>
      </c>
      <c r="L92" s="1063">
        <f>'Bid 2b'!F1417</f>
        <v>2378800</v>
      </c>
      <c r="M92" s="865"/>
      <c r="N92" s="865"/>
    </row>
    <row r="93" spans="1:15" s="96" customFormat="1" ht="60" x14ac:dyDescent="0.25">
      <c r="A93" s="865"/>
      <c r="B93" s="865"/>
      <c r="C93" s="1" t="s">
        <v>3166</v>
      </c>
      <c r="D93" s="1061" t="str">
        <f>'Bid 2b'!B1432</f>
        <v>Pemeliharaan Jalan Lingkungan Permukiman Gang Pudak ( Plat beton )</v>
      </c>
      <c r="E93" s="865"/>
      <c r="F93" s="865"/>
      <c r="G93" s="1062">
        <v>1</v>
      </c>
      <c r="H93" s="1061" t="s">
        <v>1012</v>
      </c>
      <c r="I93" s="865" t="s">
        <v>3054</v>
      </c>
      <c r="J93" s="865" t="s">
        <v>2674</v>
      </c>
      <c r="K93" s="865" t="s">
        <v>2725</v>
      </c>
      <c r="L93" s="1063">
        <f>'Bid 2b'!F1460</f>
        <v>6452200</v>
      </c>
      <c r="M93" s="865"/>
      <c r="N93" s="865"/>
    </row>
    <row r="94" spans="1:15" s="96" customFormat="1" ht="60" x14ac:dyDescent="0.25">
      <c r="A94" s="865"/>
      <c r="B94" s="865"/>
      <c r="C94" s="1" t="s">
        <v>3166</v>
      </c>
      <c r="D94" s="1061" t="str">
        <f>'Bid 2b'!B1475</f>
        <v>Pemeliharaan Jalan Lingkungan Permukiman Gg. Pudak (Pemavingan)</v>
      </c>
      <c r="E94" s="865"/>
      <c r="F94" s="865"/>
      <c r="G94" s="1062">
        <v>1</v>
      </c>
      <c r="H94" s="1061" t="s">
        <v>1012</v>
      </c>
      <c r="I94" s="865" t="s">
        <v>3055</v>
      </c>
      <c r="J94" s="865" t="s">
        <v>2674</v>
      </c>
      <c r="K94" s="865" t="s">
        <v>2725</v>
      </c>
      <c r="L94" s="1063">
        <f>'Bid 2b'!F1499</f>
        <v>148851000</v>
      </c>
      <c r="M94" s="865"/>
      <c r="N94" s="865"/>
      <c r="O94" s="96" t="s">
        <v>3078</v>
      </c>
    </row>
    <row r="95" spans="1:15" ht="60" x14ac:dyDescent="0.25">
      <c r="A95" s="1"/>
      <c r="B95" s="1"/>
      <c r="C95" s="1" t="s">
        <v>3166</v>
      </c>
      <c r="D95" s="4" t="e">
        <f>'Bid 2b'!#REF!</f>
        <v>#REF!</v>
      </c>
      <c r="E95" s="1">
        <v>9</v>
      </c>
      <c r="F95" s="1"/>
      <c r="G95" s="999">
        <v>1</v>
      </c>
      <c r="H95" s="4" t="s">
        <v>1012</v>
      </c>
      <c r="I95" s="1" t="s">
        <v>3033</v>
      </c>
      <c r="J95" s="1" t="s">
        <v>2674</v>
      </c>
      <c r="K95" s="1" t="s">
        <v>2725</v>
      </c>
      <c r="L95" s="73" t="e">
        <f>'Bid 2b'!#REF!</f>
        <v>#REF!</v>
      </c>
      <c r="M95" s="1"/>
      <c r="N95" s="1"/>
    </row>
    <row r="96" spans="1:15" ht="60" x14ac:dyDescent="0.25">
      <c r="A96" s="1"/>
      <c r="B96" s="1"/>
      <c r="C96" s="1" t="s">
        <v>3166</v>
      </c>
      <c r="D96" s="4" t="e">
        <f>'Bid 2b'!#REF!</f>
        <v>#REF!</v>
      </c>
      <c r="E96" s="1"/>
      <c r="F96" s="1"/>
      <c r="G96" s="999">
        <v>1</v>
      </c>
      <c r="H96" s="4" t="s">
        <v>1012</v>
      </c>
      <c r="I96" s="1" t="s">
        <v>3034</v>
      </c>
      <c r="J96" s="1" t="s">
        <v>2674</v>
      </c>
      <c r="K96" s="1" t="s">
        <v>2725</v>
      </c>
      <c r="L96" s="73" t="e">
        <f>'Bid 2b'!#REF!</f>
        <v>#REF!</v>
      </c>
      <c r="M96" s="1"/>
      <c r="N96" s="1"/>
    </row>
    <row r="97" spans="1:14" ht="60" x14ac:dyDescent="0.25">
      <c r="A97" s="1"/>
      <c r="B97" s="1"/>
      <c r="C97" s="1" t="s">
        <v>3166</v>
      </c>
      <c r="D97" s="4" t="e">
        <f>'Bid 2b'!#REF!</f>
        <v>#REF!</v>
      </c>
      <c r="E97" s="1"/>
      <c r="F97" s="1"/>
      <c r="G97" s="999">
        <v>1</v>
      </c>
      <c r="H97" s="4" t="s">
        <v>1012</v>
      </c>
      <c r="I97" s="1" t="s">
        <v>3028</v>
      </c>
      <c r="J97" s="1" t="s">
        <v>2674</v>
      </c>
      <c r="K97" s="1" t="s">
        <v>2725</v>
      </c>
      <c r="L97" s="73" t="e">
        <f>'Bid 2b'!#REF!</f>
        <v>#REF!</v>
      </c>
      <c r="M97" s="1"/>
      <c r="N97" s="1"/>
    </row>
    <row r="98" spans="1:14" ht="60" x14ac:dyDescent="0.25">
      <c r="A98" s="1"/>
      <c r="B98" s="1"/>
      <c r="C98" s="1" t="s">
        <v>3166</v>
      </c>
      <c r="D98" s="4" t="str">
        <f>'Bid 2b'!B1551</f>
        <v>Pemeliharaan Jalan Lingkungan Permukiman Gang Plamboyan I (Pembersihan Site)</v>
      </c>
      <c r="E98" s="1"/>
      <c r="F98" s="1"/>
      <c r="G98" s="999">
        <v>1</v>
      </c>
      <c r="H98" s="4" t="s">
        <v>1012</v>
      </c>
      <c r="I98" s="1" t="s">
        <v>3035</v>
      </c>
      <c r="J98" s="1" t="s">
        <v>2674</v>
      </c>
      <c r="K98" s="1" t="s">
        <v>2725</v>
      </c>
      <c r="L98" s="73">
        <f>'Bid 2b'!F1567</f>
        <v>8214200</v>
      </c>
      <c r="M98" s="1"/>
      <c r="N98" s="1"/>
    </row>
    <row r="99" spans="1:14" ht="60" x14ac:dyDescent="0.25">
      <c r="A99" s="1"/>
      <c r="B99" s="1"/>
      <c r="C99" s="1" t="s">
        <v>3166</v>
      </c>
      <c r="D99" s="4" t="str">
        <f>'Bid 2b'!B1584</f>
        <v>Pemeliharaan Jalan Lingkungan Permukiman Gang Plamboyan I (Pemavingan)</v>
      </c>
      <c r="E99" s="1"/>
      <c r="F99" s="1"/>
      <c r="G99" s="999">
        <v>1</v>
      </c>
      <c r="H99" s="4" t="s">
        <v>1012</v>
      </c>
      <c r="I99" s="1" t="s">
        <v>3036</v>
      </c>
      <c r="J99" s="1" t="s">
        <v>2674</v>
      </c>
      <c r="K99" s="1" t="s">
        <v>2725</v>
      </c>
      <c r="L99" s="73">
        <f>'Bid 2b'!F1609</f>
        <v>324631800</v>
      </c>
      <c r="M99" s="1"/>
      <c r="N99" s="1"/>
    </row>
    <row r="100" spans="1:14" ht="60" x14ac:dyDescent="0.25">
      <c r="A100" s="1"/>
      <c r="B100" s="1"/>
      <c r="C100" s="1" t="s">
        <v>3166</v>
      </c>
      <c r="D100" s="4" t="e">
        <f>'Bid 2b'!#REF!</f>
        <v>#REF!</v>
      </c>
      <c r="E100" s="1"/>
      <c r="F100" s="1"/>
      <c r="G100" s="999">
        <v>1</v>
      </c>
      <c r="H100" s="4" t="s">
        <v>1012</v>
      </c>
      <c r="I100" s="1" t="s">
        <v>3037</v>
      </c>
      <c r="J100" s="1" t="s">
        <v>2674</v>
      </c>
      <c r="K100" s="1" t="s">
        <v>2725</v>
      </c>
      <c r="L100" s="73" t="e">
        <f>'Bid 2b'!#REF!</f>
        <v>#REF!</v>
      </c>
      <c r="M100" s="1"/>
      <c r="N100" s="1"/>
    </row>
    <row r="101" spans="1:14" ht="60" x14ac:dyDescent="0.25">
      <c r="A101" s="1"/>
      <c r="B101" s="1"/>
      <c r="C101" s="1" t="s">
        <v>3166</v>
      </c>
      <c r="D101" s="4" t="str">
        <f>'Bid 2b'!B1623</f>
        <v>Pemeliharaan Jalan Lingkungan Permukiman Gang Sekar Sari 1A (Pemavingan)</v>
      </c>
      <c r="E101" s="1"/>
      <c r="F101" s="1"/>
      <c r="G101" s="999">
        <v>1</v>
      </c>
      <c r="H101" s="4" t="s">
        <v>1012</v>
      </c>
      <c r="I101" s="1" t="s">
        <v>3038</v>
      </c>
      <c r="J101" s="1" t="s">
        <v>2674</v>
      </c>
      <c r="K101" s="1" t="s">
        <v>2725</v>
      </c>
      <c r="L101" s="73">
        <f>'Bid 2b'!F1648</f>
        <v>0</v>
      </c>
      <c r="M101" s="1"/>
      <c r="N101" s="1"/>
    </row>
    <row r="102" spans="1:14" ht="60" x14ac:dyDescent="0.25">
      <c r="A102" s="1"/>
      <c r="B102" s="1"/>
      <c r="C102" s="1" t="s">
        <v>3166</v>
      </c>
      <c r="D102" s="4" t="e">
        <f>'Bid 2b'!#REF!</f>
        <v>#REF!</v>
      </c>
      <c r="E102" s="1"/>
      <c r="F102" s="1"/>
      <c r="G102" s="999">
        <v>1</v>
      </c>
      <c r="H102" s="4" t="s">
        <v>1012</v>
      </c>
      <c r="I102" s="1" t="s">
        <v>3039</v>
      </c>
      <c r="J102" s="1" t="s">
        <v>2674</v>
      </c>
      <c r="K102" s="1" t="s">
        <v>2725</v>
      </c>
      <c r="L102" s="73" t="e">
        <f>'Bid 2b'!#REF!</f>
        <v>#REF!</v>
      </c>
      <c r="M102" s="1"/>
      <c r="N102" s="1"/>
    </row>
    <row r="103" spans="1:14" ht="60" x14ac:dyDescent="0.25">
      <c r="A103" s="1"/>
      <c r="B103" s="1"/>
      <c r="C103" s="1" t="s">
        <v>3166</v>
      </c>
      <c r="D103" s="4" t="str">
        <f>'Bid 2b'!B1667</f>
        <v>Pemeliharaan Jalan Lingkungan Permukiman Gang Sekar Sari IVB (Pemavingan)</v>
      </c>
      <c r="E103" s="1"/>
      <c r="F103" s="1"/>
      <c r="G103" s="999">
        <v>1</v>
      </c>
      <c r="H103" s="4" t="s">
        <v>1012</v>
      </c>
      <c r="I103" s="1" t="s">
        <v>3040</v>
      </c>
      <c r="J103" s="1" t="s">
        <v>2674</v>
      </c>
      <c r="K103" s="1" t="s">
        <v>2725</v>
      </c>
      <c r="L103" s="73">
        <f>'Bid 2b'!F1692</f>
        <v>0</v>
      </c>
      <c r="M103" s="1"/>
      <c r="N103" s="1"/>
    </row>
    <row r="104" spans="1:14" ht="60" x14ac:dyDescent="0.25">
      <c r="A104" s="1"/>
      <c r="B104" s="1"/>
      <c r="C104" s="1" t="s">
        <v>3166</v>
      </c>
      <c r="D104" s="4" t="e">
        <f>'Bid 2b'!#REF!</f>
        <v>#REF!</v>
      </c>
      <c r="E104" s="1"/>
      <c r="F104" s="1"/>
      <c r="G104" s="999">
        <v>1</v>
      </c>
      <c r="H104" s="4" t="s">
        <v>1012</v>
      </c>
      <c r="I104" s="1" t="s">
        <v>3041</v>
      </c>
      <c r="J104" s="1" t="s">
        <v>2674</v>
      </c>
      <c r="K104" s="1" t="s">
        <v>2725</v>
      </c>
      <c r="L104" s="73" t="e">
        <f>'Bid 2b'!#REF!</f>
        <v>#REF!</v>
      </c>
      <c r="M104" s="1"/>
      <c r="N104" s="1"/>
    </row>
    <row r="105" spans="1:14" ht="60" x14ac:dyDescent="0.25">
      <c r="A105" s="1"/>
      <c r="B105" s="1"/>
      <c r="C105" s="1" t="s">
        <v>3166</v>
      </c>
      <c r="D105" s="4" t="str">
        <f>'Bid 2b'!B1707</f>
        <v>Pemeliharaan Jalan Lingkungan Permukiman Gang Nusa Indah IV Carik (Pemavingan)</v>
      </c>
      <c r="E105" s="1"/>
      <c r="F105" s="1"/>
      <c r="G105" s="999">
        <v>1</v>
      </c>
      <c r="H105" s="4" t="s">
        <v>1012</v>
      </c>
      <c r="I105" s="1" t="s">
        <v>3042</v>
      </c>
      <c r="J105" s="1" t="s">
        <v>2674</v>
      </c>
      <c r="K105" s="1" t="s">
        <v>2725</v>
      </c>
      <c r="L105" s="73">
        <f>'Bid 2b'!F1732</f>
        <v>152489000</v>
      </c>
      <c r="M105" s="1"/>
      <c r="N105" s="1"/>
    </row>
    <row r="106" spans="1:14" ht="60" x14ac:dyDescent="0.25">
      <c r="A106" s="1"/>
      <c r="B106" s="1"/>
      <c r="C106" s="1" t="s">
        <v>3166</v>
      </c>
      <c r="D106" s="4" t="e">
        <f>'Bid 2b'!#REF!</f>
        <v>#REF!</v>
      </c>
      <c r="E106" s="1"/>
      <c r="F106" s="1"/>
      <c r="G106" s="999">
        <v>1</v>
      </c>
      <c r="H106" s="4" t="s">
        <v>1012</v>
      </c>
      <c r="I106" s="1" t="s">
        <v>3043</v>
      </c>
      <c r="J106" s="1" t="s">
        <v>2674</v>
      </c>
      <c r="K106" s="1" t="s">
        <v>2725</v>
      </c>
      <c r="L106" s="73" t="e">
        <f>'Bid 2b'!#REF!</f>
        <v>#REF!</v>
      </c>
      <c r="M106" s="1"/>
      <c r="N106" s="1"/>
    </row>
    <row r="107" spans="1:14" ht="60" x14ac:dyDescent="0.25">
      <c r="A107" s="1"/>
      <c r="B107" s="1"/>
      <c r="C107" s="1" t="s">
        <v>3166</v>
      </c>
      <c r="D107" s="4" t="str">
        <f>'Bid 2b'!B1748</f>
        <v>Pemeliharaan Jalan Lingkungan Permukiman Gang V Ujung Belakang (Pemavingan)</v>
      </c>
      <c r="E107" s="1"/>
      <c r="F107" s="1"/>
      <c r="G107" s="999">
        <v>1</v>
      </c>
      <c r="H107" s="4" t="s">
        <v>1012</v>
      </c>
      <c r="I107" s="1" t="s">
        <v>3044</v>
      </c>
      <c r="J107" s="1" t="s">
        <v>2674</v>
      </c>
      <c r="K107" s="1" t="s">
        <v>2725</v>
      </c>
      <c r="L107" s="73">
        <f>'Bid 2b'!F1772</f>
        <v>33865000</v>
      </c>
      <c r="M107" s="1"/>
      <c r="N107" s="1"/>
    </row>
    <row r="108" spans="1:14" ht="60" x14ac:dyDescent="0.25">
      <c r="A108" s="1"/>
      <c r="B108" s="1"/>
      <c r="C108" s="1" t="s">
        <v>3166</v>
      </c>
      <c r="D108" s="4" t="str">
        <f>'Bid 2b'!B1785</f>
        <v>Pemeliharaan Jalan Lingkungan Permukiman Gang Anggrek (Pembersihan Site)</v>
      </c>
      <c r="E108" s="1"/>
      <c r="F108" s="1"/>
      <c r="G108" s="999">
        <v>1</v>
      </c>
      <c r="H108" s="4" t="s">
        <v>1012</v>
      </c>
      <c r="I108" s="1" t="s">
        <v>3045</v>
      </c>
      <c r="J108" s="1" t="s">
        <v>2674</v>
      </c>
      <c r="K108" s="1" t="s">
        <v>2725</v>
      </c>
      <c r="L108" s="73">
        <f>'Bid 2b'!F1801</f>
        <v>6252600</v>
      </c>
      <c r="M108" s="1"/>
      <c r="N108" s="1"/>
    </row>
    <row r="109" spans="1:14" ht="60" x14ac:dyDescent="0.25">
      <c r="A109" s="1"/>
      <c r="B109" s="1"/>
      <c r="C109" s="1" t="s">
        <v>3166</v>
      </c>
      <c r="D109" s="4" t="str">
        <f>'Bid 2b'!B1817</f>
        <v>Pemeliharaan Jalan Lingkungan Permukiman Gang Anggrek(Pemavingan)</v>
      </c>
      <c r="E109" s="1"/>
      <c r="F109" s="1"/>
      <c r="G109" s="999">
        <v>1</v>
      </c>
      <c r="H109" s="4" t="s">
        <v>1012</v>
      </c>
      <c r="I109" s="1" t="s">
        <v>3046</v>
      </c>
      <c r="J109" s="1" t="s">
        <v>2674</v>
      </c>
      <c r="K109" s="1" t="s">
        <v>2725</v>
      </c>
      <c r="L109" s="73">
        <f>'Bid 2b'!F1842</f>
        <v>193707600</v>
      </c>
      <c r="M109" s="1"/>
      <c r="N109" s="1"/>
    </row>
    <row r="110" spans="1:14" ht="42.75" customHeight="1" x14ac:dyDescent="0.25">
      <c r="A110" s="1"/>
      <c r="B110" s="1"/>
      <c r="C110" s="1" t="s">
        <v>3165</v>
      </c>
      <c r="D110" s="4" t="e">
        <f>'Bid 2b'!#REF!</f>
        <v>#REF!</v>
      </c>
      <c r="E110" s="1"/>
      <c r="F110" s="1"/>
      <c r="G110" s="999">
        <v>1</v>
      </c>
      <c r="H110" s="4" t="s">
        <v>1012</v>
      </c>
      <c r="I110" s="1" t="s">
        <v>3056</v>
      </c>
      <c r="J110" s="1" t="s">
        <v>2674</v>
      </c>
      <c r="K110" s="1" t="s">
        <v>2725</v>
      </c>
      <c r="L110" s="73" t="e">
        <f>'Bid 2b'!#REF!</f>
        <v>#REF!</v>
      </c>
      <c r="M110" s="1"/>
      <c r="N110" s="1"/>
    </row>
    <row r="111" spans="1:14" ht="42.75" customHeight="1" x14ac:dyDescent="0.25">
      <c r="A111" s="1"/>
      <c r="B111" s="1"/>
      <c r="C111" s="1" t="s">
        <v>3165</v>
      </c>
      <c r="D111" s="4" t="e">
        <f>'Bid 2b'!#REF!</f>
        <v>#REF!</v>
      </c>
      <c r="E111" s="1"/>
      <c r="F111" s="1"/>
      <c r="G111" s="999">
        <v>1</v>
      </c>
      <c r="H111" s="4" t="s">
        <v>1012</v>
      </c>
      <c r="I111" s="1" t="s">
        <v>3057</v>
      </c>
      <c r="J111" s="1" t="s">
        <v>2674</v>
      </c>
      <c r="K111" s="1" t="s">
        <v>2725</v>
      </c>
      <c r="L111" s="73" t="e">
        <f>'Bid 2b'!#REF!</f>
        <v>#REF!</v>
      </c>
      <c r="M111" s="1"/>
      <c r="N111" s="1"/>
    </row>
    <row r="112" spans="1:14" ht="42.75" customHeight="1" x14ac:dyDescent="0.25">
      <c r="A112" s="1"/>
      <c r="B112" s="1"/>
      <c r="C112" s="1" t="s">
        <v>3165</v>
      </c>
      <c r="D112" s="4" t="e">
        <f>'Bid 2b'!#REF!</f>
        <v>#REF!</v>
      </c>
      <c r="E112" s="1"/>
      <c r="F112" s="1"/>
      <c r="G112" s="999">
        <v>1</v>
      </c>
      <c r="H112" s="4" t="s">
        <v>1012</v>
      </c>
      <c r="I112" s="1" t="s">
        <v>3058</v>
      </c>
      <c r="J112" s="1" t="s">
        <v>2674</v>
      </c>
      <c r="K112" s="1" t="s">
        <v>2725</v>
      </c>
      <c r="L112" s="73" t="e">
        <f>'Bid 2b'!#REF!</f>
        <v>#REF!</v>
      </c>
      <c r="M112" s="1"/>
      <c r="N112" s="1"/>
    </row>
    <row r="113" spans="1:14" ht="42.75" customHeight="1" x14ac:dyDescent="0.25">
      <c r="A113" s="1"/>
      <c r="B113" s="1"/>
      <c r="C113" s="1" t="s">
        <v>3165</v>
      </c>
      <c r="D113" s="4" t="e">
        <f>'Bid 2b'!#REF!</f>
        <v>#REF!</v>
      </c>
      <c r="E113" s="1"/>
      <c r="F113" s="1"/>
      <c r="G113" s="999">
        <v>1</v>
      </c>
      <c r="H113" s="4" t="s">
        <v>1012</v>
      </c>
      <c r="I113" s="1" t="s">
        <v>3059</v>
      </c>
      <c r="J113" s="1" t="s">
        <v>2674</v>
      </c>
      <c r="K113" s="1" t="s">
        <v>2725</v>
      </c>
      <c r="L113" s="73" t="e">
        <f>'Bid 2b'!#REF!</f>
        <v>#REF!</v>
      </c>
      <c r="M113" s="1"/>
      <c r="N113" s="1"/>
    </row>
    <row r="114" spans="1:14" ht="60" x14ac:dyDescent="0.25">
      <c r="A114" s="1"/>
      <c r="B114" s="1"/>
      <c r="C114" s="1" t="s">
        <v>3165</v>
      </c>
      <c r="D114" s="4" t="e">
        <f>'Bid 2b'!#REF!</f>
        <v>#REF!</v>
      </c>
      <c r="E114" s="1"/>
      <c r="F114" s="1"/>
      <c r="G114" s="999">
        <v>1</v>
      </c>
      <c r="H114" s="4" t="s">
        <v>1012</v>
      </c>
      <c r="I114" s="1" t="s">
        <v>3060</v>
      </c>
      <c r="J114" s="1" t="s">
        <v>2674</v>
      </c>
      <c r="K114" s="1" t="s">
        <v>2725</v>
      </c>
      <c r="L114" s="73" t="e">
        <f>'Bid 2b'!#REF!</f>
        <v>#REF!</v>
      </c>
      <c r="M114" s="1"/>
      <c r="N114" s="1"/>
    </row>
    <row r="115" spans="1:14" ht="60" x14ac:dyDescent="0.25">
      <c r="A115" s="1"/>
      <c r="B115" s="1"/>
      <c r="C115" s="1" t="s">
        <v>3165</v>
      </c>
      <c r="D115" s="4" t="e">
        <f>'Bid 2b'!#REF!</f>
        <v>#REF!</v>
      </c>
      <c r="E115" s="1"/>
      <c r="F115" s="1"/>
      <c r="G115" s="999">
        <v>1</v>
      </c>
      <c r="H115" s="4" t="s">
        <v>1012</v>
      </c>
      <c r="I115" s="1" t="s">
        <v>3061</v>
      </c>
      <c r="J115" s="1" t="s">
        <v>2674</v>
      </c>
      <c r="K115" s="1" t="s">
        <v>2725</v>
      </c>
      <c r="L115" s="73" t="e">
        <f>'Bid 2b'!#REF!</f>
        <v>#REF!</v>
      </c>
      <c r="M115" s="1"/>
      <c r="N115" s="1"/>
    </row>
    <row r="116" spans="1:14" ht="90.75" customHeight="1" x14ac:dyDescent="0.25">
      <c r="A116" s="1"/>
      <c r="B116" s="1"/>
      <c r="C116" s="1" t="s">
        <v>3167</v>
      </c>
      <c r="D116" s="4" t="str">
        <f>'Bid 2b'!B1908</f>
        <v>: Pemeliharaan Prasarana Jalan Desa (Pembersihan saluran air untuk kelancaran pertanian dan gorong-gorong (PKTD MURNI Ketahanan Pangan)</v>
      </c>
      <c r="E116" s="1"/>
      <c r="F116" s="1"/>
      <c r="G116" s="999">
        <v>1</v>
      </c>
      <c r="H116" s="4" t="s">
        <v>1012</v>
      </c>
      <c r="I116" s="1" t="s">
        <v>3061</v>
      </c>
      <c r="J116" s="1" t="s">
        <v>2674</v>
      </c>
      <c r="K116" s="1" t="s">
        <v>2725</v>
      </c>
      <c r="L116" s="73">
        <f>'Bid 2b'!F1921</f>
        <v>11550000</v>
      </c>
      <c r="M116" s="1"/>
      <c r="N116" s="1"/>
    </row>
    <row r="117" spans="1:14" ht="60" x14ac:dyDescent="0.25">
      <c r="A117" s="1"/>
      <c r="B117" s="1"/>
      <c r="C117" s="1" t="s">
        <v>3168</v>
      </c>
      <c r="D117" s="4" t="str">
        <f>'Bid 2b'!B1934</f>
        <v>: Pembangunan Jalan Usaha Tani (Subak Temaga Munduk Sengguan pembersihan site)</v>
      </c>
      <c r="E117" s="1"/>
      <c r="F117" s="1"/>
      <c r="G117" s="999">
        <v>1</v>
      </c>
      <c r="H117" s="4" t="s">
        <v>1012</v>
      </c>
      <c r="I117" s="1" t="s">
        <v>3062</v>
      </c>
      <c r="J117" s="1" t="s">
        <v>2674</v>
      </c>
      <c r="K117" s="1" t="s">
        <v>2725</v>
      </c>
      <c r="L117" s="73">
        <f>'Bid 2b'!F1950</f>
        <v>5483200</v>
      </c>
      <c r="M117" s="1"/>
      <c r="N117" s="1"/>
    </row>
    <row r="118" spans="1:14" ht="60" x14ac:dyDescent="0.25">
      <c r="A118" s="1"/>
      <c r="B118" s="1"/>
      <c r="C118" s="1" t="s">
        <v>3168</v>
      </c>
      <c r="D118" s="4" t="str">
        <f>'Bid 2b'!B1958</f>
        <v>: Pembangunan Jalan Usaha Tani (Subak Temaga Munduk Sengguan Pondasi Batu Kali)</v>
      </c>
      <c r="E118" s="1"/>
      <c r="F118" s="1"/>
      <c r="G118" s="999">
        <v>1</v>
      </c>
      <c r="H118" s="4" t="s">
        <v>1012</v>
      </c>
      <c r="I118" s="1" t="s">
        <v>3063</v>
      </c>
      <c r="J118" s="1" t="s">
        <v>2674</v>
      </c>
      <c r="K118" s="1" t="s">
        <v>2725</v>
      </c>
      <c r="L118" s="73">
        <f>'Bid 2b'!F1983</f>
        <v>527527020</v>
      </c>
      <c r="M118" s="1"/>
      <c r="N118" s="1"/>
    </row>
    <row r="119" spans="1:14" ht="60" x14ac:dyDescent="0.25">
      <c r="A119" s="1"/>
      <c r="B119" s="1"/>
      <c r="C119" s="1" t="s">
        <v>3168</v>
      </c>
      <c r="D119" s="4" t="str">
        <f>'Bid 2b'!B1992</f>
        <v>: Pembangunan Jalan Usaha Tani (Subak Temaga Munduk Sengguan Galian)</v>
      </c>
      <c r="E119" s="1"/>
      <c r="F119" s="1"/>
      <c r="G119" s="999">
        <v>1</v>
      </c>
      <c r="H119" s="4" t="s">
        <v>1012</v>
      </c>
      <c r="I119" s="1" t="s">
        <v>3064</v>
      </c>
      <c r="J119" s="1" t="s">
        <v>2674</v>
      </c>
      <c r="K119" s="1" t="s">
        <v>2725</v>
      </c>
      <c r="L119" s="73">
        <f>'Bid 2b'!F2008</f>
        <v>12750400</v>
      </c>
      <c r="M119" s="1"/>
      <c r="N119" s="1"/>
    </row>
    <row r="120" spans="1:14" ht="48" customHeight="1" x14ac:dyDescent="0.25">
      <c r="A120" s="1"/>
      <c r="B120" s="1"/>
      <c r="C120" s="1" t="s">
        <v>3168</v>
      </c>
      <c r="D120" s="4" t="str">
        <f>'Bid 2b'!B2017</f>
        <v>: Pembangunan Jalan Usaha Tani (Subak Temaga Munduk Sengguan Urug Lime Stone)</v>
      </c>
      <c r="E120" s="1"/>
      <c r="F120" s="1"/>
      <c r="G120" s="999">
        <v>1</v>
      </c>
      <c r="H120" s="4" t="s">
        <v>1012</v>
      </c>
      <c r="I120" s="1" t="s">
        <v>3065</v>
      </c>
      <c r="J120" s="1" t="s">
        <v>2674</v>
      </c>
      <c r="K120" s="1" t="s">
        <v>2725</v>
      </c>
      <c r="L120" s="73">
        <f>'Bid 2b'!F2042</f>
        <v>115849560</v>
      </c>
      <c r="M120" s="1"/>
      <c r="N120" s="1"/>
    </row>
    <row r="121" spans="1:14" ht="60" x14ac:dyDescent="0.25">
      <c r="A121" s="1"/>
      <c r="B121" s="1"/>
      <c r="C121" s="1" t="s">
        <v>3168</v>
      </c>
      <c r="D121" s="4" t="str">
        <f>'Bid 2b'!B2050</f>
        <v>: Pembangunan Jalan Usaha Tani (Subak Temaga Munduk Sengguan Bekisting)</v>
      </c>
      <c r="E121" s="1"/>
      <c r="F121" s="1"/>
      <c r="G121" s="999">
        <v>1</v>
      </c>
      <c r="H121" s="4" t="s">
        <v>1012</v>
      </c>
      <c r="I121" s="1" t="s">
        <v>3066</v>
      </c>
      <c r="J121" s="1" t="s">
        <v>2674</v>
      </c>
      <c r="K121" s="1" t="s">
        <v>2725</v>
      </c>
      <c r="L121" s="73">
        <f>'Bid 2b'!F2073</f>
        <v>8147760</v>
      </c>
      <c r="M121" s="1"/>
      <c r="N121" s="1"/>
    </row>
    <row r="122" spans="1:14" ht="60" x14ac:dyDescent="0.25">
      <c r="A122" s="1"/>
      <c r="B122" s="1"/>
      <c r="C122" s="1" t="s">
        <v>3168</v>
      </c>
      <c r="D122" s="4" t="str">
        <f>'Bid 2b'!B2082</f>
        <v>: Pembangunan Jalan Usaha Tani (Subak Temaga Munduk Sengguan Pembesian)</v>
      </c>
      <c r="E122" s="1"/>
      <c r="F122" s="1"/>
      <c r="G122" s="999">
        <v>1</v>
      </c>
      <c r="H122" s="4" t="s">
        <v>1012</v>
      </c>
      <c r="I122" s="1" t="s">
        <v>3067</v>
      </c>
      <c r="J122" s="1" t="s">
        <v>2674</v>
      </c>
      <c r="K122" s="1" t="s">
        <v>2725</v>
      </c>
      <c r="L122" s="73">
        <f>'Bid 2b'!F2103</f>
        <v>55365600</v>
      </c>
      <c r="M122" s="1"/>
      <c r="N122" s="1"/>
    </row>
    <row r="123" spans="1:14" ht="60" x14ac:dyDescent="0.25">
      <c r="A123" s="1"/>
      <c r="B123" s="1"/>
      <c r="C123" s="1" t="s">
        <v>3168</v>
      </c>
      <c r="D123" s="4" t="str">
        <f>'Bid 2b'!B2112</f>
        <v xml:space="preserve">: Pembangunan Jalan Usaha Tani (Subak Temaga Munduk Sengguan) PEMBETONAN </v>
      </c>
      <c r="E123" s="1"/>
      <c r="F123" s="1"/>
      <c r="G123" s="999">
        <v>1</v>
      </c>
      <c r="H123" s="4" t="s">
        <v>1012</v>
      </c>
      <c r="I123" s="1" t="s">
        <v>3068</v>
      </c>
      <c r="J123" s="1" t="s">
        <v>2674</v>
      </c>
      <c r="K123" s="1" t="s">
        <v>2725</v>
      </c>
      <c r="L123" s="73">
        <f>'Bid 2b'!F2136</f>
        <v>67387320</v>
      </c>
      <c r="M123" s="1"/>
      <c r="N123" s="1"/>
    </row>
    <row r="124" spans="1:14" ht="60" x14ac:dyDescent="0.25">
      <c r="A124" s="1"/>
      <c r="B124" s="1"/>
      <c r="C124" s="1" t="s">
        <v>3168</v>
      </c>
      <c r="D124" s="4" t="str">
        <f>'Bid 2b'!B2144</f>
        <v>: Pembangunan Jalan Usaha Tani (Subak Temaga Munduk Sengguan Jembatan)</v>
      </c>
      <c r="E124" s="1"/>
      <c r="F124" s="1"/>
      <c r="G124" s="999">
        <v>1</v>
      </c>
      <c r="H124" s="4" t="s">
        <v>1012</v>
      </c>
      <c r="I124" s="1" t="s">
        <v>3069</v>
      </c>
      <c r="J124" s="1" t="s">
        <v>2674</v>
      </c>
      <c r="K124" s="1" t="s">
        <v>2725</v>
      </c>
      <c r="L124" s="73">
        <f>'Bid 2b'!F2172</f>
        <v>18562000</v>
      </c>
      <c r="M124" s="1"/>
      <c r="N124" s="1"/>
    </row>
    <row r="125" spans="1:14" ht="60" x14ac:dyDescent="0.25">
      <c r="A125" s="1"/>
      <c r="B125" s="1"/>
      <c r="C125" s="1" t="s">
        <v>3169</v>
      </c>
      <c r="D125" s="4" t="str">
        <f>'Bid 2b'!B2180</f>
        <v>: Kegiatan Pengelolaan Sampah Tingkat Desa</v>
      </c>
      <c r="E125" s="1"/>
      <c r="F125" s="1"/>
      <c r="G125" s="999">
        <v>1</v>
      </c>
      <c r="H125" s="4" t="s">
        <v>1012</v>
      </c>
      <c r="I125" s="1"/>
      <c r="J125" s="1" t="s">
        <v>2674</v>
      </c>
      <c r="K125" s="1" t="s">
        <v>2725</v>
      </c>
      <c r="L125" s="73">
        <f>'Bid 2b'!F2235</f>
        <v>650876535.20000005</v>
      </c>
      <c r="M125" s="1"/>
      <c r="N125" s="1"/>
    </row>
    <row r="126" spans="1:14" ht="60" x14ac:dyDescent="0.25">
      <c r="A126" s="1"/>
      <c r="B126" s="1"/>
      <c r="C126" s="1" t="s">
        <v>3169</v>
      </c>
      <c r="D126" s="4" t="str">
        <f>'Bid 2b'!B2250</f>
        <v>: Kegiatan Pengelolaan Sampah Tingkat Desa (Oprasional TPS3R)</v>
      </c>
      <c r="E126" s="1"/>
      <c r="F126" s="1"/>
      <c r="G126" s="999">
        <v>1</v>
      </c>
      <c r="H126" s="4" t="s">
        <v>1012</v>
      </c>
      <c r="I126" s="1"/>
      <c r="J126" s="1" t="s">
        <v>2674</v>
      </c>
      <c r="K126" s="1" t="s">
        <v>2725</v>
      </c>
      <c r="L126" s="73">
        <f>'Bid 2b'!F2323</f>
        <v>268499300</v>
      </c>
      <c r="M126" s="1"/>
      <c r="N126" s="1"/>
    </row>
    <row r="127" spans="1:14" ht="60" x14ac:dyDescent="0.25">
      <c r="A127" s="1"/>
      <c r="B127" s="1"/>
      <c r="C127" s="1" t="s">
        <v>3169</v>
      </c>
      <c r="D127" s="4" t="str">
        <f>'Bid 2b'!B2340</f>
        <v>: Pemeiliharaan Fasilitas Pengelolaan Sampah Desa/ Pemukiman (Operasional Kegiatan Bank Sampah Desa)</v>
      </c>
      <c r="E127" s="1"/>
      <c r="F127" s="1"/>
      <c r="G127" s="999">
        <v>1</v>
      </c>
      <c r="H127" s="4" t="s">
        <v>1012</v>
      </c>
      <c r="I127" s="1"/>
      <c r="J127" s="1" t="s">
        <v>2674</v>
      </c>
      <c r="K127" s="1" t="s">
        <v>2725</v>
      </c>
      <c r="L127" s="73">
        <f>'Bid 2b'!F2375</f>
        <v>45256000</v>
      </c>
      <c r="M127" s="1"/>
      <c r="N127" s="1"/>
    </row>
    <row r="128" spans="1:14" ht="60" x14ac:dyDescent="0.25">
      <c r="A128" s="1"/>
      <c r="B128" s="1"/>
      <c r="C128" s="1" t="s">
        <v>3169</v>
      </c>
      <c r="D128" s="4" t="str">
        <f>'Bid 2b'!B2389</f>
        <v>: Operasional Tim Kebersihan Lingkungan</v>
      </c>
      <c r="E128" s="1"/>
      <c r="F128" s="1"/>
      <c r="G128" s="999">
        <v>1</v>
      </c>
      <c r="H128" s="4" t="s">
        <v>1012</v>
      </c>
      <c r="I128" s="1"/>
      <c r="J128" s="1" t="s">
        <v>2674</v>
      </c>
      <c r="K128" s="1" t="s">
        <v>2725</v>
      </c>
      <c r="L128" s="73">
        <f>'Bid 2b'!F2423</f>
        <v>111982000</v>
      </c>
      <c r="M128" s="1"/>
      <c r="N128" s="1"/>
    </row>
    <row r="129" spans="1:15" ht="60" x14ac:dyDescent="0.25">
      <c r="A129" s="1"/>
      <c r="B129" s="1"/>
      <c r="C129" s="1" t="s">
        <v>3169</v>
      </c>
      <c r="D129" s="1" t="str">
        <f>'Bid 2b'!B2441</f>
        <v>: TIM KEBERSIHAN SUNGAI</v>
      </c>
      <c r="E129" s="1"/>
      <c r="F129" s="1"/>
      <c r="G129" s="999">
        <v>1</v>
      </c>
      <c r="H129" s="4" t="s">
        <v>1012</v>
      </c>
      <c r="I129" s="1"/>
      <c r="J129" s="1" t="s">
        <v>2674</v>
      </c>
      <c r="K129" s="1" t="s">
        <v>2725</v>
      </c>
      <c r="L129" s="73">
        <f>'Bid 2b'!F2463</f>
        <v>122284000</v>
      </c>
      <c r="M129" s="1"/>
      <c r="N129" s="1"/>
    </row>
    <row r="130" spans="1:15" ht="60" customHeight="1" x14ac:dyDescent="0.25">
      <c r="A130" s="1"/>
      <c r="B130" s="1"/>
      <c r="C130" s="1" t="s">
        <v>3170</v>
      </c>
      <c r="D130" s="4" t="str">
        <f>'Bid 2b'!B2477</f>
        <v>: Pembangunan/Rehabilitasi/Peningkatan Sumur Resapan (Teba Moderen dan Tong Komposter)</v>
      </c>
      <c r="E130" s="1"/>
      <c r="F130" s="1"/>
      <c r="G130" s="999">
        <v>1</v>
      </c>
      <c r="H130" s="4" t="s">
        <v>1012</v>
      </c>
      <c r="I130" s="1"/>
      <c r="J130" s="1" t="s">
        <v>2674</v>
      </c>
      <c r="K130" s="1" t="s">
        <v>2725</v>
      </c>
      <c r="L130" s="73">
        <f>'Bid 2b'!F2489</f>
        <v>379000000</v>
      </c>
      <c r="M130" s="1"/>
      <c r="N130" s="1"/>
    </row>
    <row r="131" spans="1:15" ht="75" x14ac:dyDescent="0.25">
      <c r="A131" s="1"/>
      <c r="B131" s="1"/>
      <c r="C131" s="1" t="s">
        <v>3171</v>
      </c>
      <c r="D131" s="4" t="str">
        <f>'Bid 2b'!B2506</f>
        <v>: Sosialisasi tentang Lingkungan Hidup dan Kehutanan (Sosialisasi Pemilihan Sampah Rumah Tangga)</v>
      </c>
      <c r="E131" s="1"/>
      <c r="F131" s="1"/>
      <c r="G131" s="999">
        <v>1</v>
      </c>
      <c r="H131" s="4" t="s">
        <v>1012</v>
      </c>
      <c r="I131" s="1"/>
      <c r="J131" s="1" t="s">
        <v>2674</v>
      </c>
      <c r="K131" s="1" t="s">
        <v>2725</v>
      </c>
      <c r="L131" s="73">
        <f>'Bid 2b'!F2538</f>
        <v>50115000</v>
      </c>
      <c r="M131" s="1"/>
      <c r="N131" s="1"/>
    </row>
    <row r="132" spans="1:15" ht="60" x14ac:dyDescent="0.25">
      <c r="A132" s="24"/>
      <c r="B132" s="24"/>
      <c r="C132" s="1" t="s">
        <v>3172</v>
      </c>
      <c r="D132" s="870" t="str">
        <f>'Bid 2b'!B2551</f>
        <v>: Penyelenggaraan Informasi Publik Desa ( Pembuatan dan Pemasangan Baliho APBDesa )</v>
      </c>
      <c r="E132" s="24"/>
      <c r="F132" s="24"/>
      <c r="G132" s="999">
        <v>1</v>
      </c>
      <c r="H132" s="4" t="s">
        <v>1012</v>
      </c>
      <c r="I132" s="24"/>
      <c r="J132" s="1" t="s">
        <v>2674</v>
      </c>
      <c r="K132" s="1" t="s">
        <v>2725</v>
      </c>
      <c r="L132" s="1060">
        <f>'Bid 2b'!F2561</f>
        <v>4986000</v>
      </c>
      <c r="M132" s="24"/>
      <c r="N132" s="24"/>
    </row>
    <row r="133" spans="1:15" s="1" customFormat="1" ht="60" x14ac:dyDescent="0.25">
      <c r="C133" s="1" t="s">
        <v>3173</v>
      </c>
      <c r="D133" s="4" t="str">
        <f>'Bid 2b'!B2575</f>
        <v>: Pengembangan Pariwisata Tingkat Desa (Pelatihan POKDARWIS)</v>
      </c>
      <c r="G133" s="999">
        <v>1</v>
      </c>
      <c r="H133" s="4" t="s">
        <v>1012</v>
      </c>
      <c r="J133" s="1" t="s">
        <v>2674</v>
      </c>
      <c r="K133" s="1" t="s">
        <v>2725</v>
      </c>
      <c r="L133" s="73">
        <f>'Bid 2b'!F2615</f>
        <v>62892000</v>
      </c>
    </row>
    <row r="134" spans="1:15" x14ac:dyDescent="0.25">
      <c r="A134" s="2248" t="s">
        <v>1119</v>
      </c>
      <c r="B134" s="2230"/>
      <c r="C134" s="2230"/>
      <c r="D134" s="2230"/>
      <c r="E134" s="2230"/>
      <c r="F134" s="2230"/>
      <c r="G134" s="2230"/>
      <c r="H134" s="2230"/>
      <c r="I134" s="2230"/>
      <c r="J134" s="2230"/>
      <c r="K134" s="2249"/>
      <c r="L134" s="117" t="e">
        <f>SUM(L57:L133)</f>
        <v>#REF!</v>
      </c>
      <c r="M134" s="114"/>
      <c r="N134" s="114"/>
    </row>
    <row r="135" spans="1:15" ht="75" x14ac:dyDescent="0.25">
      <c r="A135" s="1"/>
      <c r="B135" s="4" t="str">
        <f>'Bid 3b'!B5</f>
        <v>: Pembinaan Kemasyarakatan Desa</v>
      </c>
      <c r="C135" s="1" t="s">
        <v>3174</v>
      </c>
      <c r="D135" s="4" t="str">
        <f>'Bid 3b'!B7</f>
        <v>:Koordinasi Pembinaan Ketentraman, Ketertiban, dan Perlindungan Masyarakat (Pengamanan Pengerupukan)</v>
      </c>
      <c r="E135" s="1"/>
      <c r="F135" s="1"/>
      <c r="G135" s="999">
        <v>1</v>
      </c>
      <c r="H135" s="4" t="s">
        <v>1012</v>
      </c>
      <c r="I135" s="1"/>
      <c r="J135" s="1" t="s">
        <v>2674</v>
      </c>
      <c r="K135" s="1" t="s">
        <v>2725</v>
      </c>
      <c r="L135" s="73">
        <f>'Bid 3b'!F26</f>
        <v>7825000</v>
      </c>
      <c r="M135" s="1"/>
      <c r="N135" s="1"/>
    </row>
    <row r="136" spans="1:15" ht="75" x14ac:dyDescent="0.25">
      <c r="A136" s="1"/>
      <c r="B136" s="1"/>
      <c r="C136" s="1" t="s">
        <v>3174</v>
      </c>
      <c r="D136" s="4" t="str">
        <f>'Bid 3b'!B40</f>
        <v>: Koordinasi Pembinaan Ketentraman, Ketertiban, dan Perlindungan Masyarakat (Pengamanan Tahun Baru)</v>
      </c>
      <c r="E136" s="1"/>
      <c r="F136" s="1"/>
      <c r="G136" s="999">
        <v>1</v>
      </c>
      <c r="H136" s="4" t="s">
        <v>1012</v>
      </c>
      <c r="I136" s="1"/>
      <c r="J136" s="1" t="s">
        <v>2674</v>
      </c>
      <c r="K136" s="1" t="s">
        <v>2725</v>
      </c>
      <c r="L136" s="73">
        <f>'Bid 3b'!F60</f>
        <v>9720132.1799999997</v>
      </c>
      <c r="M136" s="1"/>
      <c r="N136" s="1"/>
      <c r="O136" s="5"/>
    </row>
    <row r="137" spans="1:15" ht="75" x14ac:dyDescent="0.25">
      <c r="A137" s="1"/>
      <c r="B137" s="1"/>
      <c r="C137" s="1" t="s">
        <v>3174</v>
      </c>
      <c r="D137" s="4" t="str">
        <f>'Bid 3b'!B74</f>
        <v>:Koordinasi Pembinaan Ketentraman, Ketertiban, dan Perlindungan Masyarakat (Penjagaan Linmas Desa)</v>
      </c>
      <c r="E137" s="1"/>
      <c r="F137" s="1"/>
      <c r="G137" s="999">
        <v>1</v>
      </c>
      <c r="H137" s="4" t="s">
        <v>1012</v>
      </c>
      <c r="I137" s="1"/>
      <c r="J137" s="1" t="s">
        <v>2674</v>
      </c>
      <c r="K137" s="1" t="s">
        <v>2725</v>
      </c>
      <c r="L137" s="73">
        <f>'Bid 3b'!F101</f>
        <v>317636000</v>
      </c>
      <c r="M137" s="1"/>
      <c r="N137" s="1"/>
    </row>
    <row r="138" spans="1:15" ht="75" x14ac:dyDescent="0.25">
      <c r="A138" s="1"/>
      <c r="B138" s="1"/>
      <c r="C138" s="1" t="s">
        <v>3175</v>
      </c>
      <c r="D138" s="4" t="str">
        <f>'Bid 3b'!B115</f>
        <v>: Pelatihan Kesiapsiagaan/Tanggap Bencana Skala Lokal Desa ( Pelatihan Tanggap Darurat Bencana )</v>
      </c>
      <c r="E138" s="1"/>
      <c r="F138" s="1"/>
      <c r="G138" s="999">
        <v>1</v>
      </c>
      <c r="H138" s="4" t="s">
        <v>1012</v>
      </c>
      <c r="I138" s="1"/>
      <c r="J138" s="1" t="s">
        <v>2674</v>
      </c>
      <c r="K138" s="1" t="s">
        <v>2725</v>
      </c>
      <c r="L138" s="73">
        <f>'Bid 3b'!F140</f>
        <v>34770000</v>
      </c>
      <c r="M138" s="1"/>
      <c r="N138" s="1"/>
    </row>
    <row r="139" spans="1:15" ht="180" x14ac:dyDescent="0.25">
      <c r="A139" s="1"/>
      <c r="B139" s="1"/>
      <c r="C139" s="1" t="s">
        <v>3176</v>
      </c>
      <c r="D139" s="4" t="str">
        <f>'Bid 3b'!B154</f>
        <v xml:space="preserve">  : Penyelenggaraan Festival Kesenian, Adat / Kebudayaan, dan Keagamaan (Pembinaan dan Lomba Nyurat Aksara Bali Anak Umur 7 - 12 Tahun, Ngwacen Lontar Anak Remaja Umur 16 - 18 tahun Nyatua Bali Krama Istri Dalam Rangka Penyelenggaraan Bulan Bahasa Bali )</v>
      </c>
      <c r="E139" s="1"/>
      <c r="F139" s="1"/>
      <c r="G139" s="999">
        <v>1</v>
      </c>
      <c r="H139" s="4" t="s">
        <v>1012</v>
      </c>
      <c r="I139" s="1"/>
      <c r="J139" s="1" t="s">
        <v>2674</v>
      </c>
      <c r="K139" s="1" t="s">
        <v>2725</v>
      </c>
      <c r="L139" s="73">
        <f>'Bid 3b'!F220</f>
        <v>42947000</v>
      </c>
      <c r="M139" s="1"/>
      <c r="N139" s="1"/>
    </row>
    <row r="140" spans="1:15" ht="105" x14ac:dyDescent="0.25">
      <c r="A140" s="1"/>
      <c r="B140" s="1"/>
      <c r="C140" s="1" t="s">
        <v>3176</v>
      </c>
      <c r="D140" s="4" t="str">
        <f>'Bid 3b'!B233</f>
        <v xml:space="preserve">  : Penyelenggaraan Festival Kesenian, Adat / Kebudayaan, dan Keagamaan (Pembinaan dan Lomba Membaca Puisi dan Karaoke Ibu dan Anak Memperingati Hari Ibu)</v>
      </c>
      <c r="E140" s="1"/>
      <c r="F140" s="1"/>
      <c r="G140" s="999">
        <v>1</v>
      </c>
      <c r="H140" s="4" t="s">
        <v>1012</v>
      </c>
      <c r="I140" s="1"/>
      <c r="J140" s="1" t="s">
        <v>2674</v>
      </c>
      <c r="K140" s="1" t="s">
        <v>2725</v>
      </c>
      <c r="L140" s="73">
        <f>'Bid 3b'!F282</f>
        <v>29440000</v>
      </c>
      <c r="M140" s="1"/>
      <c r="N140" s="1"/>
    </row>
    <row r="141" spans="1:15" ht="90" x14ac:dyDescent="0.25">
      <c r="A141" s="1"/>
      <c r="B141" s="1"/>
      <c r="C141" s="1" t="s">
        <v>3176</v>
      </c>
      <c r="D141" s="4" t="str">
        <f>'Bid 3b'!B295</f>
        <v xml:space="preserve">  : Penyelenggaraan Festival Kesenian, Adat / Kebudayaan, dan Keagamaan (Parade Baleganjur Ngarap Desa Penatih Dangin Puri)</v>
      </c>
      <c r="E141" s="1"/>
      <c r="F141" s="1"/>
      <c r="G141" s="999">
        <v>1</v>
      </c>
      <c r="H141" s="4" t="s">
        <v>1012</v>
      </c>
      <c r="I141" s="1"/>
      <c r="J141" s="1" t="s">
        <v>2674</v>
      </c>
      <c r="K141" s="1" t="s">
        <v>2725</v>
      </c>
      <c r="L141" s="73">
        <f>'Bid 3b'!F348</f>
        <v>298510000</v>
      </c>
      <c r="M141" s="1"/>
      <c r="N141" s="1"/>
    </row>
    <row r="142" spans="1:15" ht="60" x14ac:dyDescent="0.25">
      <c r="A142" s="1"/>
      <c r="B142" s="1"/>
      <c r="C142" s="1" t="s">
        <v>3177</v>
      </c>
      <c r="D142" s="4" t="str">
        <f>'Bid 3b'!B361</f>
        <v>Pembinaan Grup Kesenian dan Kebudayaan Tingkat Desa (Grup Sekaa Pesantian)</v>
      </c>
      <c r="E142" s="1"/>
      <c r="F142" s="1"/>
      <c r="G142" s="999">
        <v>1</v>
      </c>
      <c r="H142" s="4" t="s">
        <v>1012</v>
      </c>
      <c r="I142" s="1"/>
      <c r="J142" s="1" t="s">
        <v>2674</v>
      </c>
      <c r="K142" s="1" t="s">
        <v>2725</v>
      </c>
      <c r="L142" s="73">
        <f>'Bid 3b'!F385</f>
        <v>246660000</v>
      </c>
      <c r="M142" s="1"/>
      <c r="N142" s="1"/>
    </row>
    <row r="143" spans="1:15" ht="60" x14ac:dyDescent="0.25">
      <c r="A143" s="1"/>
      <c r="B143" s="1"/>
      <c r="C143" s="1" t="s">
        <v>3177</v>
      </c>
      <c r="D143" s="4" t="str">
        <f>'Bid 3b'!B429</f>
        <v>Pembinaan Grup Kesenian dan Kebudayaan Tingkat Desa (Pembuatan Lagu Mars Desa Penatih Dangin Puri)</v>
      </c>
      <c r="E143" s="1"/>
      <c r="F143" s="1"/>
      <c r="G143" s="999">
        <v>1</v>
      </c>
      <c r="H143" s="4" t="s">
        <v>1012</v>
      </c>
      <c r="I143" s="1"/>
      <c r="J143" s="1" t="s">
        <v>2674</v>
      </c>
      <c r="K143" s="1" t="s">
        <v>2725</v>
      </c>
      <c r="L143" s="73">
        <f>'Bid 3b'!F452</f>
        <v>0</v>
      </c>
      <c r="M143" s="1"/>
      <c r="N143" s="1"/>
    </row>
    <row r="144" spans="1:15" ht="75" x14ac:dyDescent="0.25">
      <c r="A144" s="1"/>
      <c r="B144" s="1"/>
      <c r="C144" s="1" t="s">
        <v>3182</v>
      </c>
      <c r="D144" s="4" t="str">
        <f>'Bid 3b'!B465</f>
        <v>:Pengiriman Kontingen Group Kesenian &amp; Kebudayaan Ke tingkat Kota ( Lomba Penjor Hut Kota Denpasar)</v>
      </c>
      <c r="E144" s="1"/>
      <c r="F144" s="1"/>
      <c r="G144" s="999">
        <v>1</v>
      </c>
      <c r="H144" s="4" t="s">
        <v>1012</v>
      </c>
      <c r="I144" s="1"/>
      <c r="J144" s="1" t="s">
        <v>2674</v>
      </c>
      <c r="K144" s="1" t="s">
        <v>2725</v>
      </c>
      <c r="L144" s="73">
        <f>'Bid 3b'!F480</f>
        <v>10750000</v>
      </c>
      <c r="M144" s="1"/>
      <c r="N144" s="1"/>
    </row>
    <row r="145" spans="1:14" ht="60" customHeight="1" x14ac:dyDescent="0.25">
      <c r="A145" s="1"/>
      <c r="B145" s="1"/>
      <c r="C145" s="1" t="s">
        <v>3182</v>
      </c>
      <c r="D145" s="4" t="str">
        <f>'Bid 3b'!B493</f>
        <v>:Pengiriman Kontingen Group Kesenian &amp; Kebudayaan Ke tingkat Kota ( Lomba Lagu Jendela Dunia)</v>
      </c>
      <c r="E145" s="1"/>
      <c r="F145" s="1"/>
      <c r="G145" s="999">
        <v>1</v>
      </c>
      <c r="H145" s="4" t="s">
        <v>1012</v>
      </c>
      <c r="I145" s="1"/>
      <c r="J145" s="1" t="s">
        <v>2674</v>
      </c>
      <c r="K145" s="1" t="s">
        <v>2725</v>
      </c>
      <c r="L145" s="73">
        <f>'Bid 3b'!F519</f>
        <v>114950000</v>
      </c>
      <c r="M145" s="1"/>
      <c r="N145" s="1"/>
    </row>
    <row r="146" spans="1:14" ht="60" x14ac:dyDescent="0.25">
      <c r="A146" s="1"/>
      <c r="B146" s="1"/>
      <c r="C146" s="1" t="s">
        <v>3186</v>
      </c>
      <c r="D146" s="4" t="str">
        <f>'Bid 3b'!B533</f>
        <v xml:space="preserve"> : Pembinaan Adat dan Keagamaan (Piodalan Padmasana)</v>
      </c>
      <c r="E146" s="1"/>
      <c r="F146" s="1"/>
      <c r="G146" s="999">
        <v>1</v>
      </c>
      <c r="H146" s="4" t="s">
        <v>1012</v>
      </c>
      <c r="I146" s="1"/>
      <c r="J146" s="1" t="s">
        <v>2674</v>
      </c>
      <c r="K146" s="1" t="s">
        <v>2725</v>
      </c>
      <c r="L146" s="73">
        <f>'Bid 3b'!F559</f>
        <v>8560000</v>
      </c>
      <c r="M146" s="1"/>
      <c r="N146" s="1"/>
    </row>
    <row r="147" spans="1:14" ht="60" x14ac:dyDescent="0.25">
      <c r="A147" s="1"/>
      <c r="B147" s="1"/>
      <c r="C147" s="1" t="s">
        <v>3186</v>
      </c>
      <c r="D147" s="4" t="str">
        <f>'Bid 3b'!B572</f>
        <v>: Pembinaan Adat dan Keagamaan (Upakara dan Upacara)</v>
      </c>
      <c r="E147" s="1"/>
      <c r="F147" s="1"/>
      <c r="G147" s="999">
        <v>1</v>
      </c>
      <c r="H147" s="4" t="s">
        <v>1012</v>
      </c>
      <c r="I147" s="1"/>
      <c r="J147" s="1" t="s">
        <v>2674</v>
      </c>
      <c r="K147" s="1" t="s">
        <v>2725</v>
      </c>
      <c r="L147" s="73">
        <f>'Bid 3b'!F591</f>
        <v>5700000</v>
      </c>
      <c r="M147" s="1"/>
      <c r="N147" s="1"/>
    </row>
    <row r="148" spans="1:14" ht="60" x14ac:dyDescent="0.25">
      <c r="A148" s="1"/>
      <c r="B148" s="1"/>
      <c r="C148" s="1" t="s">
        <v>3186</v>
      </c>
      <c r="D148" s="4" t="str">
        <f>'Bid 3b'!B604</f>
        <v>: Pembinaan Adat dan Keagamaan (Tumpek Landep)</v>
      </c>
      <c r="E148" s="1"/>
      <c r="F148" s="1"/>
      <c r="G148" s="999">
        <v>1</v>
      </c>
      <c r="H148" s="4" t="s">
        <v>1012</v>
      </c>
      <c r="I148" s="1"/>
      <c r="J148" s="1" t="s">
        <v>2674</v>
      </c>
      <c r="K148" s="1" t="s">
        <v>2725</v>
      </c>
      <c r="L148" s="73">
        <f>'Bid 3b'!F621</f>
        <v>27700000</v>
      </c>
      <c r="M148" s="1"/>
      <c r="N148" s="1"/>
    </row>
    <row r="149" spans="1:14" ht="60" x14ac:dyDescent="0.25">
      <c r="A149" s="1"/>
      <c r="B149" s="1"/>
      <c r="C149" s="1" t="s">
        <v>3187</v>
      </c>
      <c r="D149" s="4" t="str">
        <f>'Bid 3b'!B634</f>
        <v xml:space="preserve"> : Penunjang Oprasional Subak/Subak Abian (BKKProvinsi)</v>
      </c>
      <c r="E149" s="1"/>
      <c r="F149" s="1"/>
      <c r="G149" s="999">
        <v>1</v>
      </c>
      <c r="H149" s="4" t="s">
        <v>1012</v>
      </c>
      <c r="I149" s="1"/>
      <c r="J149" s="1" t="s">
        <v>2674</v>
      </c>
      <c r="K149" s="1" t="s">
        <v>2725</v>
      </c>
      <c r="L149" s="73">
        <f>'Bid 3b'!F644</f>
        <v>45000000</v>
      </c>
      <c r="M149" s="1"/>
      <c r="N149" s="1"/>
    </row>
    <row r="150" spans="1:14" ht="60" x14ac:dyDescent="0.25">
      <c r="A150" s="1"/>
      <c r="B150" s="1"/>
      <c r="C150" s="1" t="s">
        <v>3188</v>
      </c>
      <c r="D150" s="4" t="str">
        <f>'Bid 3b'!B657</f>
        <v xml:space="preserve"> : Penunjang Oprasional Desa Pakraman(BKK Kota)</v>
      </c>
      <c r="E150" s="1"/>
      <c r="F150" s="1"/>
      <c r="G150" s="999">
        <v>1</v>
      </c>
      <c r="H150" s="4" t="s">
        <v>1012</v>
      </c>
      <c r="I150" s="1"/>
      <c r="J150" s="1" t="s">
        <v>2674</v>
      </c>
      <c r="K150" s="1" t="s">
        <v>2725</v>
      </c>
      <c r="L150" s="73">
        <f>'Bid 3b'!F668</f>
        <v>2030000000</v>
      </c>
      <c r="M150" s="1"/>
      <c r="N150" s="1"/>
    </row>
    <row r="151" spans="1:14" ht="60" x14ac:dyDescent="0.25">
      <c r="A151" s="1"/>
      <c r="B151" s="1"/>
      <c r="C151" s="1" t="s">
        <v>3189</v>
      </c>
      <c r="D151" s="1" t="str">
        <f>'Bid 3b'!B681</f>
        <v>: Kegiatan Bakti Penganyaran</v>
      </c>
      <c r="E151" s="1"/>
      <c r="F151" s="1"/>
      <c r="G151" s="999">
        <v>1</v>
      </c>
      <c r="H151" s="4" t="s">
        <v>1012</v>
      </c>
      <c r="I151" s="1"/>
      <c r="J151" s="1" t="s">
        <v>2674</v>
      </c>
      <c r="K151" s="1" t="s">
        <v>2725</v>
      </c>
      <c r="L151" s="73">
        <f>'Bid 3b'!F709</f>
        <v>180000000</v>
      </c>
      <c r="M151" s="1"/>
      <c r="N151" s="1"/>
    </row>
    <row r="152" spans="1:14" ht="135" x14ac:dyDescent="0.25">
      <c r="A152" s="1"/>
      <c r="B152" s="1"/>
      <c r="C152" s="1" t="s">
        <v>3190</v>
      </c>
      <c r="D152" s="4" t="str">
        <f>'Bid 3b'!B723</f>
        <v xml:space="preserve">: Penyelenggaraan Pelatihan Kepemudaan  ( Pelatihan dan Lomba Pidato Bungkarno Tingkat Sekaa Truna, Membaca Puisi Karya Bungkarno Tingkat Umur 13 - 15 tahun, Menyanyi Lagu Kebangsaan Tingkat umur 7 - 12 ) </v>
      </c>
      <c r="E152" s="1"/>
      <c r="F152" s="1"/>
      <c r="G152" s="999">
        <v>1</v>
      </c>
      <c r="H152" s="4" t="s">
        <v>1012</v>
      </c>
      <c r="I152" s="1"/>
      <c r="J152" s="1" t="s">
        <v>2674</v>
      </c>
      <c r="K152" s="1" t="s">
        <v>2725</v>
      </c>
      <c r="L152" s="73">
        <f>'Bid 3b'!F783</f>
        <v>40892000</v>
      </c>
      <c r="M152" s="1"/>
      <c r="N152" s="1"/>
    </row>
    <row r="153" spans="1:14" ht="75" x14ac:dyDescent="0.25">
      <c r="A153" s="1"/>
      <c r="B153" s="1"/>
      <c r="C153" s="1" t="s">
        <v>3182</v>
      </c>
      <c r="D153" s="4" t="str">
        <f>'Bid 3b'!B796</f>
        <v>: Pengiriman Kontingen Group Kesenian &amp; Kebudayaan (Wakil Desa tkt. Kec/Kab/Kot) (Lomba Defile Budaya Kader PKK)</v>
      </c>
      <c r="E153" s="1"/>
      <c r="F153" s="1"/>
      <c r="G153" s="999">
        <v>1</v>
      </c>
      <c r="H153" s="4" t="s">
        <v>1012</v>
      </c>
      <c r="I153" s="1"/>
      <c r="J153" s="1" t="s">
        <v>2674</v>
      </c>
      <c r="K153" s="1" t="s">
        <v>2725</v>
      </c>
      <c r="L153" s="73">
        <f>'Bid 3b'!F821</f>
        <v>44630000</v>
      </c>
      <c r="M153" s="1"/>
      <c r="N153" s="1"/>
    </row>
    <row r="154" spans="1:14" ht="60" x14ac:dyDescent="0.25">
      <c r="A154" s="1"/>
      <c r="B154" s="1"/>
      <c r="C154" s="1" t="s">
        <v>3197</v>
      </c>
      <c r="D154" s="1" t="str">
        <f>'Bid 3b'!B836</f>
        <v>: Pembinaan Karang Taruna</v>
      </c>
      <c r="E154" s="1"/>
      <c r="F154" s="1"/>
      <c r="G154" s="999">
        <v>1</v>
      </c>
      <c r="H154" s="4" t="s">
        <v>1012</v>
      </c>
      <c r="I154" s="1"/>
      <c r="J154" s="1" t="s">
        <v>2674</v>
      </c>
      <c r="K154" s="1" t="s">
        <v>2725</v>
      </c>
      <c r="L154" s="73">
        <f>'Bid 3b'!F855</f>
        <v>20600000</v>
      </c>
      <c r="M154" s="1"/>
      <c r="N154" s="1"/>
    </row>
    <row r="155" spans="1:14" ht="60" x14ac:dyDescent="0.25">
      <c r="A155" s="1"/>
      <c r="B155" s="1"/>
      <c r="C155" s="1" t="s">
        <v>3197</v>
      </c>
      <c r="D155" s="4" t="str">
        <f>'Bid 3b'!B868</f>
        <v>: Pembinaan Karang Taruna (Sosialisasi Pemuda Pelopor Desa)</v>
      </c>
      <c r="E155" s="1"/>
      <c r="F155" s="1"/>
      <c r="G155" s="999">
        <v>1</v>
      </c>
      <c r="H155" s="4" t="s">
        <v>1012</v>
      </c>
      <c r="I155" s="1"/>
      <c r="J155" s="1" t="s">
        <v>2674</v>
      </c>
      <c r="K155" s="1" t="s">
        <v>2725</v>
      </c>
      <c r="L155" s="73">
        <f>'Bid 3b'!F885</f>
        <v>9840000</v>
      </c>
      <c r="M155" s="1"/>
      <c r="N155" s="1"/>
    </row>
    <row r="156" spans="1:14" ht="60" x14ac:dyDescent="0.25">
      <c r="A156" s="1"/>
      <c r="B156" s="1"/>
      <c r="C156" s="1" t="s">
        <v>3198</v>
      </c>
      <c r="D156" s="4" t="str">
        <f>'Bid 3b'!B897</f>
        <v>: Penunjang Kegiatan Ekonomi Produktif untuk Sekeha Teruna (BKK Kota)</v>
      </c>
      <c r="E156" s="1"/>
      <c r="F156" s="1"/>
      <c r="G156" s="999">
        <v>1</v>
      </c>
      <c r="H156" s="4" t="s">
        <v>1012</v>
      </c>
      <c r="I156" s="1"/>
      <c r="J156" s="1" t="s">
        <v>2674</v>
      </c>
      <c r="K156" s="1" t="s">
        <v>2725</v>
      </c>
      <c r="L156" s="73">
        <f>'Bid 3b'!F907</f>
        <v>420000000</v>
      </c>
      <c r="M156" s="1"/>
      <c r="N156" s="1"/>
    </row>
    <row r="157" spans="1:14" ht="60" x14ac:dyDescent="0.25">
      <c r="A157" s="1"/>
      <c r="B157" s="1"/>
      <c r="C157" s="1" t="s">
        <v>3199</v>
      </c>
      <c r="D157" s="4" t="str">
        <f>'Bid 3b'!B957</f>
        <v>: Pelatihan Pembinaan Lembaga Kemasyarakatan (Bulan bakti Gotong royong LPM)</v>
      </c>
      <c r="E157" s="1"/>
      <c r="F157" s="1"/>
      <c r="G157" s="999">
        <v>1</v>
      </c>
      <c r="H157" s="4" t="s">
        <v>1012</v>
      </c>
      <c r="I157" s="1"/>
      <c r="J157" s="1" t="s">
        <v>2674</v>
      </c>
      <c r="K157" s="1" t="s">
        <v>2725</v>
      </c>
      <c r="L157" s="73">
        <f>'Bid 3b'!F1075</f>
        <v>121004000</v>
      </c>
      <c r="M157" s="1"/>
      <c r="N157" s="1"/>
    </row>
    <row r="158" spans="1:14" ht="60" x14ac:dyDescent="0.25">
      <c r="A158" s="1"/>
      <c r="B158" s="1"/>
      <c r="C158" s="1" t="s">
        <v>3199</v>
      </c>
      <c r="D158" s="4" t="str">
        <f>'Bid 3b'!B1088</f>
        <v>: Pembinaan LKMD / LPM / LPMD (Pelatihan LPM)</v>
      </c>
      <c r="E158" s="1"/>
      <c r="F158" s="1"/>
      <c r="G158" s="999">
        <v>1</v>
      </c>
      <c r="H158" s="4" t="s">
        <v>1012</v>
      </c>
      <c r="I158" s="1"/>
      <c r="J158" s="1" t="s">
        <v>2674</v>
      </c>
      <c r="K158" s="1" t="s">
        <v>2725</v>
      </c>
      <c r="L158" s="73">
        <f>'Bid 3b'!F1114</f>
        <v>11598584.66</v>
      </c>
      <c r="M158" s="1"/>
      <c r="N158" s="1"/>
    </row>
    <row r="159" spans="1:14" ht="60" x14ac:dyDescent="0.25">
      <c r="A159" s="1"/>
      <c r="B159" s="1"/>
      <c r="C159" s="1" t="s">
        <v>3200</v>
      </c>
      <c r="D159" s="4" t="str">
        <f>'Bid 3b'!B1127</f>
        <v>: Pembinaan PKK  ( Pembinaan Administrasi dan Pokja PKK Desa  )</v>
      </c>
      <c r="E159" s="1"/>
      <c r="F159" s="1"/>
      <c r="G159" s="999">
        <v>1</v>
      </c>
      <c r="H159" s="4" t="s">
        <v>1012</v>
      </c>
      <c r="I159" s="1"/>
      <c r="J159" s="1" t="s">
        <v>2674</v>
      </c>
      <c r="K159" s="1" t="s">
        <v>2725</v>
      </c>
      <c r="L159" s="73">
        <f>'Bid 3b'!F1152</f>
        <v>68435000</v>
      </c>
      <c r="M159" s="1"/>
      <c r="N159" s="1"/>
    </row>
    <row r="160" spans="1:14" ht="60" x14ac:dyDescent="0.25">
      <c r="A160" s="1"/>
      <c r="B160" s="1"/>
      <c r="C160" s="1" t="s">
        <v>3201</v>
      </c>
      <c r="D160" s="4" t="str">
        <f>'Bid 3b'!B1167</f>
        <v>:Pelatihan Pembinaan Lembaga Kemasyarakatan (Input data  Dasawisma)</v>
      </c>
      <c r="E160" s="1"/>
      <c r="F160" s="1"/>
      <c r="G160" s="999">
        <v>1</v>
      </c>
      <c r="H160" s="4" t="s">
        <v>1012</v>
      </c>
      <c r="I160" s="1"/>
      <c r="J160" s="1" t="s">
        <v>2674</v>
      </c>
      <c r="K160" s="1" t="s">
        <v>2725</v>
      </c>
      <c r="L160" s="73">
        <f>'Bid 3b'!F1195</f>
        <v>11628000</v>
      </c>
      <c r="M160" s="1"/>
      <c r="N160" s="1"/>
    </row>
    <row r="161" spans="1:15" x14ac:dyDescent="0.25">
      <c r="A161" s="2226" t="s">
        <v>1120</v>
      </c>
      <c r="B161" s="2227"/>
      <c r="C161" s="2227"/>
      <c r="D161" s="2227"/>
      <c r="E161" s="2227"/>
      <c r="F161" s="2227"/>
      <c r="G161" s="2227"/>
      <c r="H161" s="2227"/>
      <c r="I161" s="2227"/>
      <c r="J161" s="2227"/>
      <c r="K161" s="2228"/>
      <c r="L161" s="73">
        <f>SUM(L135:L160)</f>
        <v>4158795716.8400002</v>
      </c>
      <c r="M161" s="1"/>
      <c r="N161" s="1"/>
    </row>
    <row r="162" spans="1:15" ht="60" x14ac:dyDescent="0.25">
      <c r="A162" s="1"/>
      <c r="B162" s="4" t="str">
        <f>'BID 4 b'!B5</f>
        <v>: Pemberdayaan Masyarakat Desa</v>
      </c>
      <c r="C162" s="1" t="s">
        <v>3202</v>
      </c>
      <c r="D162" s="4" t="str">
        <f>'BID 4 b'!B7</f>
        <v>: Pemeliharaan Karamba/Kolam Perikanan Darat  (Pelatihan Kelompok Lele)</v>
      </c>
      <c r="E162" s="1"/>
      <c r="F162" s="1"/>
      <c r="G162" s="999">
        <v>1</v>
      </c>
      <c r="H162" s="4" t="s">
        <v>1012</v>
      </c>
      <c r="I162" s="1"/>
      <c r="J162" s="1" t="s">
        <v>2674</v>
      </c>
      <c r="K162" s="1" t="s">
        <v>2725</v>
      </c>
      <c r="L162" s="73">
        <f>'BID 4 b'!F49</f>
        <v>175300000</v>
      </c>
      <c r="M162" s="1"/>
      <c r="N162" s="1"/>
    </row>
    <row r="163" spans="1:15" ht="60" x14ac:dyDescent="0.25">
      <c r="A163" s="1"/>
      <c r="B163" s="1"/>
      <c r="C163" s="1" t="s">
        <v>3203</v>
      </c>
      <c r="D163" s="4" t="str">
        <f>'BID 4 b'!B62</f>
        <v>: Peningkatan Produksi Tanaman Pangan (Pelatihan Pembuatan Media Tanam)</v>
      </c>
      <c r="E163" s="1"/>
      <c r="F163" s="1"/>
      <c r="G163" s="999">
        <v>1</v>
      </c>
      <c r="H163" s="4" t="s">
        <v>1012</v>
      </c>
      <c r="I163" s="1"/>
      <c r="J163" s="1" t="s">
        <v>2674</v>
      </c>
      <c r="K163" s="1" t="s">
        <v>2725</v>
      </c>
      <c r="L163" s="73">
        <f>'BID 4 b'!F101</f>
        <v>32421000</v>
      </c>
      <c r="M163" s="1"/>
      <c r="N163" s="1"/>
    </row>
    <row r="164" spans="1:15" ht="60" x14ac:dyDescent="0.25">
      <c r="A164" s="1"/>
      <c r="B164" s="1"/>
      <c r="C164" s="1" t="s">
        <v>3204</v>
      </c>
      <c r="D164" s="4" t="str">
        <f>'BID 4 b'!B113</f>
        <v>:Peningkatan Produksi Peternakan (Ternak Ayam Caru)</v>
      </c>
      <c r="E164" s="1"/>
      <c r="F164" s="1"/>
      <c r="G164" s="999">
        <v>1</v>
      </c>
      <c r="H164" s="4" t="s">
        <v>1012</v>
      </c>
      <c r="I164" s="1"/>
      <c r="J164" s="1" t="s">
        <v>2674</v>
      </c>
      <c r="K164" s="1" t="s">
        <v>2725</v>
      </c>
      <c r="L164" s="73">
        <f>'BID 4 b'!F147</f>
        <v>0</v>
      </c>
      <c r="M164" s="1"/>
      <c r="N164" s="1"/>
    </row>
    <row r="165" spans="1:15" ht="60" x14ac:dyDescent="0.25">
      <c r="A165" s="1"/>
      <c r="B165" s="1"/>
      <c r="C165" s="1" t="s">
        <v>3204</v>
      </c>
      <c r="D165" s="4" t="str">
        <f>'BID 4 b'!B160</f>
        <v>: Peningkatan Produksi Peternakan (Pelatihan Kelompok Usaha Telur Asin)</v>
      </c>
      <c r="E165" s="1"/>
      <c r="F165" s="1"/>
      <c r="G165" s="999">
        <v>1</v>
      </c>
      <c r="H165" s="4" t="s">
        <v>1012</v>
      </c>
      <c r="I165" s="1"/>
      <c r="J165" s="1" t="s">
        <v>2674</v>
      </c>
      <c r="K165" s="1" t="s">
        <v>2725</v>
      </c>
      <c r="L165" s="73">
        <f>'BID 4 b'!F204</f>
        <v>49386000</v>
      </c>
      <c r="M165" s="1"/>
      <c r="N165" s="1"/>
    </row>
    <row r="166" spans="1:15" ht="60" x14ac:dyDescent="0.25">
      <c r="A166" s="1"/>
      <c r="B166" s="1"/>
      <c r="C166" s="1" t="s">
        <v>3205</v>
      </c>
      <c r="D166" s="4" t="str">
        <f>'BID 4 b'!B217</f>
        <v>: Penguatan Ketahanan Pangan Tingkat Desa (Pelatihan Pengolahan Tanah)</v>
      </c>
      <c r="E166" s="1"/>
      <c r="F166" s="1"/>
      <c r="G166" s="999">
        <v>1</v>
      </c>
      <c r="H166" s="4" t="s">
        <v>1012</v>
      </c>
      <c r="I166" s="1"/>
      <c r="J166" s="1" t="s">
        <v>2674</v>
      </c>
      <c r="K166" s="1" t="s">
        <v>2725</v>
      </c>
      <c r="L166" s="73">
        <f>'BID 4 b'!F258</f>
        <v>256897500</v>
      </c>
      <c r="M166" s="1"/>
      <c r="N166" s="1"/>
    </row>
    <row r="167" spans="1:15" ht="60" x14ac:dyDescent="0.25">
      <c r="A167" s="1"/>
      <c r="B167" s="1"/>
      <c r="C167" s="1" t="s">
        <v>3205</v>
      </c>
      <c r="D167" s="4" t="str">
        <f>'BID 4 b'!B271</f>
        <v>: Penguatan Ketahanan Pangan Tingkat Desa (Penanaman Cabe, Terong dan Tomat)</v>
      </c>
      <c r="E167" s="1"/>
      <c r="F167" s="1"/>
      <c r="G167" s="999">
        <v>1</v>
      </c>
      <c r="H167" s="4" t="s">
        <v>1012</v>
      </c>
      <c r="I167" s="1"/>
      <c r="J167" s="1" t="s">
        <v>2674</v>
      </c>
      <c r="K167" s="1" t="s">
        <v>2725</v>
      </c>
      <c r="L167" s="73">
        <f>'BID 4 b'!F308</f>
        <v>28606000</v>
      </c>
      <c r="M167" s="1"/>
      <c r="N167" s="1"/>
    </row>
    <row r="168" spans="1:15" ht="60" x14ac:dyDescent="0.25">
      <c r="A168" s="1"/>
      <c r="B168" s="1"/>
      <c r="C168" s="1" t="s">
        <v>3205</v>
      </c>
      <c r="D168" s="4" t="str">
        <f>'BID 4 b'!B321</f>
        <v>: Penguatan Ketahanan Pangan Tingkat Desa (Pelatihan Kelompok Pekarangan Pangan Bergizi)</v>
      </c>
      <c r="E168" s="1"/>
      <c r="F168" s="1"/>
      <c r="G168" s="999">
        <v>1</v>
      </c>
      <c r="H168" s="4" t="s">
        <v>1012</v>
      </c>
      <c r="I168" s="1"/>
      <c r="J168" s="1" t="s">
        <v>2674</v>
      </c>
      <c r="K168" s="1" t="s">
        <v>2725</v>
      </c>
      <c r="L168" s="73">
        <f>'BID 4 b'!F364</f>
        <v>208355000</v>
      </c>
      <c r="M168" s="1"/>
      <c r="N168" s="1"/>
    </row>
    <row r="169" spans="1:15" s="96" customFormat="1" ht="60" x14ac:dyDescent="0.25">
      <c r="A169" s="865"/>
      <c r="B169" s="865"/>
      <c r="C169" s="1" t="s">
        <v>3206</v>
      </c>
      <c r="D169" s="1061" t="str">
        <f>'BID 4 b'!B613</f>
        <v>: Perbaikan Saluran Cacing Subak Taman, Munduk Njung</v>
      </c>
      <c r="E169" s="865"/>
      <c r="F169" s="865"/>
      <c r="G169" s="1062">
        <v>1</v>
      </c>
      <c r="H169" s="1061" t="s">
        <v>1012</v>
      </c>
      <c r="I169" s="865" t="s">
        <v>3076</v>
      </c>
      <c r="J169" s="865" t="s">
        <v>2674</v>
      </c>
      <c r="K169" s="865" t="s">
        <v>2725</v>
      </c>
      <c r="L169" s="1063">
        <f>'BID 4 b'!F644</f>
        <v>174913159.90299824</v>
      </c>
      <c r="M169" s="865"/>
      <c r="N169" s="865"/>
      <c r="O169" s="963"/>
    </row>
    <row r="170" spans="1:15" ht="60" x14ac:dyDescent="0.25">
      <c r="A170" s="1"/>
      <c r="B170" s="1"/>
      <c r="C170" s="1" t="s">
        <v>3206</v>
      </c>
      <c r="D170" s="4" t="str">
        <f>'BID 4 b'!B426</f>
        <v>: Pembangunan Jalan Usaha Tani (SALURAN Tersier Munduk Pengiung )</v>
      </c>
      <c r="E170" s="1"/>
      <c r="F170" s="1"/>
      <c r="G170" s="999">
        <v>1</v>
      </c>
      <c r="H170" s="4" t="s">
        <v>1012</v>
      </c>
      <c r="I170" s="1" t="s">
        <v>3070</v>
      </c>
      <c r="J170" s="1" t="s">
        <v>2674</v>
      </c>
      <c r="K170" s="1" t="s">
        <v>2725</v>
      </c>
      <c r="L170" s="73">
        <f>'BID 4 b'!F442</f>
        <v>443200</v>
      </c>
      <c r="M170" s="1"/>
      <c r="N170" s="1"/>
    </row>
    <row r="171" spans="1:15" ht="60" x14ac:dyDescent="0.25">
      <c r="A171" s="1"/>
      <c r="B171" s="1"/>
      <c r="C171" s="1" t="s">
        <v>3206</v>
      </c>
      <c r="D171" s="4" t="str">
        <f>'BID 4 b'!B451</f>
        <v>: Pembangunan Jalan Usaha Tani (SALURAN Tersier Munduk Pengiung )</v>
      </c>
      <c r="E171" s="1"/>
      <c r="F171" s="1"/>
      <c r="G171" s="999">
        <v>1</v>
      </c>
      <c r="H171" s="4" t="s">
        <v>1012</v>
      </c>
      <c r="I171" s="1" t="s">
        <v>3071</v>
      </c>
      <c r="J171" s="1" t="s">
        <v>2674</v>
      </c>
      <c r="K171" s="1" t="s">
        <v>2725</v>
      </c>
      <c r="L171" s="73">
        <f>'BID 4 b'!F467</f>
        <v>6575400</v>
      </c>
      <c r="M171" s="1"/>
      <c r="N171" s="1"/>
    </row>
    <row r="172" spans="1:15" ht="60" x14ac:dyDescent="0.25">
      <c r="A172" s="1"/>
      <c r="B172" s="1"/>
      <c r="C172" s="1" t="s">
        <v>3206</v>
      </c>
      <c r="D172" s="4" t="str">
        <f>'BID 4 b'!B477</f>
        <v>: Pembangunan Jalan Usaha Tani (SALURAN Tersier Munduk Pengiung )</v>
      </c>
      <c r="E172" s="1"/>
      <c r="F172" s="1"/>
      <c r="G172" s="999">
        <v>1</v>
      </c>
      <c r="H172" s="4" t="s">
        <v>1012</v>
      </c>
      <c r="I172" s="1" t="s">
        <v>3072</v>
      </c>
      <c r="J172" s="1" t="s">
        <v>2674</v>
      </c>
      <c r="K172" s="1" t="s">
        <v>2725</v>
      </c>
      <c r="L172" s="73">
        <f>'BID 4 b'!F501</f>
        <v>9048420</v>
      </c>
      <c r="M172" s="1"/>
      <c r="N172" s="1"/>
    </row>
    <row r="173" spans="1:15" ht="60" x14ac:dyDescent="0.25">
      <c r="A173" s="1"/>
      <c r="B173" s="1"/>
      <c r="C173" s="1" t="s">
        <v>3206</v>
      </c>
      <c r="D173" s="4" t="str">
        <f>'BID 4 b'!B511</f>
        <v>: Pembangunan Jalan Usaha Tani (SALURAN Tersier Munduk Pengiung )</v>
      </c>
      <c r="E173" s="1"/>
      <c r="F173" s="1"/>
      <c r="G173" s="999">
        <v>1</v>
      </c>
      <c r="H173" s="4" t="s">
        <v>1012</v>
      </c>
      <c r="I173" s="1" t="s">
        <v>3073</v>
      </c>
      <c r="J173" s="1" t="s">
        <v>2674</v>
      </c>
      <c r="K173" s="1" t="s">
        <v>2725</v>
      </c>
      <c r="L173" s="73">
        <f>'BID 4 b'!F532</f>
        <v>30893960</v>
      </c>
      <c r="M173" s="1"/>
      <c r="N173" s="1"/>
    </row>
    <row r="174" spans="1:15" ht="60" x14ac:dyDescent="0.25">
      <c r="A174" s="1"/>
      <c r="B174" s="1"/>
      <c r="C174" s="1" t="s">
        <v>3206</v>
      </c>
      <c r="D174" s="4" t="str">
        <f>'BID 4 b'!B544</f>
        <v>: Pembangunan Jalan Usaha Tani (SALURAN Tersier Munduk Pengiung )</v>
      </c>
      <c r="E174" s="1"/>
      <c r="F174" s="1"/>
      <c r="G174" s="999">
        <v>1</v>
      </c>
      <c r="H174" s="4" t="s">
        <v>1012</v>
      </c>
      <c r="I174" s="1" t="s">
        <v>3074</v>
      </c>
      <c r="J174" s="1" t="s">
        <v>2674</v>
      </c>
      <c r="K174" s="1" t="s">
        <v>2725</v>
      </c>
      <c r="L174" s="73">
        <f>'BID 4 b'!F567</f>
        <v>42873200</v>
      </c>
      <c r="M174" s="1"/>
      <c r="N174" s="1"/>
    </row>
    <row r="175" spans="1:15" ht="60" x14ac:dyDescent="0.25">
      <c r="A175" s="1"/>
      <c r="B175" s="1"/>
      <c r="C175" s="1" t="s">
        <v>3206</v>
      </c>
      <c r="D175" s="4" t="str">
        <f>'BID 4 b'!B578</f>
        <v>: Pembangunan Jalan Usaha Tani (SALURAN Tersier Munduk Pengiung )</v>
      </c>
      <c r="E175" s="1"/>
      <c r="F175" s="1"/>
      <c r="G175" s="999">
        <v>1</v>
      </c>
      <c r="H175" s="4" t="s">
        <v>1012</v>
      </c>
      <c r="I175" s="1" t="s">
        <v>3075</v>
      </c>
      <c r="J175" s="1" t="s">
        <v>2674</v>
      </c>
      <c r="K175" s="1" t="s">
        <v>2725</v>
      </c>
      <c r="L175" s="73">
        <f>'BID 4 b'!F604</f>
        <v>60820000</v>
      </c>
      <c r="M175" s="1"/>
      <c r="N175" s="1"/>
    </row>
    <row r="176" spans="1:15" ht="60" x14ac:dyDescent="0.25">
      <c r="A176" s="1"/>
      <c r="B176" s="1"/>
      <c r="C176" s="1" t="s">
        <v>3207</v>
      </c>
      <c r="D176" s="4" t="str">
        <f>'BID 4 b'!B658</f>
        <v>:Pengembangan Sarana Prasarana Usaha Mikro, Kecil, Menengah (Pelatihan Kelompok Tukang Jahit)</v>
      </c>
      <c r="E176" s="1"/>
      <c r="F176" s="1"/>
      <c r="G176" s="999">
        <v>1</v>
      </c>
      <c r="H176" s="4" t="s">
        <v>1012</v>
      </c>
      <c r="I176" s="1"/>
      <c r="J176" s="1" t="s">
        <v>2674</v>
      </c>
      <c r="K176" s="1" t="s">
        <v>2725</v>
      </c>
      <c r="L176" s="73">
        <f>'BID 4 b'!F695</f>
        <v>197413000</v>
      </c>
      <c r="M176" s="1"/>
      <c r="N176" s="1"/>
    </row>
    <row r="177" spans="1:14" ht="60" x14ac:dyDescent="0.25">
      <c r="A177" s="1"/>
      <c r="B177" s="1"/>
      <c r="C177" s="1" t="s">
        <v>3207</v>
      </c>
      <c r="D177" s="4" t="str">
        <f>'BID 4 b'!B708</f>
        <v>: Pengembangan Sarana Prasarana Usaha Mikro, Kecil, Menengah (Pelatihan Kelompok Pengrajin Pisau)</v>
      </c>
      <c r="E177" s="1"/>
      <c r="F177" s="1"/>
      <c r="G177" s="999">
        <v>1</v>
      </c>
      <c r="H177" s="4" t="s">
        <v>1012</v>
      </c>
      <c r="I177" s="1"/>
      <c r="J177" s="1" t="s">
        <v>2674</v>
      </c>
      <c r="K177" s="1" t="s">
        <v>2725</v>
      </c>
      <c r="L177" s="73">
        <f>'BID 4 b'!F748</f>
        <v>58837000</v>
      </c>
      <c r="M177" s="1"/>
      <c r="N177" s="1"/>
    </row>
    <row r="178" spans="1:14" ht="75" x14ac:dyDescent="0.25">
      <c r="A178" s="1"/>
      <c r="B178" s="1"/>
      <c r="C178" s="1" t="s">
        <v>3208</v>
      </c>
      <c r="D178" s="4" t="str">
        <f>'BID 4 b'!B762</f>
        <v>: /Pelatihan/Pendampingan kelompok usaha ekonomi produktif (Pelatihan Kelompok Usaha Kerupuk Beras)</v>
      </c>
      <c r="E178" s="1"/>
      <c r="F178" s="1"/>
      <c r="G178" s="999">
        <v>1</v>
      </c>
      <c r="H178" s="4" t="s">
        <v>1012</v>
      </c>
      <c r="I178" s="1"/>
      <c r="J178" s="1" t="s">
        <v>2674</v>
      </c>
      <c r="K178" s="1" t="s">
        <v>2725</v>
      </c>
      <c r="L178" s="73">
        <f>'BID 4 b'!F810</f>
        <v>66443000</v>
      </c>
      <c r="M178" s="1"/>
      <c r="N178" s="1"/>
    </row>
    <row r="179" spans="1:14" ht="60" x14ac:dyDescent="0.25">
      <c r="A179" s="1"/>
      <c r="B179" s="1"/>
      <c r="C179" s="1" t="s">
        <v>3208</v>
      </c>
      <c r="D179" s="4" t="str">
        <f>'BID 4 b'!B823</f>
        <v>:Pelatihan/Pendampingan kelompok usaha ekonomi produktif (Pelatihan Kelompok Jajan Bali)</v>
      </c>
      <c r="E179" s="1"/>
      <c r="F179" s="1"/>
      <c r="G179" s="999">
        <v>1</v>
      </c>
      <c r="H179" s="4" t="s">
        <v>1012</v>
      </c>
      <c r="I179" s="1"/>
      <c r="J179" s="1" t="s">
        <v>2674</v>
      </c>
      <c r="K179" s="1" t="s">
        <v>2725</v>
      </c>
      <c r="L179" s="73">
        <f>'BID 4 b'!F869</f>
        <v>156463000</v>
      </c>
      <c r="M179" s="1"/>
      <c r="N179" s="1"/>
    </row>
    <row r="180" spans="1:14" ht="60" x14ac:dyDescent="0.25">
      <c r="A180" s="1"/>
      <c r="B180" s="1"/>
      <c r="C180" s="1" t="s">
        <v>3209</v>
      </c>
      <c r="D180" s="4" t="str">
        <f>'BID 4 b'!B938</f>
        <v>: Pelatihan Tim Verifikasi dan penyusunan RKP ( Pelatihan Penysunan RKPDes)</v>
      </c>
      <c r="E180" s="1"/>
      <c r="F180" s="1"/>
      <c r="G180" s="999">
        <v>1</v>
      </c>
      <c r="H180" s="4" t="s">
        <v>1012</v>
      </c>
      <c r="I180" s="1"/>
      <c r="J180" s="1" t="s">
        <v>2674</v>
      </c>
      <c r="K180" s="1" t="s">
        <v>2725</v>
      </c>
      <c r="L180" s="73">
        <f>'BID 4 b'!F959</f>
        <v>1380000</v>
      </c>
      <c r="M180" s="1"/>
      <c r="N180" s="1"/>
    </row>
    <row r="181" spans="1:14" ht="60" x14ac:dyDescent="0.25">
      <c r="A181" s="1"/>
      <c r="B181" s="1"/>
      <c r="C181" s="1" t="s">
        <v>3209</v>
      </c>
      <c r="D181" s="1" t="str">
        <f>'BID 4 b'!B975</f>
        <v>: Pelatihan Perangkat Desa</v>
      </c>
      <c r="E181" s="1"/>
      <c r="F181" s="1"/>
      <c r="G181" s="999">
        <v>1</v>
      </c>
      <c r="H181" s="4" t="s">
        <v>1012</v>
      </c>
      <c r="I181" s="1"/>
      <c r="J181" s="1" t="s">
        <v>2674</v>
      </c>
      <c r="K181" s="1" t="s">
        <v>2725</v>
      </c>
      <c r="L181" s="73">
        <f>'BID 4 b'!F995</f>
        <v>40000000</v>
      </c>
      <c r="M181" s="1"/>
      <c r="N181" s="1"/>
    </row>
    <row r="182" spans="1:14" ht="60" x14ac:dyDescent="0.25">
      <c r="A182" s="1"/>
      <c r="B182" s="1"/>
      <c r="C182" s="1" t="s">
        <v>3210</v>
      </c>
      <c r="D182" s="1" t="str">
        <f>'BID 4 b'!B1011</f>
        <v>: Peningkatan Kapasitas BPD</v>
      </c>
      <c r="E182" s="1"/>
      <c r="F182" s="1"/>
      <c r="G182" s="999">
        <v>1</v>
      </c>
      <c r="H182" s="4" t="s">
        <v>1012</v>
      </c>
      <c r="I182" s="1"/>
      <c r="J182" s="1" t="s">
        <v>2674</v>
      </c>
      <c r="K182" s="1" t="s">
        <v>2725</v>
      </c>
      <c r="L182" s="73">
        <f>'BID 4 b'!F1037</f>
        <v>16220000</v>
      </c>
      <c r="M182" s="1"/>
      <c r="N182" s="1"/>
    </row>
    <row r="183" spans="1:14" ht="60" x14ac:dyDescent="0.25">
      <c r="A183" s="1"/>
      <c r="B183" s="1"/>
      <c r="C183" s="1" t="s">
        <v>3209</v>
      </c>
      <c r="D183" s="4" t="str">
        <f>'BID 4 b'!B1051</f>
        <v>: Pelatihan PKPKD, PPKD dan TPK</v>
      </c>
      <c r="E183" s="1"/>
      <c r="F183" s="1"/>
      <c r="G183" s="999">
        <v>1</v>
      </c>
      <c r="H183" s="4" t="s">
        <v>1012</v>
      </c>
      <c r="I183" s="1"/>
      <c r="J183" s="1" t="s">
        <v>2674</v>
      </c>
      <c r="K183" s="1" t="s">
        <v>2725</v>
      </c>
      <c r="L183" s="73">
        <f>'BID 4 b'!F1074</f>
        <v>1955204.83</v>
      </c>
      <c r="M183" s="1"/>
      <c r="N183" s="1"/>
    </row>
    <row r="184" spans="1:14" ht="60" x14ac:dyDescent="0.25">
      <c r="A184" s="1"/>
      <c r="B184" s="1"/>
      <c r="C184" s="1" t="s">
        <v>3211</v>
      </c>
      <c r="D184" s="4" t="str">
        <f>'BID 4 b'!B1089</f>
        <v xml:space="preserve">: Pembinaan Kelompok P2WKSS  </v>
      </c>
      <c r="E184" s="1"/>
      <c r="F184" s="1"/>
      <c r="G184" s="999">
        <v>1</v>
      </c>
      <c r="H184" s="4" t="s">
        <v>1012</v>
      </c>
      <c r="I184" s="1"/>
      <c r="J184" s="1" t="s">
        <v>2674</v>
      </c>
      <c r="K184" s="1" t="s">
        <v>2725</v>
      </c>
      <c r="L184" s="73">
        <f>'BID 4 b'!F1108</f>
        <v>1820000</v>
      </c>
      <c r="M184" s="1"/>
      <c r="N184" s="1"/>
    </row>
    <row r="185" spans="1:14" ht="90" x14ac:dyDescent="0.25">
      <c r="A185" s="1"/>
      <c r="B185" s="1"/>
      <c r="C185" s="1" t="s">
        <v>3211</v>
      </c>
      <c r="D185" s="4" t="str">
        <f>'BID 4 b'!B1122</f>
        <v>: Pelatihan dan Penyuluhan Pemberdayaan Perempuan Pembinaan Kelompok UP2K (Pelatihan Tatarias dan Mesanggul Kelompok Krisnananda)</v>
      </c>
      <c r="E185" s="1"/>
      <c r="F185" s="1"/>
      <c r="G185" s="999">
        <v>1</v>
      </c>
      <c r="H185" s="4" t="s">
        <v>1012</v>
      </c>
      <c r="I185" s="1"/>
      <c r="J185" s="1" t="s">
        <v>2674</v>
      </c>
      <c r="K185" s="1" t="s">
        <v>2725</v>
      </c>
      <c r="L185" s="73">
        <f>'BID 4 b'!F1168</f>
        <v>41485000</v>
      </c>
      <c r="M185" s="1"/>
      <c r="N185" s="1"/>
    </row>
    <row r="186" spans="1:14" ht="60" x14ac:dyDescent="0.25">
      <c r="A186" s="1"/>
      <c r="B186" s="1"/>
      <c r="C186" s="1" t="s">
        <v>3211</v>
      </c>
      <c r="D186" s="4" t="str">
        <f>'BID 4 b'!B1181</f>
        <v>: Pelatihan dan Penyuluhan Pemberdayaan Perempuan Pembinaan WHDI</v>
      </c>
      <c r="E186" s="1"/>
      <c r="F186" s="1"/>
      <c r="G186" s="999">
        <v>1</v>
      </c>
      <c r="H186" s="4" t="s">
        <v>1012</v>
      </c>
      <c r="I186" s="1"/>
      <c r="J186" s="1" t="s">
        <v>2674</v>
      </c>
      <c r="K186" s="1" t="s">
        <v>2725</v>
      </c>
      <c r="L186" s="73">
        <f>'BID 4 b'!F1256</f>
        <v>9688000</v>
      </c>
      <c r="M186" s="1"/>
      <c r="N186" s="1"/>
    </row>
    <row r="187" spans="1:14" ht="51" customHeight="1" x14ac:dyDescent="0.25">
      <c r="A187" s="1"/>
      <c r="B187" s="1"/>
      <c r="C187" s="1" t="s">
        <v>3211</v>
      </c>
      <c r="D187" s="4" t="str">
        <f>'BID 4 b'!B1270</f>
        <v>: Pelatihan dan Penyuluhan Pemberdayaan Perempuan Pembinaan PHDI</v>
      </c>
      <c r="E187" s="1"/>
      <c r="F187" s="1"/>
      <c r="G187" s="999">
        <v>1</v>
      </c>
      <c r="H187" s="4" t="s">
        <v>1012</v>
      </c>
      <c r="I187" s="1"/>
      <c r="J187" s="1" t="s">
        <v>2674</v>
      </c>
      <c r="K187" s="1" t="s">
        <v>2725</v>
      </c>
      <c r="L187" s="73">
        <f>'BID 4 b'!F1292</f>
        <v>1915000</v>
      </c>
      <c r="M187" s="1"/>
      <c r="N187" s="1"/>
    </row>
    <row r="188" spans="1:14" ht="75" x14ac:dyDescent="0.25">
      <c r="A188" s="1"/>
      <c r="B188" s="1"/>
      <c r="C188" s="1" t="s">
        <v>3212</v>
      </c>
      <c r="D188" s="4" t="str">
        <f>'BID 4 b'!B1305</f>
        <v>: Pengembangan sarana dan prasarana usaha mikro, kecil dan menengah serta koprasi  (Pelatihan Management BUMDes)</v>
      </c>
      <c r="E188" s="1"/>
      <c r="F188" s="1"/>
      <c r="G188" s="999">
        <v>1</v>
      </c>
      <c r="H188" s="4" t="s">
        <v>1012</v>
      </c>
      <c r="I188" s="1"/>
      <c r="J188" s="1" t="s">
        <v>2674</v>
      </c>
      <c r="K188" s="1" t="s">
        <v>2725</v>
      </c>
      <c r="L188" s="73">
        <f>'BID 4 b'!F1331</f>
        <v>13855000</v>
      </c>
      <c r="M188" s="1"/>
      <c r="N188" s="1"/>
    </row>
    <row r="189" spans="1:14" ht="60" x14ac:dyDescent="0.25">
      <c r="A189" s="1"/>
      <c r="B189" s="1"/>
      <c r="C189" s="4" t="s">
        <v>3213</v>
      </c>
      <c r="D189" s="4" t="str">
        <f>'BID 4 b'!B1376</f>
        <v>: Penyediaan Jaring Pengaman Sosial (BLT DD)</v>
      </c>
      <c r="E189" s="1"/>
      <c r="F189" s="1"/>
      <c r="G189" s="999">
        <v>1</v>
      </c>
      <c r="H189" s="4" t="s">
        <v>1012</v>
      </c>
      <c r="I189" s="1"/>
      <c r="J189" s="1" t="s">
        <v>2674</v>
      </c>
      <c r="K189" s="1" t="s">
        <v>2725</v>
      </c>
      <c r="L189" s="73">
        <f>'BID 4 b'!F1388</f>
        <v>0</v>
      </c>
      <c r="M189" s="1"/>
      <c r="N189" s="1"/>
    </row>
    <row r="190" spans="1:14" x14ac:dyDescent="0.25">
      <c r="A190" s="2226" t="s">
        <v>1121</v>
      </c>
      <c r="B190" s="2227"/>
      <c r="C190" s="2227"/>
      <c r="D190" s="2227"/>
      <c r="E190" s="2227"/>
      <c r="F190" s="2227"/>
      <c r="G190" s="2227"/>
      <c r="H190" s="2227"/>
      <c r="I190" s="2227"/>
      <c r="J190" s="2227"/>
      <c r="K190" s="2228"/>
      <c r="L190" s="73">
        <f>SUM(L162:L189)</f>
        <v>1684007044.7329981</v>
      </c>
      <c r="M190" s="1"/>
      <c r="N190" s="1"/>
    </row>
    <row r="191" spans="1:14" x14ac:dyDescent="0.25">
      <c r="A191" s="2225" t="s">
        <v>3110</v>
      </c>
      <c r="B191" s="2225"/>
      <c r="C191" s="2225"/>
      <c r="D191" s="2225"/>
      <c r="E191" s="2225"/>
      <c r="F191" s="2225"/>
      <c r="G191" s="2225"/>
      <c r="H191" s="2225"/>
      <c r="I191" s="2225"/>
      <c r="J191" s="2225"/>
      <c r="K191" s="2225"/>
      <c r="L191" s="73" t="e">
        <f>L190+L161+L56+L134</f>
        <v>#REF!</v>
      </c>
      <c r="M191" s="1"/>
      <c r="N191" s="1"/>
    </row>
    <row r="192" spans="1:14" x14ac:dyDescent="0.25">
      <c r="L192" s="68">
        <v>2400000000</v>
      </c>
    </row>
    <row r="193" spans="12:12" x14ac:dyDescent="0.25">
      <c r="L193" s="68">
        <v>2500000000</v>
      </c>
    </row>
    <row r="194" spans="12:12" x14ac:dyDescent="0.25">
      <c r="L194" s="68">
        <f>L192+L193</f>
        <v>4900000000</v>
      </c>
    </row>
    <row r="195" spans="12:12" x14ac:dyDescent="0.25">
      <c r="L195" s="68" t="e">
        <f>L191-L194</f>
        <v>#REF!</v>
      </c>
    </row>
    <row r="1048506" spans="11:11" x14ac:dyDescent="0.25">
      <c r="K1048506" s="1"/>
    </row>
  </sheetData>
  <mergeCells count="11">
    <mergeCell ref="A56:K56"/>
    <mergeCell ref="A134:K134"/>
    <mergeCell ref="A161:K161"/>
    <mergeCell ref="A190:K190"/>
    <mergeCell ref="A191:K191"/>
    <mergeCell ref="O9:O10"/>
    <mergeCell ref="A1:N1"/>
    <mergeCell ref="A2:N2"/>
    <mergeCell ref="B9:D9"/>
    <mergeCell ref="L9:M9"/>
    <mergeCell ref="N9:N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CFFC3-E8F3-4A97-AAD8-23FB48A0938F}">
  <dimension ref="A1:G61"/>
  <sheetViews>
    <sheetView topLeftCell="A31" workbookViewId="0">
      <selection activeCell="D41" sqref="D41"/>
    </sheetView>
  </sheetViews>
  <sheetFormatPr defaultRowHeight="15" x14ac:dyDescent="0.25"/>
  <cols>
    <col min="1" max="1" width="14.85546875" customWidth="1"/>
    <col min="2" max="2" width="15.28515625" bestFit="1" customWidth="1"/>
    <col min="3" max="3" width="14.28515625" bestFit="1" customWidth="1"/>
    <col min="4" max="4" width="19.42578125" customWidth="1"/>
    <col min="5" max="5" width="41.42578125" customWidth="1"/>
    <col min="6" max="6" width="18" customWidth="1"/>
    <col min="7" max="7" width="36" customWidth="1"/>
    <col min="8" max="26" width="73.42578125" customWidth="1"/>
  </cols>
  <sheetData>
    <row r="1" spans="1:7" ht="30" x14ac:dyDescent="0.25">
      <c r="A1" s="26" t="s">
        <v>3440</v>
      </c>
      <c r="B1" s="26" t="s">
        <v>3441</v>
      </c>
      <c r="C1" s="26" t="s">
        <v>3442</v>
      </c>
      <c r="D1" s="1548" t="s">
        <v>3463</v>
      </c>
      <c r="E1" s="1552" t="s">
        <v>3465</v>
      </c>
      <c r="F1" s="1552" t="s">
        <v>3473</v>
      </c>
    </row>
    <row r="2" spans="1:7" x14ac:dyDescent="0.25">
      <c r="A2" s="1" t="s">
        <v>3443</v>
      </c>
      <c r="B2" s="73">
        <v>5500000</v>
      </c>
      <c r="C2" s="999">
        <v>0.01</v>
      </c>
      <c r="D2" s="73">
        <f>C2*B2</f>
        <v>55000</v>
      </c>
      <c r="E2" s="23">
        <f>B2-D2</f>
        <v>5445000</v>
      </c>
    </row>
    <row r="3" spans="1:7" x14ac:dyDescent="0.25">
      <c r="A3" s="1" t="s">
        <v>3444</v>
      </c>
      <c r="B3" s="73">
        <v>3500000</v>
      </c>
      <c r="C3" s="999">
        <v>0.01</v>
      </c>
      <c r="D3" s="73">
        <f t="shared" ref="D3:D5" si="0">C3*B3</f>
        <v>35000</v>
      </c>
      <c r="E3" s="23">
        <f t="shared" ref="E3" si="1">B3-D3</f>
        <v>3465000</v>
      </c>
    </row>
    <row r="4" spans="1:7" x14ac:dyDescent="0.25">
      <c r="A4" s="1" t="s">
        <v>3445</v>
      </c>
      <c r="B4" s="73">
        <v>3499878.78</v>
      </c>
      <c r="C4" s="999">
        <v>0.01</v>
      </c>
      <c r="D4" s="73">
        <f t="shared" si="0"/>
        <v>34998.787799999998</v>
      </c>
      <c r="E4" s="23">
        <v>2900000</v>
      </c>
      <c r="F4" s="1555">
        <f>E4-34998.79</f>
        <v>2865001.21</v>
      </c>
      <c r="G4" s="68">
        <v>2865001.22</v>
      </c>
    </row>
    <row r="5" spans="1:7" x14ac:dyDescent="0.25">
      <c r="A5" s="1" t="s">
        <v>3446</v>
      </c>
      <c r="B5" s="73">
        <v>3499878.78</v>
      </c>
      <c r="C5" s="999">
        <v>0.01</v>
      </c>
      <c r="D5" s="73">
        <f t="shared" si="0"/>
        <v>34998.787799999998</v>
      </c>
      <c r="E5" s="23">
        <v>2900000</v>
      </c>
      <c r="F5" s="1555">
        <f>E5-D5</f>
        <v>2865001.2122</v>
      </c>
    </row>
    <row r="6" spans="1:7" ht="30" x14ac:dyDescent="0.25">
      <c r="A6" s="26" t="s">
        <v>3440</v>
      </c>
      <c r="B6" s="26" t="s">
        <v>3441</v>
      </c>
      <c r="C6" s="26" t="s">
        <v>3442</v>
      </c>
      <c r="D6" s="1548" t="s">
        <v>3464</v>
      </c>
    </row>
    <row r="7" spans="1:7" x14ac:dyDescent="0.25">
      <c r="A7" s="1" t="s">
        <v>3443</v>
      </c>
      <c r="B7" s="73">
        <v>5500000</v>
      </c>
      <c r="C7" s="1549">
        <v>0.04</v>
      </c>
      <c r="D7" s="73">
        <f>C7*B7</f>
        <v>220000</v>
      </c>
      <c r="F7">
        <v>34998.79</v>
      </c>
    </row>
    <row r="8" spans="1:7" x14ac:dyDescent="0.25">
      <c r="A8" s="1" t="s">
        <v>3444</v>
      </c>
      <c r="B8" s="73">
        <v>3500000</v>
      </c>
      <c r="C8" s="1549">
        <v>0.04</v>
      </c>
      <c r="D8" s="73">
        <f>C8*B8</f>
        <v>140000</v>
      </c>
    </row>
    <row r="9" spans="1:7" x14ac:dyDescent="0.25">
      <c r="A9" s="1" t="s">
        <v>3445</v>
      </c>
      <c r="B9" s="73">
        <v>3499878.78</v>
      </c>
      <c r="C9" s="1549">
        <v>0.04</v>
      </c>
      <c r="D9" s="73">
        <f t="shared" ref="D9:D10" si="2">C9*B9</f>
        <v>139995.15119999999</v>
      </c>
    </row>
    <row r="10" spans="1:7" x14ac:dyDescent="0.25">
      <c r="A10" s="1" t="s">
        <v>3446</v>
      </c>
      <c r="B10" s="73">
        <v>3499878.78</v>
      </c>
      <c r="C10" s="1549">
        <v>0.04</v>
      </c>
      <c r="D10" s="73">
        <f t="shared" si="2"/>
        <v>139995.15119999999</v>
      </c>
    </row>
    <row r="11" spans="1:7" x14ac:dyDescent="0.25">
      <c r="A11" s="1"/>
      <c r="B11" s="73"/>
      <c r="C11" s="999"/>
      <c r="D11" s="22"/>
    </row>
    <row r="12" spans="1:7" x14ac:dyDescent="0.25">
      <c r="A12" s="1"/>
      <c r="B12" s="73"/>
      <c r="C12" s="999"/>
      <c r="D12" s="22"/>
    </row>
    <row r="13" spans="1:7" ht="30" x14ac:dyDescent="0.25">
      <c r="A13" s="1548" t="s">
        <v>3447</v>
      </c>
      <c r="B13" s="1548" t="s">
        <v>3448</v>
      </c>
      <c r="C13" s="26" t="s">
        <v>3442</v>
      </c>
      <c r="D13" s="1548" t="s">
        <v>3449</v>
      </c>
    </row>
    <row r="14" spans="1:7" x14ac:dyDescent="0.25">
      <c r="A14" s="1" t="s">
        <v>3443</v>
      </c>
      <c r="B14" s="73">
        <v>14200000</v>
      </c>
      <c r="C14" s="1550">
        <v>6.2399999999999997E-2</v>
      </c>
      <c r="D14" s="22">
        <f>B14*C14</f>
        <v>886080</v>
      </c>
      <c r="E14" s="68">
        <v>1046228</v>
      </c>
      <c r="F14" s="68">
        <v>19700000</v>
      </c>
    </row>
    <row r="15" spans="1:7" x14ac:dyDescent="0.25">
      <c r="A15" s="1" t="s">
        <v>3444</v>
      </c>
      <c r="B15" s="73">
        <f>3500000+4500000</f>
        <v>8000000</v>
      </c>
      <c r="C15" s="1550">
        <v>6.2399999999999997E-2</v>
      </c>
      <c r="D15" s="22">
        <f>B15*C15</f>
        <v>499200</v>
      </c>
      <c r="E15" s="23"/>
      <c r="F15" s="23">
        <f>F14*C14</f>
        <v>1229280</v>
      </c>
    </row>
    <row r="16" spans="1:7" x14ac:dyDescent="0.25">
      <c r="A16" s="1" t="s">
        <v>3445</v>
      </c>
      <c r="B16" s="73">
        <f>2900000+2500000</f>
        <v>5400000</v>
      </c>
      <c r="C16" s="1550">
        <v>6.2399999999999997E-2</v>
      </c>
      <c r="D16" s="22">
        <f>B16*C16</f>
        <v>336960</v>
      </c>
    </row>
    <row r="17" spans="1:6" x14ac:dyDescent="0.25">
      <c r="A17" s="1" t="s">
        <v>3446</v>
      </c>
      <c r="B17" s="73">
        <f>2900000+2100000</f>
        <v>5000000</v>
      </c>
      <c r="C17" s="1550">
        <v>6.2399999999999997E-2</v>
      </c>
      <c r="D17" s="22">
        <f>B17*C17</f>
        <v>312000</v>
      </c>
      <c r="F17" s="139">
        <f>E14/F14</f>
        <v>5.3108020304568529E-2</v>
      </c>
    </row>
    <row r="18" spans="1:6" x14ac:dyDescent="0.25">
      <c r="A18" s="1" t="s">
        <v>1153</v>
      </c>
      <c r="B18" s="1"/>
      <c r="C18" s="1"/>
      <c r="D18" s="1"/>
      <c r="F18" s="23">
        <f>F17*100</f>
        <v>5.3108020304568528</v>
      </c>
    </row>
    <row r="19" spans="1:6" x14ac:dyDescent="0.25">
      <c r="A19" s="1" t="s">
        <v>3440</v>
      </c>
      <c r="B19" s="1" t="s">
        <v>624</v>
      </c>
      <c r="C19" s="1" t="s">
        <v>3451</v>
      </c>
      <c r="D19" s="1" t="s">
        <v>3450</v>
      </c>
    </row>
    <row r="20" spans="1:6" x14ac:dyDescent="0.25">
      <c r="A20" s="1" t="s">
        <v>179</v>
      </c>
      <c r="B20" s="73">
        <v>4700000</v>
      </c>
      <c r="C20" s="999">
        <v>0.04</v>
      </c>
      <c r="D20" s="73">
        <v>188000</v>
      </c>
    </row>
    <row r="21" spans="1:6" x14ac:dyDescent="0.25">
      <c r="A21" s="1" t="s">
        <v>3452</v>
      </c>
      <c r="B21" s="73">
        <v>4300000</v>
      </c>
      <c r="C21" s="999">
        <v>0.04</v>
      </c>
      <c r="D21" s="22">
        <f>B21*C20</f>
        <v>172000</v>
      </c>
      <c r="F21" s="68">
        <v>19645000</v>
      </c>
    </row>
    <row r="22" spans="1:6" x14ac:dyDescent="0.25">
      <c r="A22" s="1" t="s">
        <v>3453</v>
      </c>
      <c r="B22" s="73">
        <v>3900000</v>
      </c>
      <c r="C22" s="999">
        <v>0.04</v>
      </c>
      <c r="D22" s="22">
        <f>B22*C20</f>
        <v>156000</v>
      </c>
      <c r="F22" s="23">
        <f>F21*C14</f>
        <v>1225848</v>
      </c>
    </row>
    <row r="23" spans="1:6" x14ac:dyDescent="0.25">
      <c r="A23" s="1" t="s">
        <v>331</v>
      </c>
      <c r="B23" s="73">
        <v>3300000</v>
      </c>
      <c r="C23" s="999">
        <v>0.04</v>
      </c>
      <c r="D23" s="22">
        <f>B23*C20</f>
        <v>132000</v>
      </c>
      <c r="E23" s="68">
        <v>3499878.78</v>
      </c>
      <c r="F23" s="23">
        <f>E23*C23</f>
        <v>139995.15119999999</v>
      </c>
    </row>
    <row r="24" spans="1:6" x14ac:dyDescent="0.25">
      <c r="A24" s="1"/>
      <c r="B24" s="1"/>
      <c r="C24" s="1"/>
      <c r="D24" s="1"/>
    </row>
    <row r="25" spans="1:6" ht="30" x14ac:dyDescent="0.25">
      <c r="A25" s="4" t="s">
        <v>3454</v>
      </c>
      <c r="B25" s="1" t="s">
        <v>624</v>
      </c>
      <c r="C25" s="1" t="s">
        <v>3451</v>
      </c>
      <c r="D25" s="1" t="s">
        <v>3450</v>
      </c>
    </row>
    <row r="26" spans="1:6" x14ac:dyDescent="0.25">
      <c r="A26" s="1" t="s">
        <v>179</v>
      </c>
      <c r="B26" s="73">
        <v>4700000</v>
      </c>
      <c r="C26" s="1550">
        <v>6.2399999999999997E-2</v>
      </c>
      <c r="D26" s="73">
        <f>B26*C26</f>
        <v>293280</v>
      </c>
    </row>
    <row r="27" spans="1:6" x14ac:dyDescent="0.25">
      <c r="A27" s="1" t="s">
        <v>3452</v>
      </c>
      <c r="B27" s="73">
        <v>4300000</v>
      </c>
      <c r="C27" s="1550">
        <v>6.2399999999999997E-2</v>
      </c>
      <c r="D27" s="73">
        <f>B27*C27</f>
        <v>268320</v>
      </c>
    </row>
    <row r="28" spans="1:6" x14ac:dyDescent="0.25">
      <c r="A28" s="1" t="s">
        <v>3453</v>
      </c>
      <c r="B28" s="73">
        <v>3900000</v>
      </c>
      <c r="C28" s="1550">
        <v>6.2399999999999997E-2</v>
      </c>
      <c r="D28" s="73">
        <f>B28*C28</f>
        <v>243360</v>
      </c>
    </row>
    <row r="29" spans="1:6" x14ac:dyDescent="0.25">
      <c r="A29" s="1" t="s">
        <v>331</v>
      </c>
      <c r="B29" s="73">
        <v>3300000</v>
      </c>
      <c r="C29" s="1550">
        <v>6.2399999999999997E-2</v>
      </c>
      <c r="D29" s="73">
        <f>B29*C29</f>
        <v>205920</v>
      </c>
    </row>
    <row r="32" spans="1:6" x14ac:dyDescent="0.25">
      <c r="A32" s="1" t="s">
        <v>3440</v>
      </c>
      <c r="B32" s="1" t="s">
        <v>3455</v>
      </c>
      <c r="C32" s="1" t="s">
        <v>3451</v>
      </c>
      <c r="D32" s="1" t="s">
        <v>3450</v>
      </c>
    </row>
    <row r="33" spans="1:4" x14ac:dyDescent="0.25">
      <c r="A33" s="1" t="s">
        <v>3456</v>
      </c>
      <c r="B33" s="68">
        <v>3499878.78</v>
      </c>
      <c r="C33" s="999">
        <v>0.04</v>
      </c>
      <c r="D33" s="22">
        <f>B33*C33</f>
        <v>139995.15119999999</v>
      </c>
    </row>
    <row r="34" spans="1:4" x14ac:dyDescent="0.25">
      <c r="A34" s="1" t="s">
        <v>3457</v>
      </c>
      <c r="B34" s="68">
        <v>3499878.78</v>
      </c>
      <c r="C34" s="999">
        <v>0.04</v>
      </c>
      <c r="D34" s="22">
        <f>B34*C34</f>
        <v>139995.15119999999</v>
      </c>
    </row>
    <row r="35" spans="1:4" x14ac:dyDescent="0.25">
      <c r="A35" s="1" t="s">
        <v>3458</v>
      </c>
      <c r="B35" s="68">
        <v>3499878.78</v>
      </c>
      <c r="C35" s="999">
        <v>0.04</v>
      </c>
      <c r="D35" s="22">
        <f>B35*C35</f>
        <v>139995.15119999999</v>
      </c>
    </row>
    <row r="36" spans="1:4" x14ac:dyDescent="0.25">
      <c r="A36" s="1" t="s">
        <v>3459</v>
      </c>
      <c r="B36" s="68">
        <v>3499878.78</v>
      </c>
      <c r="C36" s="999">
        <v>0.04</v>
      </c>
      <c r="D36" s="22">
        <f>B36*C36</f>
        <v>139995.15119999999</v>
      </c>
    </row>
    <row r="37" spans="1:4" x14ac:dyDescent="0.25">
      <c r="A37" s="1" t="s">
        <v>3460</v>
      </c>
      <c r="B37" s="68">
        <v>3499878.78</v>
      </c>
      <c r="C37" s="999">
        <v>0.04</v>
      </c>
      <c r="D37" s="22">
        <f>B37*C37</f>
        <v>139995.15119999999</v>
      </c>
    </row>
    <row r="38" spans="1:4" x14ac:dyDescent="0.25">
      <c r="A38" s="1"/>
      <c r="B38" s="1"/>
      <c r="C38" s="1"/>
      <c r="D38" s="1"/>
    </row>
    <row r="39" spans="1:4" x14ac:dyDescent="0.25">
      <c r="A39" s="1" t="s">
        <v>3461</v>
      </c>
      <c r="B39" s="1"/>
      <c r="C39" s="1"/>
      <c r="D39" s="1"/>
    </row>
    <row r="40" spans="1:4" ht="30" x14ac:dyDescent="0.25">
      <c r="A40" s="4" t="s">
        <v>3454</v>
      </c>
      <c r="B40" s="1" t="s">
        <v>3455</v>
      </c>
      <c r="C40" s="1" t="s">
        <v>3451</v>
      </c>
      <c r="D40" s="1" t="s">
        <v>3450</v>
      </c>
    </row>
    <row r="41" spans="1:4" x14ac:dyDescent="0.25">
      <c r="A41" s="1" t="s">
        <v>3445</v>
      </c>
      <c r="B41" s="68">
        <v>3499878.78</v>
      </c>
      <c r="C41" s="1551">
        <v>5.4000000000000003E-3</v>
      </c>
      <c r="D41" s="22">
        <f>B41*C41</f>
        <v>18899.345411999999</v>
      </c>
    </row>
    <row r="42" spans="1:4" x14ac:dyDescent="0.25">
      <c r="A42" s="1" t="s">
        <v>3462</v>
      </c>
      <c r="B42" s="73">
        <v>3400000</v>
      </c>
      <c r="C42" s="1551">
        <v>5.4000000000000003E-3</v>
      </c>
      <c r="D42" s="22">
        <f>B42*C41</f>
        <v>18360</v>
      </c>
    </row>
    <row r="43" spans="1:4" x14ac:dyDescent="0.25">
      <c r="A43" s="1" t="s">
        <v>3458</v>
      </c>
      <c r="B43" s="73">
        <v>3400000</v>
      </c>
      <c r="C43" s="1551">
        <v>5.4000000000000003E-3</v>
      </c>
      <c r="D43" s="73">
        <f>B43*C43</f>
        <v>18360</v>
      </c>
    </row>
    <row r="44" spans="1:4" x14ac:dyDescent="0.25">
      <c r="A44" s="1" t="s">
        <v>3460</v>
      </c>
      <c r="B44" s="73">
        <v>3298116.5</v>
      </c>
      <c r="C44" s="1551">
        <v>5.4000000000000003E-3</v>
      </c>
      <c r="D44" s="73">
        <f>B44*C44</f>
        <v>17809.829100000003</v>
      </c>
    </row>
    <row r="54" spans="2:7" x14ac:dyDescent="0.25">
      <c r="B54" s="68">
        <v>19700000</v>
      </c>
      <c r="C54" s="68">
        <v>47280</v>
      </c>
      <c r="D54" s="68">
        <v>59100</v>
      </c>
      <c r="E54" s="68">
        <v>728900</v>
      </c>
      <c r="F54" s="68">
        <v>210948</v>
      </c>
      <c r="G54" s="23">
        <f>C54+D54+E54+F54</f>
        <v>1046228</v>
      </c>
    </row>
    <row r="55" spans="2:7" x14ac:dyDescent="0.25">
      <c r="G55" s="1553">
        <f>G54/B54</f>
        <v>5.3108020304568529E-2</v>
      </c>
    </row>
    <row r="56" spans="2:7" x14ac:dyDescent="0.25">
      <c r="G56" s="23">
        <f>E54+F54</f>
        <v>939848</v>
      </c>
    </row>
    <row r="57" spans="2:7" x14ac:dyDescent="0.25">
      <c r="G57" s="23">
        <f>B54*5%</f>
        <v>985000</v>
      </c>
    </row>
    <row r="58" spans="2:7" x14ac:dyDescent="0.25">
      <c r="G58" s="1553">
        <f>G56/B54</f>
        <v>4.7708020304568527E-2</v>
      </c>
    </row>
    <row r="59" spans="2:7" x14ac:dyDescent="0.25">
      <c r="G59" s="1553"/>
    </row>
    <row r="61" spans="2:7" x14ac:dyDescent="0.25">
      <c r="G61">
        <f>G56/B54</f>
        <v>4.7708020304568527E-2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257"/>
  <sheetViews>
    <sheetView topLeftCell="A188" zoomScale="180" zoomScaleNormal="180" workbookViewId="0">
      <selection activeCell="M258" sqref="M258"/>
    </sheetView>
  </sheetViews>
  <sheetFormatPr defaultRowHeight="15" x14ac:dyDescent="0.25"/>
  <cols>
    <col min="2" max="2" width="19.28515625" customWidth="1"/>
    <col min="3" max="3" width="4.28515625" customWidth="1"/>
    <col min="4" max="4" width="34.7109375" customWidth="1"/>
    <col min="5" max="5" width="13.85546875" customWidth="1"/>
    <col min="6" max="6" width="22.140625" hidden="1" customWidth="1"/>
    <col min="7" max="9" width="9.140625" hidden="1" customWidth="1"/>
    <col min="10" max="10" width="12.5703125" hidden="1" customWidth="1"/>
    <col min="11" max="11" width="13" hidden="1" customWidth="1"/>
    <col min="12" max="12" width="9.140625" hidden="1" customWidth="1"/>
    <col min="13" max="13" width="11.140625" customWidth="1"/>
    <col min="14" max="14" width="22.140625" customWidth="1"/>
    <col min="15" max="15" width="16" bestFit="1" customWidth="1"/>
    <col min="16" max="16" width="21.85546875" customWidth="1"/>
    <col min="17" max="17" width="14.28515625" bestFit="1" customWidth="1"/>
    <col min="18" max="18" width="11.7109375" bestFit="1" customWidth="1"/>
    <col min="19" max="19" width="14.28515625" bestFit="1" customWidth="1"/>
  </cols>
  <sheetData>
    <row r="1" spans="1:16" x14ac:dyDescent="0.25">
      <c r="A1" s="2253" t="s">
        <v>1871</v>
      </c>
      <c r="B1" s="2253"/>
      <c r="C1" s="2253"/>
      <c r="D1" s="2253"/>
      <c r="E1" s="2253"/>
      <c r="F1" s="2253"/>
      <c r="G1" s="745"/>
      <c r="H1" s="745"/>
      <c r="I1" s="745"/>
      <c r="J1" s="745"/>
      <c r="K1" s="745"/>
      <c r="L1" s="745"/>
    </row>
    <row r="2" spans="1:16" x14ac:dyDescent="0.25">
      <c r="A2" s="2254" t="s">
        <v>1737</v>
      </c>
      <c r="B2" s="2254"/>
      <c r="C2" s="2254"/>
      <c r="D2" s="2254"/>
      <c r="E2" s="2254"/>
      <c r="F2" s="2254"/>
      <c r="G2" s="32"/>
      <c r="H2" s="32"/>
      <c r="I2" s="32"/>
      <c r="J2" s="32"/>
      <c r="K2" s="32"/>
      <c r="L2" s="32"/>
    </row>
    <row r="4" spans="1:16" x14ac:dyDescent="0.25">
      <c r="A4" s="2216" t="s">
        <v>951</v>
      </c>
      <c r="B4" s="2216" t="s">
        <v>1872</v>
      </c>
      <c r="C4" s="2216"/>
      <c r="D4" s="2216"/>
      <c r="E4" s="2216" t="s">
        <v>1873</v>
      </c>
      <c r="F4" s="2216" t="s">
        <v>1874</v>
      </c>
      <c r="G4" s="2232" t="s">
        <v>1875</v>
      </c>
      <c r="H4" s="2232" t="s">
        <v>1876</v>
      </c>
      <c r="I4" s="2232" t="s">
        <v>1877</v>
      </c>
      <c r="J4" s="2232" t="s">
        <v>1878</v>
      </c>
      <c r="K4" s="2255" t="s">
        <v>1879</v>
      </c>
      <c r="L4" s="2232" t="s">
        <v>1880</v>
      </c>
    </row>
    <row r="5" spans="1:16" ht="30" x14ac:dyDescent="0.25">
      <c r="A5" s="2216"/>
      <c r="B5" s="29" t="s">
        <v>994</v>
      </c>
      <c r="C5" s="29"/>
      <c r="D5" s="29" t="s">
        <v>1178</v>
      </c>
      <c r="E5" s="2216"/>
      <c r="F5" s="2216"/>
      <c r="G5" s="2233"/>
      <c r="H5" s="2233"/>
      <c r="I5" s="2233"/>
      <c r="J5" s="2233"/>
      <c r="K5" s="2256"/>
      <c r="L5" s="2233"/>
      <c r="M5" s="5" t="s">
        <v>2165</v>
      </c>
      <c r="N5" s="5" t="s">
        <v>1710</v>
      </c>
    </row>
    <row r="6" spans="1:16" x14ac:dyDescent="0.25">
      <c r="A6" s="25" t="s">
        <v>998</v>
      </c>
      <c r="B6" s="25" t="s">
        <v>999</v>
      </c>
      <c r="C6" s="25" t="s">
        <v>1000</v>
      </c>
      <c r="D6" s="25" t="s">
        <v>1001</v>
      </c>
      <c r="E6" s="25" t="s">
        <v>1002</v>
      </c>
      <c r="F6" s="25" t="s">
        <v>1881</v>
      </c>
      <c r="G6" s="25" t="s">
        <v>1882</v>
      </c>
      <c r="H6" s="25" t="s">
        <v>1882</v>
      </c>
      <c r="I6" s="25" t="s">
        <v>1882</v>
      </c>
      <c r="J6" s="25" t="s">
        <v>1882</v>
      </c>
      <c r="K6" s="890" t="s">
        <v>1882</v>
      </c>
      <c r="L6" s="25"/>
    </row>
    <row r="7" spans="1:16" ht="30" x14ac:dyDescent="0.25">
      <c r="A7" s="2263">
        <v>1</v>
      </c>
      <c r="B7" s="2266" t="s">
        <v>1883</v>
      </c>
      <c r="C7" s="272">
        <v>1</v>
      </c>
      <c r="D7" s="891" t="s">
        <v>1884</v>
      </c>
      <c r="E7" s="272">
        <v>18</v>
      </c>
      <c r="F7" s="272" t="s">
        <v>1015</v>
      </c>
      <c r="G7" s="892"/>
      <c r="H7" s="892"/>
      <c r="I7" s="892"/>
      <c r="J7" s="892"/>
      <c r="K7" s="893"/>
      <c r="L7" s="894"/>
      <c r="N7" s="27">
        <f>'BID 1 b'!F20</f>
        <v>180740000</v>
      </c>
    </row>
    <row r="8" spans="1:16" ht="30" x14ac:dyDescent="0.25">
      <c r="A8" s="2264"/>
      <c r="B8" s="2267"/>
      <c r="C8" s="272">
        <v>2</v>
      </c>
      <c r="D8" s="891" t="s">
        <v>1885</v>
      </c>
      <c r="E8" s="272">
        <v>18</v>
      </c>
      <c r="F8" s="272" t="s">
        <v>1015</v>
      </c>
      <c r="G8" s="892"/>
      <c r="H8" s="892"/>
      <c r="I8" s="892"/>
      <c r="J8" s="892"/>
      <c r="K8" s="893"/>
      <c r="L8" s="894"/>
      <c r="N8" s="27">
        <f>'BID 1 b'!F63</f>
        <v>1049635167</v>
      </c>
    </row>
    <row r="9" spans="1:16" ht="45" x14ac:dyDescent="0.25">
      <c r="A9" s="2264"/>
      <c r="B9" s="2267"/>
      <c r="C9" s="272">
        <v>3</v>
      </c>
      <c r="D9" s="891" t="s">
        <v>1886</v>
      </c>
      <c r="E9" s="272">
        <v>18</v>
      </c>
      <c r="F9" s="272" t="s">
        <v>1015</v>
      </c>
      <c r="G9" s="892"/>
      <c r="H9" s="892"/>
      <c r="I9" s="892"/>
      <c r="J9" s="892"/>
      <c r="K9" s="893"/>
      <c r="L9" s="894"/>
      <c r="N9" s="27">
        <f>'BID 1 b'!F98</f>
        <v>77761313</v>
      </c>
    </row>
    <row r="10" spans="1:16" ht="75" x14ac:dyDescent="0.25">
      <c r="A10" s="2264"/>
      <c r="B10" s="2267"/>
      <c r="C10" s="272">
        <v>4</v>
      </c>
      <c r="D10" s="891" t="s">
        <v>1887</v>
      </c>
      <c r="E10" s="272">
        <v>18</v>
      </c>
      <c r="F10" s="272" t="s">
        <v>1015</v>
      </c>
      <c r="G10" s="892"/>
      <c r="H10" s="892"/>
      <c r="I10" s="892"/>
      <c r="J10" s="892"/>
      <c r="K10" s="893"/>
      <c r="L10" s="894"/>
      <c r="M10" s="5" t="s">
        <v>2176</v>
      </c>
      <c r="N10" s="27">
        <v>679241988</v>
      </c>
      <c r="O10" s="23"/>
      <c r="P10" s="23"/>
    </row>
    <row r="11" spans="1:16" x14ac:dyDescent="0.25">
      <c r="A11" s="2264"/>
      <c r="B11" s="2267"/>
      <c r="C11" s="272">
        <v>5</v>
      </c>
      <c r="D11" s="891" t="s">
        <v>1888</v>
      </c>
      <c r="E11" s="272">
        <v>18</v>
      </c>
      <c r="F11" s="272" t="s">
        <v>1015</v>
      </c>
      <c r="G11" s="892"/>
      <c r="H11" s="892"/>
      <c r="I11" s="892"/>
      <c r="J11" s="892"/>
      <c r="K11" s="893"/>
      <c r="L11" s="894"/>
      <c r="N11" s="27">
        <f>'BID 1 b'!F374</f>
        <v>457800000</v>
      </c>
      <c r="P11" s="23"/>
    </row>
    <row r="12" spans="1:16" ht="75" x14ac:dyDescent="0.25">
      <c r="A12" s="2264"/>
      <c r="B12" s="2267"/>
      <c r="C12" s="272">
        <v>6</v>
      </c>
      <c r="D12" s="891" t="s">
        <v>1889</v>
      </c>
      <c r="E12" s="272">
        <v>18</v>
      </c>
      <c r="F12" s="272" t="s">
        <v>1015</v>
      </c>
      <c r="G12" s="892"/>
      <c r="H12" s="892"/>
      <c r="I12" s="892"/>
      <c r="J12" s="892"/>
      <c r="K12" s="893"/>
      <c r="L12" s="894"/>
      <c r="M12" s="5" t="s">
        <v>2173</v>
      </c>
      <c r="N12" s="23">
        <v>32199000</v>
      </c>
      <c r="O12" s="27"/>
      <c r="P12" s="23"/>
    </row>
    <row r="13" spans="1:16" x14ac:dyDescent="0.25">
      <c r="A13" s="2264"/>
      <c r="B13" s="2267"/>
      <c r="C13" s="272">
        <v>7</v>
      </c>
      <c r="D13" s="891" t="s">
        <v>1890</v>
      </c>
      <c r="E13" s="272">
        <v>18</v>
      </c>
      <c r="F13" s="272" t="s">
        <v>1015</v>
      </c>
      <c r="G13" s="892"/>
      <c r="H13" s="892"/>
      <c r="I13" s="892"/>
      <c r="J13" s="892"/>
      <c r="K13" s="893"/>
      <c r="L13" s="894"/>
      <c r="N13" s="27">
        <f>'BID 1 b'!F526</f>
        <v>579582544.31999993</v>
      </c>
    </row>
    <row r="14" spans="1:16" ht="75" x14ac:dyDescent="0.25">
      <c r="A14" s="2264"/>
      <c r="B14" s="2267"/>
      <c r="C14" s="272">
        <v>8</v>
      </c>
      <c r="D14" s="896" t="s">
        <v>1891</v>
      </c>
      <c r="E14" s="750">
        <v>18</v>
      </c>
      <c r="F14" s="272" t="s">
        <v>1015</v>
      </c>
      <c r="G14" s="892"/>
      <c r="H14" s="892"/>
      <c r="I14" s="892"/>
      <c r="J14" s="892"/>
      <c r="K14" s="893"/>
      <c r="L14" s="894"/>
      <c r="M14" s="5" t="s">
        <v>2174</v>
      </c>
      <c r="N14" s="27">
        <v>114581760</v>
      </c>
      <c r="O14" s="27"/>
      <c r="P14" s="27"/>
    </row>
    <row r="15" spans="1:16" ht="105" x14ac:dyDescent="0.25">
      <c r="A15" s="2264"/>
      <c r="B15" s="2267"/>
      <c r="C15" s="272">
        <v>9</v>
      </c>
      <c r="D15" s="891" t="s">
        <v>1892</v>
      </c>
      <c r="E15" s="272">
        <v>18</v>
      </c>
      <c r="F15" s="272" t="s">
        <v>1015</v>
      </c>
      <c r="G15" s="892"/>
      <c r="H15" s="892"/>
      <c r="I15" s="892"/>
      <c r="J15" s="892"/>
      <c r="K15" s="893"/>
      <c r="L15" s="894"/>
      <c r="M15" s="5" t="s">
        <v>2175</v>
      </c>
      <c r="N15" s="27">
        <v>73653735.719999999</v>
      </c>
      <c r="O15" s="27"/>
      <c r="P15" s="27"/>
    </row>
    <row r="16" spans="1:16" ht="30" x14ac:dyDescent="0.25">
      <c r="A16" s="2264"/>
      <c r="B16" s="2267"/>
      <c r="C16" s="272">
        <v>10</v>
      </c>
      <c r="D16" s="891" t="s">
        <v>1893</v>
      </c>
      <c r="E16" s="272">
        <v>18</v>
      </c>
      <c r="F16" s="272" t="s">
        <v>1015</v>
      </c>
      <c r="G16" s="892"/>
      <c r="H16" s="892"/>
      <c r="I16" s="892"/>
      <c r="J16" s="892"/>
      <c r="K16" s="893"/>
      <c r="L16" s="894"/>
      <c r="N16" s="27">
        <f>'BID 1 b'!F567</f>
        <v>17455000</v>
      </c>
    </row>
    <row r="17" spans="1:15" ht="30" x14ac:dyDescent="0.25">
      <c r="A17" s="2264"/>
      <c r="B17" s="2267"/>
      <c r="C17" s="272">
        <v>11</v>
      </c>
      <c r="D17" s="891" t="s">
        <v>1894</v>
      </c>
      <c r="E17" s="272">
        <v>18</v>
      </c>
      <c r="F17" s="272" t="s">
        <v>1015</v>
      </c>
      <c r="G17" s="892"/>
      <c r="H17" s="892"/>
      <c r="I17" s="892"/>
      <c r="J17" s="892"/>
      <c r="K17" s="893"/>
      <c r="L17" s="894"/>
      <c r="N17" s="23">
        <f>'BID 1 b'!F848</f>
        <v>3243107999</v>
      </c>
    </row>
    <row r="18" spans="1:15" ht="30" x14ac:dyDescent="0.25">
      <c r="A18" s="2264"/>
      <c r="B18" s="2267"/>
      <c r="C18" s="272">
        <v>12</v>
      </c>
      <c r="D18" s="922" t="s">
        <v>1895</v>
      </c>
      <c r="E18" s="272">
        <v>9</v>
      </c>
      <c r="F18" s="272" t="s">
        <v>1015</v>
      </c>
      <c r="G18" s="892"/>
      <c r="H18" s="892"/>
      <c r="I18" s="892"/>
      <c r="J18" s="892"/>
      <c r="K18" s="893"/>
      <c r="L18" s="894"/>
      <c r="M18" s="5" t="s">
        <v>2167</v>
      </c>
      <c r="N18" s="68">
        <v>100000000</v>
      </c>
      <c r="O18" s="23" t="s">
        <v>2172</v>
      </c>
    </row>
    <row r="19" spans="1:15" ht="45" x14ac:dyDescent="0.25">
      <c r="A19" s="2264"/>
      <c r="B19" s="2267"/>
      <c r="C19" s="272">
        <v>13</v>
      </c>
      <c r="D19" s="891" t="s">
        <v>1896</v>
      </c>
      <c r="E19" s="272">
        <v>9</v>
      </c>
      <c r="F19" s="272" t="s">
        <v>1015</v>
      </c>
      <c r="G19" s="892"/>
      <c r="H19" s="892"/>
      <c r="I19" s="892"/>
      <c r="J19" s="892"/>
      <c r="K19" s="893"/>
      <c r="L19" s="894"/>
      <c r="M19" s="5" t="s">
        <v>2263</v>
      </c>
      <c r="N19" s="27">
        <v>70000000</v>
      </c>
      <c r="O19" s="23"/>
    </row>
    <row r="20" spans="1:15" s="957" customFormat="1" ht="75" x14ac:dyDescent="0.25">
      <c r="A20" s="2264"/>
      <c r="B20" s="2267"/>
      <c r="C20" s="951">
        <v>14</v>
      </c>
      <c r="D20" s="952" t="s">
        <v>1897</v>
      </c>
      <c r="E20" s="951">
        <v>18</v>
      </c>
      <c r="F20" s="951" t="s">
        <v>1015</v>
      </c>
      <c r="G20" s="953"/>
      <c r="H20" s="953"/>
      <c r="I20" s="953"/>
      <c r="J20" s="953"/>
      <c r="K20" s="954"/>
      <c r="L20" s="955"/>
      <c r="M20" s="956" t="s">
        <v>2264</v>
      </c>
    </row>
    <row r="21" spans="1:15" s="957" customFormat="1" x14ac:dyDescent="0.25">
      <c r="A21" s="2264"/>
      <c r="B21" s="2267"/>
      <c r="C21" s="951">
        <v>15</v>
      </c>
      <c r="D21" s="952" t="s">
        <v>1898</v>
      </c>
      <c r="E21" s="951">
        <v>8</v>
      </c>
      <c r="F21" s="951" t="s">
        <v>1015</v>
      </c>
      <c r="G21" s="953"/>
      <c r="H21" s="953"/>
      <c r="I21" s="953"/>
      <c r="J21" s="953"/>
      <c r="K21" s="954"/>
      <c r="L21" s="955"/>
    </row>
    <row r="22" spans="1:15" x14ac:dyDescent="0.25">
      <c r="A22" s="2264"/>
      <c r="B22" s="2267"/>
      <c r="C22" s="272">
        <v>16</v>
      </c>
      <c r="D22" s="891" t="s">
        <v>1899</v>
      </c>
      <c r="E22" s="272">
        <v>18</v>
      </c>
      <c r="F22" s="272" t="s">
        <v>1015</v>
      </c>
      <c r="G22" s="892"/>
      <c r="H22" s="892"/>
      <c r="I22" s="892"/>
      <c r="J22" s="892"/>
      <c r="K22" s="893"/>
      <c r="L22" s="894"/>
      <c r="M22" t="s">
        <v>2168</v>
      </c>
      <c r="N22" s="23">
        <f>'BID 1 b'!F1165</f>
        <v>5800000</v>
      </c>
    </row>
    <row r="23" spans="1:15" s="96" customFormat="1" ht="45" x14ac:dyDescent="0.25">
      <c r="A23" s="2264"/>
      <c r="B23" s="2267"/>
      <c r="C23" s="909">
        <v>17</v>
      </c>
      <c r="D23" s="922" t="s">
        <v>1900</v>
      </c>
      <c r="E23" s="909">
        <v>18</v>
      </c>
      <c r="F23" s="909" t="s">
        <v>1015</v>
      </c>
      <c r="G23" s="905"/>
      <c r="H23" s="905"/>
      <c r="I23" s="905"/>
      <c r="J23" s="905"/>
      <c r="K23" s="906"/>
      <c r="L23" s="865"/>
      <c r="N23" s="923"/>
    </row>
    <row r="24" spans="1:15" s="957" customFormat="1" ht="45" x14ac:dyDescent="0.25">
      <c r="A24" s="2264"/>
      <c r="B24" s="2267"/>
      <c r="C24" s="951">
        <v>18</v>
      </c>
      <c r="D24" s="952" t="s">
        <v>1901</v>
      </c>
      <c r="E24" s="951">
        <v>18</v>
      </c>
      <c r="F24" s="951" t="s">
        <v>1015</v>
      </c>
      <c r="G24" s="953"/>
      <c r="H24" s="953"/>
      <c r="I24" s="953"/>
      <c r="J24" s="953"/>
      <c r="K24" s="954"/>
      <c r="L24" s="955"/>
    </row>
    <row r="25" spans="1:15" s="96" customFormat="1" ht="30" x14ac:dyDescent="0.25">
      <c r="A25" s="2264"/>
      <c r="B25" s="2267"/>
      <c r="C25" s="909">
        <v>19</v>
      </c>
      <c r="D25" s="922" t="s">
        <v>1902</v>
      </c>
      <c r="E25" s="909">
        <v>1</v>
      </c>
      <c r="F25" s="909" t="s">
        <v>1015</v>
      </c>
      <c r="G25" s="905"/>
      <c r="H25" s="905"/>
      <c r="I25" s="905"/>
      <c r="J25" s="905"/>
      <c r="K25" s="906"/>
      <c r="L25" s="865"/>
    </row>
    <row r="26" spans="1:15" ht="30" x14ac:dyDescent="0.25">
      <c r="A26" s="2264"/>
      <c r="B26" s="2267"/>
      <c r="C26" s="272">
        <v>20</v>
      </c>
      <c r="D26" s="891" t="s">
        <v>1903</v>
      </c>
      <c r="E26" s="272">
        <v>18</v>
      </c>
      <c r="F26" s="272" t="s">
        <v>1015</v>
      </c>
      <c r="G26" s="892"/>
      <c r="H26" s="892"/>
      <c r="I26" s="892"/>
      <c r="J26" s="892"/>
      <c r="K26" s="893"/>
      <c r="L26" s="894"/>
      <c r="N26" s="23">
        <f>'BID 1 b'!F1273</f>
        <v>40260000</v>
      </c>
      <c r="O26" s="27"/>
    </row>
    <row r="27" spans="1:15" ht="60" x14ac:dyDescent="0.25">
      <c r="A27" s="2264"/>
      <c r="B27" s="2267"/>
      <c r="C27" s="272">
        <v>21</v>
      </c>
      <c r="D27" s="891" t="s">
        <v>1904</v>
      </c>
      <c r="E27" s="272">
        <v>18</v>
      </c>
      <c r="F27" s="272" t="s">
        <v>1015</v>
      </c>
      <c r="G27" s="892"/>
      <c r="H27" s="892"/>
      <c r="I27" s="892"/>
      <c r="J27" s="892"/>
      <c r="K27" s="893"/>
      <c r="L27" s="894"/>
      <c r="M27" s="5" t="s">
        <v>2169</v>
      </c>
      <c r="N27" s="27">
        <v>67116000</v>
      </c>
      <c r="O27" s="27"/>
    </row>
    <row r="28" spans="1:15" x14ac:dyDescent="0.25">
      <c r="A28" s="2264"/>
      <c r="B28" s="2267"/>
      <c r="C28" s="272">
        <v>22</v>
      </c>
      <c r="D28" s="891" t="s">
        <v>1905</v>
      </c>
      <c r="E28" s="272">
        <v>18</v>
      </c>
      <c r="F28" s="272" t="s">
        <v>1015</v>
      </c>
      <c r="G28" s="892"/>
      <c r="H28" s="892"/>
      <c r="I28" s="892"/>
      <c r="J28" s="892"/>
      <c r="K28" s="893"/>
      <c r="L28" s="894"/>
      <c r="N28" s="27">
        <f>'BID 1 b'!F455</f>
        <v>16400000</v>
      </c>
    </row>
    <row r="29" spans="1:15" s="957" customFormat="1" x14ac:dyDescent="0.25">
      <c r="A29" s="2264"/>
      <c r="B29" s="2267"/>
      <c r="C29" s="951">
        <v>23</v>
      </c>
      <c r="D29" s="952" t="s">
        <v>1906</v>
      </c>
      <c r="E29" s="951">
        <v>17</v>
      </c>
      <c r="F29" s="951"/>
      <c r="G29" s="953"/>
      <c r="H29" s="953"/>
      <c r="I29" s="953"/>
      <c r="J29" s="953"/>
      <c r="K29" s="954"/>
      <c r="L29" s="955"/>
    </row>
    <row r="30" spans="1:15" ht="60" x14ac:dyDescent="0.25">
      <c r="A30" s="2264"/>
      <c r="B30" s="2267"/>
      <c r="C30" s="272">
        <v>24</v>
      </c>
      <c r="D30" s="891" t="s">
        <v>1907</v>
      </c>
      <c r="E30" s="272">
        <v>18</v>
      </c>
      <c r="F30" s="272" t="s">
        <v>1015</v>
      </c>
      <c r="G30" s="892"/>
      <c r="H30" s="892"/>
      <c r="I30" s="892"/>
      <c r="J30" s="892"/>
      <c r="K30" s="893"/>
      <c r="L30" s="894"/>
      <c r="N30" s="27">
        <f>'BID 1 b'!F1402</f>
        <v>24160000</v>
      </c>
    </row>
    <row r="31" spans="1:15" ht="60" x14ac:dyDescent="0.25">
      <c r="A31" s="2264"/>
      <c r="B31" s="2267"/>
      <c r="C31" s="272">
        <v>25</v>
      </c>
      <c r="D31" s="314" t="s">
        <v>1908</v>
      </c>
      <c r="E31" s="272">
        <v>18</v>
      </c>
      <c r="F31" s="272" t="s">
        <v>1015</v>
      </c>
      <c r="G31" s="892"/>
      <c r="H31" s="892"/>
      <c r="I31" s="892"/>
      <c r="J31" s="892"/>
      <c r="K31" s="893"/>
      <c r="L31" s="894"/>
    </row>
    <row r="32" spans="1:15" ht="30" x14ac:dyDescent="0.25">
      <c r="A32" s="2264"/>
      <c r="B32" s="2267"/>
      <c r="C32" s="272">
        <v>26</v>
      </c>
      <c r="D32" s="314" t="s">
        <v>1909</v>
      </c>
      <c r="E32" s="272">
        <v>18</v>
      </c>
      <c r="F32" s="272" t="s">
        <v>1015</v>
      </c>
      <c r="G32" s="892"/>
      <c r="H32" s="892"/>
      <c r="I32" s="892"/>
      <c r="J32" s="892"/>
      <c r="K32" s="893"/>
      <c r="L32" s="894"/>
    </row>
    <row r="33" spans="1:17" ht="60" x14ac:dyDescent="0.25">
      <c r="A33" s="2264"/>
      <c r="B33" s="2267"/>
      <c r="C33" s="272">
        <v>27</v>
      </c>
      <c r="D33" s="314" t="s">
        <v>1910</v>
      </c>
      <c r="E33" s="272">
        <v>18</v>
      </c>
      <c r="F33" s="272" t="s">
        <v>1015</v>
      </c>
      <c r="G33" s="892"/>
      <c r="H33" s="892"/>
      <c r="I33" s="892"/>
      <c r="J33" s="892"/>
      <c r="K33" s="893"/>
      <c r="L33" s="894"/>
      <c r="M33" s="5" t="s">
        <v>2170</v>
      </c>
      <c r="N33" s="27">
        <f>'BID 1 b'!F1442+'BID 1 b'!F1472+'BID 1 b'!F1503</f>
        <v>48260000</v>
      </c>
    </row>
    <row r="34" spans="1:17" ht="105" x14ac:dyDescent="0.25">
      <c r="A34" s="2264"/>
      <c r="B34" s="2267"/>
      <c r="C34" s="272">
        <v>28</v>
      </c>
      <c r="D34" s="314" t="s">
        <v>1911</v>
      </c>
      <c r="E34" s="272">
        <v>18</v>
      </c>
      <c r="F34" s="272" t="s">
        <v>1015</v>
      </c>
      <c r="G34" s="892"/>
      <c r="H34" s="892"/>
      <c r="I34" s="892"/>
      <c r="J34" s="892"/>
      <c r="K34" s="893"/>
      <c r="L34" s="894"/>
      <c r="M34" s="5" t="s">
        <v>2171</v>
      </c>
      <c r="N34" s="23">
        <f>'BID 1 b'!F1530+'BID 1 b'!F1558</f>
        <v>3160750</v>
      </c>
    </row>
    <row r="35" spans="1:17" s="957" customFormat="1" x14ac:dyDescent="0.25">
      <c r="A35" s="2264"/>
      <c r="B35" s="2267"/>
      <c r="C35" s="951">
        <v>29</v>
      </c>
      <c r="D35" s="958" t="s">
        <v>1912</v>
      </c>
      <c r="E35" s="951">
        <v>18</v>
      </c>
      <c r="F35" s="951" t="s">
        <v>1015</v>
      </c>
      <c r="G35" s="953"/>
      <c r="H35" s="953"/>
      <c r="I35" s="953"/>
      <c r="J35" s="953"/>
      <c r="K35" s="954"/>
      <c r="L35" s="955"/>
    </row>
    <row r="36" spans="1:17" s="957" customFormat="1" ht="30" x14ac:dyDescent="0.25">
      <c r="A36" s="2264"/>
      <c r="B36" s="2267"/>
      <c r="C36" s="951">
        <v>30</v>
      </c>
      <c r="D36" s="958" t="s">
        <v>1913</v>
      </c>
      <c r="E36" s="951">
        <v>18</v>
      </c>
      <c r="F36" s="951" t="s">
        <v>1015</v>
      </c>
      <c r="G36" s="953"/>
      <c r="H36" s="953"/>
      <c r="I36" s="953"/>
      <c r="J36" s="953"/>
      <c r="K36" s="954"/>
      <c r="L36" s="955"/>
    </row>
    <row r="37" spans="1:17" s="957" customFormat="1" ht="30" x14ac:dyDescent="0.25">
      <c r="A37" s="2264"/>
      <c r="B37" s="2267"/>
      <c r="C37" s="951">
        <v>31</v>
      </c>
      <c r="D37" s="958" t="s">
        <v>1914</v>
      </c>
      <c r="E37" s="951">
        <v>18</v>
      </c>
      <c r="F37" s="951" t="s">
        <v>1015</v>
      </c>
      <c r="G37" s="953"/>
      <c r="H37" s="953"/>
      <c r="I37" s="953"/>
      <c r="J37" s="953"/>
      <c r="K37" s="954"/>
      <c r="L37" s="955"/>
      <c r="M37" s="957" t="s">
        <v>2265</v>
      </c>
    </row>
    <row r="38" spans="1:17" s="957" customFormat="1" x14ac:dyDescent="0.25">
      <c r="A38" s="2264"/>
      <c r="B38" s="2267"/>
      <c r="C38" s="951">
        <v>32</v>
      </c>
      <c r="D38" s="958" t="s">
        <v>1915</v>
      </c>
      <c r="E38" s="951">
        <v>11</v>
      </c>
      <c r="F38" s="951" t="s">
        <v>1015</v>
      </c>
      <c r="G38" s="953"/>
      <c r="H38" s="953"/>
      <c r="I38" s="953"/>
      <c r="J38" s="953"/>
      <c r="K38" s="954"/>
      <c r="L38" s="955"/>
    </row>
    <row r="39" spans="1:17" s="957" customFormat="1" ht="30" x14ac:dyDescent="0.25">
      <c r="A39" s="2264"/>
      <c r="B39" s="2267"/>
      <c r="C39" s="951">
        <v>33</v>
      </c>
      <c r="D39" s="958" t="s">
        <v>1916</v>
      </c>
      <c r="E39" s="951">
        <v>11</v>
      </c>
      <c r="F39" s="951" t="s">
        <v>1015</v>
      </c>
      <c r="G39" s="953"/>
      <c r="H39" s="953"/>
      <c r="I39" s="953"/>
      <c r="J39" s="953"/>
      <c r="K39" s="954"/>
      <c r="L39" s="955"/>
    </row>
    <row r="40" spans="1:17" s="957" customFormat="1" ht="30" x14ac:dyDescent="0.25">
      <c r="A40" s="2264"/>
      <c r="B40" s="2267"/>
      <c r="C40" s="951">
        <v>34</v>
      </c>
      <c r="D40" s="958" t="s">
        <v>1917</v>
      </c>
      <c r="E40" s="951">
        <v>17</v>
      </c>
      <c r="F40" s="951"/>
      <c r="G40" s="953"/>
      <c r="H40" s="953"/>
      <c r="I40" s="953"/>
      <c r="J40" s="953" t="s">
        <v>1918</v>
      </c>
      <c r="K40" s="954"/>
      <c r="L40" s="955"/>
    </row>
    <row r="41" spans="1:17" s="96" customFormat="1" ht="30" x14ac:dyDescent="0.25">
      <c r="A41" s="2264"/>
      <c r="B41" s="2267"/>
      <c r="C41" s="909">
        <v>35</v>
      </c>
      <c r="D41" s="959" t="s">
        <v>1919</v>
      </c>
      <c r="E41" s="909">
        <v>17</v>
      </c>
      <c r="F41" s="909"/>
      <c r="G41" s="905"/>
      <c r="H41" s="905"/>
      <c r="I41" s="905"/>
      <c r="J41" s="905" t="s">
        <v>1920</v>
      </c>
      <c r="K41" s="906"/>
      <c r="L41" s="865"/>
    </row>
    <row r="42" spans="1:17" s="957" customFormat="1" ht="45" x14ac:dyDescent="0.25">
      <c r="A42" s="2264"/>
      <c r="B42" s="2267"/>
      <c r="C42" s="951">
        <v>36</v>
      </c>
      <c r="D42" s="958" t="s">
        <v>1921</v>
      </c>
      <c r="E42" s="951">
        <v>15</v>
      </c>
      <c r="F42" s="951"/>
      <c r="G42" s="953"/>
      <c r="H42" s="953">
        <v>8</v>
      </c>
      <c r="I42" s="953"/>
      <c r="J42" s="953"/>
      <c r="K42" s="954"/>
      <c r="L42" s="955"/>
    </row>
    <row r="43" spans="1:17" s="957" customFormat="1" ht="60" x14ac:dyDescent="0.25">
      <c r="A43" s="2264"/>
      <c r="B43" s="2267"/>
      <c r="C43" s="951">
        <v>37</v>
      </c>
      <c r="D43" s="958" t="s">
        <v>1922</v>
      </c>
      <c r="E43" s="951">
        <v>15</v>
      </c>
      <c r="F43" s="951"/>
      <c r="G43" s="953"/>
      <c r="H43" s="953">
        <v>10</v>
      </c>
      <c r="I43" s="953"/>
      <c r="J43" s="953"/>
      <c r="K43" s="954"/>
      <c r="L43" s="955"/>
    </row>
    <row r="44" spans="1:17" s="957" customFormat="1" ht="60" x14ac:dyDescent="0.25">
      <c r="A44" s="2264"/>
      <c r="B44" s="2267"/>
      <c r="C44" s="951">
        <v>38</v>
      </c>
      <c r="D44" s="958" t="s">
        <v>1923</v>
      </c>
      <c r="E44" s="951">
        <v>17</v>
      </c>
      <c r="F44" s="951"/>
      <c r="G44" s="953"/>
      <c r="H44" s="953">
        <v>7</v>
      </c>
      <c r="I44" s="953"/>
      <c r="J44" s="953"/>
      <c r="K44" s="954"/>
      <c r="L44" s="955"/>
    </row>
    <row r="45" spans="1:17" s="96" customFormat="1" ht="30" x14ac:dyDescent="0.25">
      <c r="A45" s="2264"/>
      <c r="B45" s="2267"/>
      <c r="C45" s="909">
        <v>39</v>
      </c>
      <c r="D45" s="959" t="s">
        <v>1924</v>
      </c>
      <c r="E45" s="909">
        <v>16</v>
      </c>
      <c r="F45" s="909" t="s">
        <v>1015</v>
      </c>
      <c r="G45" s="905">
        <v>1</v>
      </c>
      <c r="H45" s="905"/>
      <c r="I45" s="905"/>
      <c r="J45" s="905"/>
      <c r="K45" s="906"/>
      <c r="L45" s="865"/>
    </row>
    <row r="46" spans="1:17" ht="30" x14ac:dyDescent="0.25">
      <c r="A46" s="2265"/>
      <c r="B46" s="2268"/>
      <c r="C46" s="272">
        <v>40</v>
      </c>
      <c r="D46" s="897" t="s">
        <v>1925</v>
      </c>
      <c r="E46" s="898">
        <v>17</v>
      </c>
      <c r="F46" s="898"/>
      <c r="G46" s="899"/>
      <c r="H46" s="899"/>
      <c r="I46" s="899" t="s">
        <v>1926</v>
      </c>
      <c r="J46" s="899"/>
      <c r="K46" s="900"/>
      <c r="L46" s="901"/>
      <c r="N46" s="23">
        <f>'BID 1 b'!F1197</f>
        <v>1900000</v>
      </c>
    </row>
    <row r="47" spans="1:17" x14ac:dyDescent="0.25">
      <c r="A47" s="887"/>
      <c r="B47" s="895"/>
      <c r="C47" s="902"/>
      <c r="D47" s="897"/>
      <c r="E47" s="898"/>
      <c r="F47" s="898"/>
      <c r="G47" s="899"/>
      <c r="H47" s="899"/>
      <c r="I47" s="899"/>
      <c r="J47" s="899"/>
      <c r="K47" s="900"/>
      <c r="L47" s="901"/>
      <c r="N47" s="23">
        <f>SUM(N7:N46)</f>
        <v>6882815257.039999</v>
      </c>
      <c r="O47" s="23"/>
      <c r="P47" s="139"/>
    </row>
    <row r="48" spans="1:17" ht="60" x14ac:dyDescent="0.25">
      <c r="A48" s="2269">
        <v>2</v>
      </c>
      <c r="B48" s="2272" t="s">
        <v>537</v>
      </c>
      <c r="C48" s="902">
        <v>1</v>
      </c>
      <c r="D48" s="314" t="s">
        <v>1927</v>
      </c>
      <c r="E48" s="272">
        <v>4</v>
      </c>
      <c r="F48" s="272" t="s">
        <v>1015</v>
      </c>
      <c r="G48" s="892">
        <v>4</v>
      </c>
      <c r="H48" s="892"/>
      <c r="I48" s="892"/>
      <c r="J48" s="892"/>
      <c r="K48" s="893"/>
      <c r="L48" s="894"/>
      <c r="N48" s="68">
        <f>'Bid 2b'!F147</f>
        <v>276660000</v>
      </c>
      <c r="P48" s="23"/>
      <c r="Q48" s="23"/>
    </row>
    <row r="49" spans="1:15" ht="30" x14ac:dyDescent="0.25">
      <c r="A49" s="2270"/>
      <c r="B49" s="2273"/>
      <c r="C49" s="902">
        <v>2</v>
      </c>
      <c r="D49" s="314" t="s">
        <v>1928</v>
      </c>
      <c r="E49" s="272">
        <v>4</v>
      </c>
      <c r="F49" s="272" t="s">
        <v>1015</v>
      </c>
      <c r="G49" s="892"/>
      <c r="H49" s="892"/>
      <c r="I49" s="892"/>
      <c r="J49" s="892"/>
      <c r="K49" s="893"/>
      <c r="L49" s="894"/>
      <c r="N49" s="23">
        <f>'Bid 2b'!F191</f>
        <v>18008000</v>
      </c>
    </row>
    <row r="50" spans="1:15" ht="45" x14ac:dyDescent="0.25">
      <c r="A50" s="2270"/>
      <c r="B50" s="2273"/>
      <c r="C50" s="902">
        <v>3</v>
      </c>
      <c r="D50" s="314" t="s">
        <v>1929</v>
      </c>
      <c r="E50" s="272">
        <v>4</v>
      </c>
      <c r="F50" s="272" t="s">
        <v>1015</v>
      </c>
      <c r="G50" s="892"/>
      <c r="H50" s="892"/>
      <c r="I50" s="892"/>
      <c r="J50" s="892"/>
      <c r="K50" s="893"/>
      <c r="L50" s="894"/>
      <c r="N50" s="23">
        <f>'Bid 2b'!F218</f>
        <v>6979246</v>
      </c>
      <c r="O50" t="s">
        <v>2266</v>
      </c>
    </row>
    <row r="51" spans="1:15" s="96" customFormat="1" ht="75" x14ac:dyDescent="0.25">
      <c r="A51" s="2270"/>
      <c r="B51" s="2273"/>
      <c r="C51" s="960">
        <v>4</v>
      </c>
      <c r="D51" s="959" t="s">
        <v>1930</v>
      </c>
      <c r="E51" s="909">
        <v>4</v>
      </c>
      <c r="F51" s="909" t="s">
        <v>1015</v>
      </c>
      <c r="G51" s="905"/>
      <c r="H51" s="905"/>
      <c r="I51" s="905"/>
      <c r="J51" s="905"/>
      <c r="K51" s="906"/>
      <c r="L51" s="865"/>
    </row>
    <row r="52" spans="1:15" s="957" customFormat="1" ht="30" x14ac:dyDescent="0.25">
      <c r="A52" s="2270"/>
      <c r="B52" s="2273"/>
      <c r="C52" s="961">
        <v>5</v>
      </c>
      <c r="D52" s="958" t="s">
        <v>1931</v>
      </c>
      <c r="E52" s="951">
        <v>18</v>
      </c>
      <c r="F52" s="951" t="s">
        <v>1015</v>
      </c>
      <c r="G52" s="953">
        <v>4</v>
      </c>
      <c r="H52" s="953"/>
      <c r="I52" s="953"/>
      <c r="J52" s="953"/>
      <c r="K52" s="954"/>
      <c r="L52" s="955"/>
    </row>
    <row r="53" spans="1:15" s="957" customFormat="1" ht="30" x14ac:dyDescent="0.25">
      <c r="A53" s="2270"/>
      <c r="B53" s="2273"/>
      <c r="C53" s="961">
        <v>6</v>
      </c>
      <c r="D53" s="958" t="s">
        <v>1932</v>
      </c>
      <c r="E53" s="951">
        <v>1</v>
      </c>
      <c r="F53" s="951" t="s">
        <v>1015</v>
      </c>
      <c r="G53" s="953"/>
      <c r="H53" s="953"/>
      <c r="I53" s="953"/>
      <c r="J53" s="953"/>
      <c r="K53" s="954"/>
      <c r="L53" s="955"/>
    </row>
    <row r="54" spans="1:15" s="957" customFormat="1" ht="45" x14ac:dyDescent="0.25">
      <c r="A54" s="2270"/>
      <c r="B54" s="2273"/>
      <c r="C54" s="961">
        <v>7</v>
      </c>
      <c r="D54" s="958" t="s">
        <v>1933</v>
      </c>
      <c r="E54" s="951">
        <v>4</v>
      </c>
      <c r="F54" s="951" t="s">
        <v>1015</v>
      </c>
      <c r="G54" s="953">
        <v>4</v>
      </c>
      <c r="H54" s="953"/>
      <c r="I54" s="953"/>
      <c r="J54" s="953" t="s">
        <v>1934</v>
      </c>
      <c r="K54" s="954"/>
      <c r="L54" s="955"/>
      <c r="M54" s="957" t="s">
        <v>2267</v>
      </c>
    </row>
    <row r="55" spans="1:15" s="957" customFormat="1" ht="30" x14ac:dyDescent="0.25">
      <c r="A55" s="2270"/>
      <c r="B55" s="2273"/>
      <c r="C55" s="961">
        <v>8</v>
      </c>
      <c r="D55" s="958" t="s">
        <v>1935</v>
      </c>
      <c r="E55" s="951">
        <v>4</v>
      </c>
      <c r="F55" s="951" t="s">
        <v>1015</v>
      </c>
      <c r="G55" s="953"/>
      <c r="H55" s="953"/>
      <c r="I55" s="953"/>
      <c r="J55" s="953"/>
      <c r="K55" s="954"/>
      <c r="L55" s="955"/>
    </row>
    <row r="56" spans="1:15" s="957" customFormat="1" ht="30" x14ac:dyDescent="0.25">
      <c r="A56" s="2270"/>
      <c r="B56" s="2273"/>
      <c r="C56" s="961">
        <v>9</v>
      </c>
      <c r="D56" s="958" t="s">
        <v>1936</v>
      </c>
      <c r="E56" s="951">
        <v>6</v>
      </c>
      <c r="F56" s="951" t="s">
        <v>1015</v>
      </c>
      <c r="G56" s="953"/>
      <c r="H56" s="953"/>
      <c r="I56" s="953"/>
      <c r="J56" s="953"/>
      <c r="K56" s="954"/>
      <c r="L56" s="955"/>
    </row>
    <row r="57" spans="1:15" ht="30" x14ac:dyDescent="0.25">
      <c r="A57" s="2270"/>
      <c r="B57" s="2273"/>
      <c r="C57" s="902">
        <v>10</v>
      </c>
      <c r="D57" s="314" t="s">
        <v>1937</v>
      </c>
      <c r="E57" s="272">
        <v>6</v>
      </c>
      <c r="F57" s="272" t="s">
        <v>1015</v>
      </c>
      <c r="G57" s="892"/>
      <c r="H57" s="892"/>
      <c r="I57" s="892"/>
      <c r="J57" s="892"/>
      <c r="K57" s="893"/>
      <c r="L57" s="894"/>
      <c r="M57" s="5" t="s">
        <v>2203</v>
      </c>
      <c r="N57" s="23">
        <f>'Bid 2b'!F790</f>
        <v>4593200</v>
      </c>
    </row>
    <row r="58" spans="1:15" s="957" customFormat="1" ht="60" x14ac:dyDescent="0.25">
      <c r="A58" s="2270"/>
      <c r="B58" s="2273"/>
      <c r="C58" s="961">
        <v>11</v>
      </c>
      <c r="D58" s="958" t="s">
        <v>1938</v>
      </c>
      <c r="E58" s="951" t="s">
        <v>445</v>
      </c>
      <c r="F58" s="951" t="s">
        <v>1015</v>
      </c>
      <c r="G58" s="953"/>
      <c r="H58" s="953"/>
      <c r="I58" s="953"/>
      <c r="J58" s="953"/>
      <c r="K58" s="954"/>
      <c r="L58" s="955"/>
      <c r="M58" s="956" t="s">
        <v>2207</v>
      </c>
    </row>
    <row r="59" spans="1:15" s="957" customFormat="1" ht="45" x14ac:dyDescent="0.25">
      <c r="A59" s="2270"/>
      <c r="B59" s="2273"/>
      <c r="C59" s="961">
        <v>12</v>
      </c>
      <c r="D59" s="958" t="s">
        <v>1939</v>
      </c>
      <c r="E59" s="951">
        <v>12</v>
      </c>
      <c r="F59" s="951" t="s">
        <v>1015</v>
      </c>
      <c r="G59" s="953"/>
      <c r="H59" s="953"/>
      <c r="I59" s="953"/>
      <c r="J59" s="953"/>
      <c r="K59" s="954"/>
      <c r="L59" s="955"/>
    </row>
    <row r="60" spans="1:15" s="957" customFormat="1" ht="30" x14ac:dyDescent="0.25">
      <c r="A60" s="2270"/>
      <c r="B60" s="2273"/>
      <c r="C60" s="961">
        <v>13</v>
      </c>
      <c r="D60" s="958" t="s">
        <v>1940</v>
      </c>
      <c r="E60" s="951">
        <v>3</v>
      </c>
      <c r="F60" s="951" t="s">
        <v>1015</v>
      </c>
      <c r="G60" s="953"/>
      <c r="H60" s="953"/>
      <c r="I60" s="953"/>
      <c r="J60" s="953"/>
      <c r="K60" s="954"/>
      <c r="L60" s="955"/>
    </row>
    <row r="61" spans="1:15" s="957" customFormat="1" ht="30" x14ac:dyDescent="0.25">
      <c r="A61" s="2270"/>
      <c r="B61" s="2273"/>
      <c r="C61" s="961">
        <v>14</v>
      </c>
      <c r="D61" s="958" t="s">
        <v>1941</v>
      </c>
      <c r="E61" s="951">
        <v>3</v>
      </c>
      <c r="F61" s="951" t="s">
        <v>1015</v>
      </c>
      <c r="G61" s="953"/>
      <c r="H61" s="953"/>
      <c r="I61" s="953"/>
      <c r="J61" s="953"/>
      <c r="K61" s="954"/>
      <c r="L61" s="955"/>
    </row>
    <row r="62" spans="1:15" ht="90" x14ac:dyDescent="0.25">
      <c r="A62" s="2270"/>
      <c r="B62" s="2273"/>
      <c r="C62" s="902">
        <v>15</v>
      </c>
      <c r="D62" s="314" t="s">
        <v>1942</v>
      </c>
      <c r="E62" s="272">
        <v>1</v>
      </c>
      <c r="F62" s="272" t="s">
        <v>1015</v>
      </c>
      <c r="G62" s="892"/>
      <c r="H62" s="892"/>
      <c r="I62" s="892"/>
      <c r="J62" s="892"/>
      <c r="K62" s="893"/>
      <c r="L62" s="894"/>
      <c r="M62" s="5" t="s">
        <v>2201</v>
      </c>
      <c r="N62" s="23">
        <f>'Bid 2b'!F709</f>
        <v>8585000</v>
      </c>
    </row>
    <row r="63" spans="1:15" x14ac:dyDescent="0.25">
      <c r="A63" s="2270"/>
      <c r="B63" s="2273"/>
      <c r="C63" s="902">
        <v>17</v>
      </c>
      <c r="D63" s="314" t="s">
        <v>1943</v>
      </c>
      <c r="E63" s="272">
        <v>3</v>
      </c>
      <c r="F63" s="272" t="s">
        <v>1015</v>
      </c>
      <c r="G63" s="892"/>
      <c r="H63" s="892"/>
      <c r="I63" s="892"/>
      <c r="J63" s="892"/>
      <c r="K63" s="893"/>
      <c r="L63" s="894"/>
      <c r="N63" s="23">
        <f>'Bid 2b'!F599</f>
        <v>25990000</v>
      </c>
    </row>
    <row r="64" spans="1:15" ht="45" x14ac:dyDescent="0.25">
      <c r="A64" s="2270"/>
      <c r="B64" s="2273"/>
      <c r="C64" s="902">
        <v>18</v>
      </c>
      <c r="D64" s="314" t="s">
        <v>1944</v>
      </c>
      <c r="E64" s="272">
        <v>3</v>
      </c>
      <c r="F64" s="272" t="s">
        <v>1015</v>
      </c>
      <c r="G64" s="892"/>
      <c r="H64" s="892"/>
      <c r="I64" s="892"/>
      <c r="J64" s="892"/>
      <c r="K64" s="893"/>
      <c r="L64" s="894"/>
      <c r="M64" t="s">
        <v>2195</v>
      </c>
    </row>
    <row r="65" spans="1:19" ht="60" x14ac:dyDescent="0.25">
      <c r="A65" s="2270"/>
      <c r="B65" s="2273"/>
      <c r="C65" s="902">
        <v>19</v>
      </c>
      <c r="D65" s="314" t="s">
        <v>1945</v>
      </c>
      <c r="E65" s="272">
        <v>3</v>
      </c>
      <c r="F65" s="272" t="s">
        <v>1015</v>
      </c>
      <c r="G65" s="892">
        <v>4</v>
      </c>
      <c r="H65" s="892"/>
      <c r="I65" s="892"/>
      <c r="J65" s="892"/>
      <c r="K65" s="893"/>
      <c r="L65" s="894"/>
      <c r="M65" s="5" t="s">
        <v>2200</v>
      </c>
      <c r="N65" s="23">
        <f>'Bid 2b'!F267+'Bid 2b'!F661</f>
        <v>894194100</v>
      </c>
      <c r="O65" t="s">
        <v>2196</v>
      </c>
      <c r="P65" t="s">
        <v>2197</v>
      </c>
      <c r="Q65" t="s">
        <v>2198</v>
      </c>
      <c r="R65" t="s">
        <v>2199</v>
      </c>
      <c r="S65" t="s">
        <v>2202</v>
      </c>
    </row>
    <row r="66" spans="1:19" ht="180" x14ac:dyDescent="0.25">
      <c r="A66" s="2270"/>
      <c r="B66" s="2273"/>
      <c r="C66" s="902">
        <v>20</v>
      </c>
      <c r="D66" s="314" t="s">
        <v>1946</v>
      </c>
      <c r="E66" s="272">
        <v>3</v>
      </c>
      <c r="F66" s="272" t="s">
        <v>1015</v>
      </c>
      <c r="G66" s="892"/>
      <c r="H66" s="892"/>
      <c r="I66" s="892"/>
      <c r="J66" s="892"/>
      <c r="K66" s="893"/>
      <c r="L66" s="894"/>
      <c r="M66" s="5" t="s">
        <v>2213</v>
      </c>
      <c r="N66" s="23">
        <v>46830600</v>
      </c>
      <c r="O66" s="23"/>
      <c r="P66" s="23"/>
      <c r="Q66" s="68"/>
      <c r="R66" s="27"/>
      <c r="S66" s="68"/>
    </row>
    <row r="67" spans="1:19" ht="60" x14ac:dyDescent="0.25">
      <c r="A67" s="2270"/>
      <c r="B67" s="2273"/>
      <c r="C67" s="902">
        <v>21</v>
      </c>
      <c r="D67" s="314" t="s">
        <v>1947</v>
      </c>
      <c r="E67" s="272">
        <v>2</v>
      </c>
      <c r="F67" s="272" t="s">
        <v>1015</v>
      </c>
      <c r="G67" s="892">
        <v>4</v>
      </c>
      <c r="H67" s="892"/>
      <c r="I67" s="892"/>
      <c r="J67" s="892"/>
      <c r="K67" s="893"/>
      <c r="L67" s="894"/>
      <c r="M67" s="5" t="s">
        <v>2208</v>
      </c>
      <c r="N67" t="s">
        <v>2268</v>
      </c>
      <c r="S67" s="23"/>
    </row>
    <row r="68" spans="1:19" ht="30" x14ac:dyDescent="0.25">
      <c r="A68" s="2270"/>
      <c r="B68" s="2273"/>
      <c r="C68" s="902">
        <v>22</v>
      </c>
      <c r="D68" s="314" t="s">
        <v>1948</v>
      </c>
      <c r="E68" s="272">
        <v>3</v>
      </c>
      <c r="F68" s="272" t="s">
        <v>1015</v>
      </c>
      <c r="G68" s="892">
        <v>4</v>
      </c>
      <c r="H68" s="892"/>
      <c r="I68" s="892"/>
      <c r="J68" s="892"/>
      <c r="K68" s="893"/>
      <c r="L68" s="894"/>
      <c r="N68" s="23">
        <f>'Bid 2b'!F552</f>
        <v>25440000</v>
      </c>
    </row>
    <row r="69" spans="1:19" ht="30" x14ac:dyDescent="0.25">
      <c r="A69" s="2270"/>
      <c r="B69" s="2273"/>
      <c r="C69" s="902">
        <v>23</v>
      </c>
      <c r="D69" s="314" t="s">
        <v>1949</v>
      </c>
      <c r="E69" s="272">
        <v>12</v>
      </c>
      <c r="F69" s="272" t="s">
        <v>1015</v>
      </c>
      <c r="G69" s="892"/>
      <c r="H69" s="892"/>
      <c r="I69" s="892"/>
      <c r="J69" s="892"/>
      <c r="K69" s="893"/>
      <c r="L69" s="894"/>
      <c r="N69" s="68">
        <f>'Bid 2b'!F2423</f>
        <v>111982000</v>
      </c>
    </row>
    <row r="70" spans="1:19" x14ac:dyDescent="0.25">
      <c r="A70" s="2270"/>
      <c r="B70" s="2273"/>
      <c r="C70" s="902">
        <v>24</v>
      </c>
      <c r="D70" s="314" t="s">
        <v>1950</v>
      </c>
      <c r="E70" s="272">
        <v>12</v>
      </c>
      <c r="F70" s="272" t="s">
        <v>1015</v>
      </c>
      <c r="G70" s="892"/>
      <c r="H70" s="892"/>
      <c r="I70" s="892"/>
      <c r="J70" s="892"/>
      <c r="K70" s="893"/>
      <c r="L70" s="894"/>
      <c r="N70" s="68">
        <f>'Bid 2b'!F2375</f>
        <v>45256000</v>
      </c>
    </row>
    <row r="71" spans="1:19" ht="30" x14ac:dyDescent="0.25">
      <c r="A71" s="2270"/>
      <c r="B71" s="2273"/>
      <c r="C71" s="902">
        <v>25</v>
      </c>
      <c r="D71" s="314" t="s">
        <v>1951</v>
      </c>
      <c r="E71" s="272">
        <v>3</v>
      </c>
      <c r="F71" s="272" t="s">
        <v>1015</v>
      </c>
      <c r="G71" s="892"/>
      <c r="H71" s="892"/>
      <c r="I71" s="892"/>
      <c r="J71" s="892"/>
      <c r="K71" s="893"/>
      <c r="L71" s="894"/>
      <c r="N71" s="23">
        <f>'Bid 2b'!F865</f>
        <v>1802000</v>
      </c>
    </row>
    <row r="72" spans="1:19" ht="30" x14ac:dyDescent="0.25">
      <c r="A72" s="2270"/>
      <c r="B72" s="2273"/>
      <c r="C72" s="902">
        <v>26</v>
      </c>
      <c r="D72" s="314" t="s">
        <v>1952</v>
      </c>
      <c r="E72" s="272">
        <v>2</v>
      </c>
      <c r="F72" s="272" t="s">
        <v>1015</v>
      </c>
      <c r="G72" s="892"/>
      <c r="H72" s="892"/>
      <c r="I72" s="892"/>
      <c r="J72" s="892"/>
      <c r="K72" s="893"/>
      <c r="L72" s="894"/>
      <c r="M72" t="s">
        <v>2209</v>
      </c>
    </row>
    <row r="73" spans="1:19" s="957" customFormat="1" ht="30" x14ac:dyDescent="0.25">
      <c r="A73" s="2270"/>
      <c r="B73" s="2273"/>
      <c r="C73" s="961">
        <v>27</v>
      </c>
      <c r="D73" s="958" t="s">
        <v>1953</v>
      </c>
      <c r="E73" s="951">
        <v>3</v>
      </c>
      <c r="F73" s="951" t="s">
        <v>1015</v>
      </c>
      <c r="G73" s="953"/>
      <c r="H73" s="953"/>
      <c r="I73" s="953"/>
      <c r="J73" s="953"/>
      <c r="K73" s="954"/>
      <c r="L73" s="955"/>
    </row>
    <row r="74" spans="1:19" x14ac:dyDescent="0.25">
      <c r="A74" s="2270"/>
      <c r="B74" s="2273"/>
      <c r="C74" s="902">
        <v>28</v>
      </c>
      <c r="D74" s="314" t="s">
        <v>1954</v>
      </c>
      <c r="E74" s="272">
        <v>3</v>
      </c>
      <c r="F74" s="272" t="s">
        <v>1015</v>
      </c>
      <c r="G74" s="892"/>
      <c r="H74" s="892"/>
      <c r="I74" s="892"/>
      <c r="J74" s="892"/>
      <c r="K74" s="893"/>
      <c r="L74" s="894"/>
      <c r="N74" s="23">
        <f>'Bid 2b'!F1009</f>
        <v>17529943</v>
      </c>
    </row>
    <row r="75" spans="1:19" ht="45" x14ac:dyDescent="0.25">
      <c r="A75" s="2270"/>
      <c r="B75" s="2273"/>
      <c r="C75" s="902">
        <v>29</v>
      </c>
      <c r="D75" s="314" t="s">
        <v>1955</v>
      </c>
      <c r="E75" s="272">
        <v>3</v>
      </c>
      <c r="F75" s="272" t="s">
        <v>1015</v>
      </c>
      <c r="G75" s="892"/>
      <c r="H75" s="892"/>
      <c r="I75" s="892"/>
      <c r="J75" s="892"/>
      <c r="K75" s="893"/>
      <c r="L75" s="894"/>
      <c r="M75" s="2262" t="s">
        <v>1640</v>
      </c>
      <c r="N75" s="23">
        <f>'Bid 2b'!F1062</f>
        <v>51996000</v>
      </c>
    </row>
    <row r="76" spans="1:19" ht="30" x14ac:dyDescent="0.25">
      <c r="A76" s="2270"/>
      <c r="B76" s="2273"/>
      <c r="C76" s="902">
        <v>30</v>
      </c>
      <c r="D76" s="314" t="s">
        <v>1956</v>
      </c>
      <c r="E76" s="272">
        <v>12</v>
      </c>
      <c r="F76" s="272" t="s">
        <v>1015</v>
      </c>
      <c r="G76" s="892"/>
      <c r="H76" s="892"/>
      <c r="I76" s="892"/>
      <c r="J76" s="892"/>
      <c r="K76" s="893"/>
      <c r="L76" s="894"/>
      <c r="M76" s="2262"/>
    </row>
    <row r="77" spans="1:19" s="96" customFormat="1" ht="30" x14ac:dyDescent="0.25">
      <c r="A77" s="2270"/>
      <c r="B77" s="2273"/>
      <c r="C77" s="960">
        <v>31</v>
      </c>
      <c r="D77" s="959" t="s">
        <v>1957</v>
      </c>
      <c r="E77" s="909">
        <v>5</v>
      </c>
      <c r="F77" s="909" t="s">
        <v>1015</v>
      </c>
      <c r="G77" s="905"/>
      <c r="H77" s="905"/>
      <c r="I77" s="905"/>
      <c r="J77" s="905"/>
      <c r="K77" s="906"/>
      <c r="L77" s="865"/>
    </row>
    <row r="78" spans="1:19" s="957" customFormat="1" ht="30" x14ac:dyDescent="0.25">
      <c r="A78" s="2270"/>
      <c r="B78" s="2273"/>
      <c r="C78" s="961">
        <v>32</v>
      </c>
      <c r="D78" s="958" t="s">
        <v>1958</v>
      </c>
      <c r="E78" s="951">
        <v>3</v>
      </c>
      <c r="F78" s="951" t="s">
        <v>1015</v>
      </c>
      <c r="G78" s="953"/>
      <c r="H78" s="953"/>
      <c r="I78" s="953"/>
      <c r="J78" s="953"/>
      <c r="K78" s="954"/>
      <c r="L78" s="955"/>
    </row>
    <row r="79" spans="1:19" s="957" customFormat="1" ht="60" x14ac:dyDescent="0.25">
      <c r="A79" s="2270"/>
      <c r="B79" s="2273"/>
      <c r="C79" s="961">
        <v>33</v>
      </c>
      <c r="D79" s="958" t="s">
        <v>1959</v>
      </c>
      <c r="E79" s="951">
        <v>2</v>
      </c>
      <c r="F79" s="951" t="s">
        <v>1015</v>
      </c>
      <c r="G79" s="953">
        <v>4</v>
      </c>
      <c r="H79" s="953"/>
      <c r="I79" s="953"/>
      <c r="J79" s="953"/>
      <c r="K79" s="954"/>
      <c r="L79" s="955"/>
      <c r="M79" s="956" t="s">
        <v>2210</v>
      </c>
    </row>
    <row r="80" spans="1:19" s="957" customFormat="1" ht="30" x14ac:dyDescent="0.25">
      <c r="A80" s="2270"/>
      <c r="B80" s="2273"/>
      <c r="C80" s="961">
        <v>34</v>
      </c>
      <c r="D80" s="958" t="s">
        <v>1960</v>
      </c>
      <c r="E80" s="951">
        <v>3</v>
      </c>
      <c r="F80" s="951" t="s">
        <v>1015</v>
      </c>
      <c r="G80" s="953"/>
      <c r="H80" s="953"/>
      <c r="I80" s="953"/>
      <c r="J80" s="953"/>
      <c r="K80" s="954"/>
      <c r="L80" s="955"/>
    </row>
    <row r="81" spans="1:15" s="96" customFormat="1" ht="45" x14ac:dyDescent="0.25">
      <c r="A81" s="2270"/>
      <c r="B81" s="2273"/>
      <c r="C81" s="960">
        <v>35</v>
      </c>
      <c r="D81" s="959" t="s">
        <v>1961</v>
      </c>
      <c r="E81" s="909">
        <v>3</v>
      </c>
      <c r="F81" s="909" t="s">
        <v>1015</v>
      </c>
      <c r="G81" s="905"/>
      <c r="H81" s="905"/>
      <c r="I81" s="905"/>
      <c r="J81" s="905"/>
      <c r="K81" s="906"/>
      <c r="L81" s="865"/>
      <c r="M81" s="962" t="s">
        <v>2204</v>
      </c>
      <c r="N81" s="963">
        <f>'Bid 2b'!F900</f>
        <v>1095000</v>
      </c>
    </row>
    <row r="82" spans="1:15" x14ac:dyDescent="0.25">
      <c r="A82" s="2270"/>
      <c r="B82" s="2273"/>
      <c r="C82" s="902">
        <v>36</v>
      </c>
      <c r="D82" s="314" t="s">
        <v>1962</v>
      </c>
      <c r="E82" s="272">
        <v>3</v>
      </c>
      <c r="F82" s="272" t="s">
        <v>1015</v>
      </c>
      <c r="G82" s="892"/>
      <c r="H82" s="892"/>
      <c r="I82" s="892"/>
      <c r="J82" s="892"/>
      <c r="K82" s="893"/>
      <c r="L82" s="894"/>
      <c r="M82" t="s">
        <v>2211</v>
      </c>
    </row>
    <row r="83" spans="1:15" x14ac:dyDescent="0.25">
      <c r="A83" s="2270"/>
      <c r="B83" s="2273"/>
      <c r="C83" s="902">
        <v>37</v>
      </c>
      <c r="D83" s="314" t="s">
        <v>1963</v>
      </c>
      <c r="E83" s="272">
        <v>3</v>
      </c>
      <c r="F83" s="272" t="s">
        <v>1015</v>
      </c>
      <c r="G83" s="892"/>
      <c r="H83" s="892"/>
      <c r="I83" s="892"/>
      <c r="J83" s="892"/>
      <c r="K83" s="893"/>
      <c r="L83" s="894"/>
      <c r="M83" s="5" t="s">
        <v>2211</v>
      </c>
    </row>
    <row r="84" spans="1:15" x14ac:dyDescent="0.25">
      <c r="A84" s="2270"/>
      <c r="B84" s="2273"/>
      <c r="C84" s="902">
        <v>38</v>
      </c>
      <c r="D84" s="314" t="s">
        <v>1964</v>
      </c>
      <c r="E84" s="272">
        <v>3</v>
      </c>
      <c r="F84" s="272" t="s">
        <v>1015</v>
      </c>
      <c r="G84" s="892"/>
      <c r="H84" s="892"/>
      <c r="I84" s="892"/>
      <c r="J84" s="892"/>
      <c r="K84" s="893"/>
      <c r="L84" s="894"/>
      <c r="M84" t="s">
        <v>2205</v>
      </c>
    </row>
    <row r="85" spans="1:15" ht="45" x14ac:dyDescent="0.25">
      <c r="A85" s="2270"/>
      <c r="B85" s="2273"/>
      <c r="C85" s="902">
        <v>39</v>
      </c>
      <c r="D85" s="314" t="s">
        <v>1965</v>
      </c>
      <c r="E85" s="272">
        <v>3</v>
      </c>
      <c r="F85" s="272" t="s">
        <v>1015</v>
      </c>
      <c r="G85" s="892"/>
      <c r="H85" s="892"/>
      <c r="I85" s="892"/>
      <c r="J85" s="892"/>
      <c r="K85" s="893"/>
      <c r="L85" s="894"/>
      <c r="M85" s="5" t="s">
        <v>2206</v>
      </c>
      <c r="N85" s="68">
        <v>8131187.0899999999</v>
      </c>
      <c r="O85" s="23"/>
    </row>
    <row r="86" spans="1:15" x14ac:dyDescent="0.25">
      <c r="A86" s="2270"/>
      <c r="B86" s="2273"/>
      <c r="C86" s="902">
        <v>40</v>
      </c>
      <c r="D86" s="314" t="s">
        <v>1966</v>
      </c>
      <c r="E86" s="272">
        <v>5</v>
      </c>
      <c r="F86" s="272" t="s">
        <v>1015</v>
      </c>
      <c r="G86" s="892"/>
      <c r="H86" s="892"/>
      <c r="I86" s="892"/>
      <c r="J86" s="892"/>
      <c r="K86" s="893"/>
      <c r="L86" s="894"/>
      <c r="N86" t="s">
        <v>2269</v>
      </c>
      <c r="O86" s="23"/>
    </row>
    <row r="87" spans="1:15" x14ac:dyDescent="0.25">
      <c r="A87" s="2270"/>
      <c r="B87" s="2273"/>
      <c r="C87" s="902">
        <v>41</v>
      </c>
      <c r="D87" s="314" t="s">
        <v>1967</v>
      </c>
      <c r="E87" s="272">
        <v>12</v>
      </c>
      <c r="F87" s="272" t="s">
        <v>1015</v>
      </c>
      <c r="G87" s="907">
        <v>2</v>
      </c>
      <c r="H87" s="892"/>
      <c r="I87" s="892"/>
      <c r="J87" s="892"/>
      <c r="K87" s="893"/>
      <c r="L87" s="894"/>
      <c r="N87" t="s">
        <v>2269</v>
      </c>
    </row>
    <row r="88" spans="1:15" s="957" customFormat="1" ht="75" x14ac:dyDescent="0.25">
      <c r="A88" s="2270"/>
      <c r="B88" s="2273"/>
      <c r="C88" s="961">
        <v>42</v>
      </c>
      <c r="D88" s="958" t="s">
        <v>1968</v>
      </c>
      <c r="E88" s="951">
        <v>3</v>
      </c>
      <c r="F88" s="951" t="s">
        <v>1015</v>
      </c>
      <c r="G88" s="953"/>
      <c r="H88" s="953"/>
      <c r="I88" s="953"/>
      <c r="J88" s="953"/>
      <c r="K88" s="954"/>
      <c r="L88" s="955"/>
      <c r="M88" s="957" t="s">
        <v>2270</v>
      </c>
    </row>
    <row r="89" spans="1:15" s="957" customFormat="1" ht="45" x14ac:dyDescent="0.25">
      <c r="A89" s="2270"/>
      <c r="B89" s="2273"/>
      <c r="C89" s="961">
        <v>43</v>
      </c>
      <c r="D89" s="958" t="s">
        <v>1969</v>
      </c>
      <c r="E89" s="951">
        <v>3</v>
      </c>
      <c r="F89" s="951" t="s">
        <v>1015</v>
      </c>
      <c r="G89" s="953"/>
      <c r="H89" s="953"/>
      <c r="I89" s="953"/>
      <c r="J89" s="953"/>
      <c r="K89" s="954"/>
      <c r="L89" s="955"/>
      <c r="M89" s="957" t="s">
        <v>2271</v>
      </c>
    </row>
    <row r="90" spans="1:15" s="957" customFormat="1" ht="45" x14ac:dyDescent="0.25">
      <c r="A90" s="2270"/>
      <c r="B90" s="2273"/>
      <c r="C90" s="961">
        <v>44</v>
      </c>
      <c r="D90" s="958" t="s">
        <v>1970</v>
      </c>
      <c r="E90" s="951">
        <v>8</v>
      </c>
      <c r="F90" s="951" t="s">
        <v>1015</v>
      </c>
      <c r="G90" s="953"/>
      <c r="H90" s="953"/>
      <c r="I90" s="953"/>
      <c r="J90" s="953"/>
      <c r="K90" s="954"/>
      <c r="L90" s="955"/>
    </row>
    <row r="91" spans="1:15" s="957" customFormat="1" ht="30" x14ac:dyDescent="0.25">
      <c r="A91" s="2270"/>
      <c r="B91" s="2273"/>
      <c r="C91" s="961">
        <v>45</v>
      </c>
      <c r="D91" s="958" t="s">
        <v>1971</v>
      </c>
      <c r="E91" s="951">
        <v>18</v>
      </c>
      <c r="F91" s="951" t="s">
        <v>1015</v>
      </c>
      <c r="G91" s="953"/>
      <c r="H91" s="953"/>
      <c r="I91" s="953"/>
      <c r="J91" s="953"/>
      <c r="K91" s="954"/>
      <c r="L91" s="955"/>
    </row>
    <row r="92" spans="1:15" s="957" customFormat="1" x14ac:dyDescent="0.25">
      <c r="A92" s="2270"/>
      <c r="B92" s="2273"/>
      <c r="C92" s="961">
        <v>46</v>
      </c>
      <c r="D92" s="958" t="s">
        <v>1972</v>
      </c>
      <c r="E92" s="951">
        <v>3</v>
      </c>
      <c r="F92" s="951" t="s">
        <v>1015</v>
      </c>
      <c r="G92" s="953"/>
      <c r="H92" s="953"/>
      <c r="I92" s="953"/>
      <c r="J92" s="953"/>
      <c r="K92" s="954"/>
      <c r="L92" s="955"/>
    </row>
    <row r="93" spans="1:15" s="957" customFormat="1" x14ac:dyDescent="0.25">
      <c r="A93" s="2270"/>
      <c r="B93" s="2273"/>
      <c r="C93" s="961">
        <v>47</v>
      </c>
      <c r="D93" s="958" t="s">
        <v>1973</v>
      </c>
      <c r="E93" s="951">
        <v>2</v>
      </c>
      <c r="F93" s="951" t="s">
        <v>1015</v>
      </c>
      <c r="G93" s="953"/>
      <c r="H93" s="953"/>
      <c r="I93" s="953"/>
      <c r="J93" s="953"/>
      <c r="K93" s="954"/>
      <c r="L93" s="955"/>
    </row>
    <row r="94" spans="1:15" s="957" customFormat="1" ht="30" x14ac:dyDescent="0.25">
      <c r="A94" s="2270"/>
      <c r="B94" s="2273"/>
      <c r="C94" s="961">
        <v>48</v>
      </c>
      <c r="D94" s="958" t="s">
        <v>1974</v>
      </c>
      <c r="E94" s="951">
        <v>3</v>
      </c>
      <c r="F94" s="951" t="s">
        <v>1015</v>
      </c>
      <c r="G94" s="953"/>
      <c r="H94" s="953"/>
      <c r="I94" s="953"/>
      <c r="J94" s="953"/>
      <c r="K94" s="954"/>
      <c r="L94" s="955"/>
    </row>
    <row r="95" spans="1:15" s="957" customFormat="1" x14ac:dyDescent="0.25">
      <c r="A95" s="2270"/>
      <c r="B95" s="2273"/>
      <c r="C95" s="961">
        <v>49</v>
      </c>
      <c r="D95" s="958" t="s">
        <v>1975</v>
      </c>
      <c r="E95" s="951">
        <v>3</v>
      </c>
      <c r="F95" s="951" t="s">
        <v>1015</v>
      </c>
      <c r="G95" s="953"/>
      <c r="H95" s="953"/>
      <c r="I95" s="953"/>
      <c r="J95" s="953"/>
      <c r="K95" s="954"/>
      <c r="L95" s="955"/>
      <c r="M95" s="957" t="s">
        <v>2209</v>
      </c>
    </row>
    <row r="96" spans="1:15" s="957" customFormat="1" ht="30" x14ac:dyDescent="0.25">
      <c r="A96" s="2270"/>
      <c r="B96" s="2273"/>
      <c r="C96" s="961">
        <v>50</v>
      </c>
      <c r="D96" s="958" t="s">
        <v>1976</v>
      </c>
      <c r="E96" s="951">
        <v>3</v>
      </c>
      <c r="F96" s="951" t="s">
        <v>1015</v>
      </c>
      <c r="G96" s="953"/>
      <c r="H96" s="953"/>
      <c r="I96" s="953"/>
      <c r="J96" s="953"/>
      <c r="K96" s="954"/>
      <c r="L96" s="955"/>
      <c r="M96" s="956" t="s">
        <v>2212</v>
      </c>
    </row>
    <row r="97" spans="1:15" s="957" customFormat="1" ht="60" x14ac:dyDescent="0.25">
      <c r="A97" s="2270"/>
      <c r="B97" s="2273"/>
      <c r="C97" s="961">
        <v>51</v>
      </c>
      <c r="D97" s="958" t="s">
        <v>1977</v>
      </c>
      <c r="E97" s="951">
        <v>3</v>
      </c>
      <c r="F97" s="951" t="s">
        <v>1015</v>
      </c>
      <c r="G97" s="953"/>
      <c r="H97" s="953"/>
      <c r="I97" s="953"/>
      <c r="J97" s="953"/>
      <c r="K97" s="954"/>
      <c r="L97" s="955"/>
      <c r="M97" s="956" t="s">
        <v>2214</v>
      </c>
    </row>
    <row r="98" spans="1:15" ht="30" x14ac:dyDescent="0.25">
      <c r="A98" s="2270"/>
      <c r="B98" s="2273"/>
      <c r="C98" s="902">
        <v>52</v>
      </c>
      <c r="D98" s="314" t="s">
        <v>1978</v>
      </c>
      <c r="E98" s="272">
        <v>9</v>
      </c>
      <c r="F98" s="272" t="s">
        <v>1015</v>
      </c>
      <c r="G98" s="892"/>
      <c r="H98" s="892"/>
      <c r="I98" s="892"/>
      <c r="J98" s="892"/>
      <c r="K98" s="893"/>
      <c r="L98" s="894"/>
    </row>
    <row r="99" spans="1:15" ht="60" x14ac:dyDescent="0.25">
      <c r="A99" s="2270"/>
      <c r="B99" s="2273"/>
      <c r="C99" s="902">
        <v>53</v>
      </c>
      <c r="D99" s="314" t="s">
        <v>1979</v>
      </c>
      <c r="E99" s="272">
        <v>6</v>
      </c>
      <c r="F99" s="272" t="s">
        <v>1015</v>
      </c>
      <c r="G99" s="892"/>
      <c r="H99" s="892"/>
      <c r="I99" s="892"/>
      <c r="J99" s="892"/>
      <c r="K99" s="893"/>
      <c r="L99" s="894"/>
    </row>
    <row r="100" spans="1:15" ht="45" x14ac:dyDescent="0.25">
      <c r="A100" s="2270"/>
      <c r="B100" s="2273"/>
      <c r="C100" s="902">
        <v>54</v>
      </c>
      <c r="D100" s="314" t="s">
        <v>1980</v>
      </c>
      <c r="E100" s="272">
        <v>9</v>
      </c>
      <c r="F100" s="272" t="s">
        <v>1015</v>
      </c>
      <c r="G100" s="892">
        <v>2</v>
      </c>
      <c r="H100" s="892"/>
      <c r="I100" s="892"/>
      <c r="J100" s="892"/>
      <c r="K100" s="893"/>
      <c r="L100" s="894"/>
      <c r="M100" t="s">
        <v>2215</v>
      </c>
      <c r="N100" s="927">
        <v>500000000</v>
      </c>
      <c r="O100" t="s">
        <v>2272</v>
      </c>
    </row>
    <row r="101" spans="1:15" ht="45" x14ac:dyDescent="0.25">
      <c r="A101" s="2270"/>
      <c r="B101" s="2273"/>
      <c r="C101" s="902">
        <v>55</v>
      </c>
      <c r="D101" s="314" t="s">
        <v>1981</v>
      </c>
      <c r="E101" s="272">
        <v>9</v>
      </c>
      <c r="F101" s="272" t="s">
        <v>1015</v>
      </c>
      <c r="G101" s="892"/>
      <c r="H101" s="892"/>
      <c r="I101" s="892"/>
      <c r="J101" s="892"/>
      <c r="K101" s="893"/>
      <c r="L101" s="894"/>
      <c r="M101" t="s">
        <v>2216</v>
      </c>
      <c r="N101" s="68">
        <v>200000000</v>
      </c>
    </row>
    <row r="102" spans="1:15" x14ac:dyDescent="0.25">
      <c r="A102" s="2270"/>
      <c r="B102" s="2273"/>
      <c r="C102" s="902">
        <v>56</v>
      </c>
      <c r="D102" s="314" t="s">
        <v>1982</v>
      </c>
      <c r="E102" s="272">
        <v>15</v>
      </c>
      <c r="F102" s="272" t="s">
        <v>1015</v>
      </c>
      <c r="G102" s="892"/>
      <c r="H102" s="892"/>
      <c r="I102" s="892"/>
      <c r="J102" s="892"/>
      <c r="K102" s="893"/>
      <c r="L102" s="894"/>
    </row>
    <row r="103" spans="1:15" s="957" customFormat="1" ht="45" x14ac:dyDescent="0.25">
      <c r="A103" s="2270"/>
      <c r="B103" s="2273"/>
      <c r="C103" s="961">
        <v>57</v>
      </c>
      <c r="D103" s="958" t="s">
        <v>1983</v>
      </c>
      <c r="E103" s="951">
        <v>9</v>
      </c>
      <c r="F103" s="951" t="s">
        <v>1015</v>
      </c>
      <c r="G103" s="953"/>
      <c r="H103" s="953"/>
      <c r="I103" s="953"/>
      <c r="J103" s="953"/>
      <c r="K103" s="954"/>
      <c r="L103" s="955"/>
    </row>
    <row r="104" spans="1:15" s="96" customFormat="1" ht="60" x14ac:dyDescent="0.25">
      <c r="A104" s="2270"/>
      <c r="B104" s="2273"/>
      <c r="C104" s="960">
        <v>58</v>
      </c>
      <c r="D104" s="959" t="s">
        <v>1984</v>
      </c>
      <c r="E104" s="909">
        <v>9</v>
      </c>
      <c r="F104" s="909" t="s">
        <v>1015</v>
      </c>
      <c r="G104" s="905"/>
      <c r="H104" s="905"/>
      <c r="I104" s="905"/>
      <c r="J104" s="905"/>
      <c r="K104" s="906"/>
      <c r="L104" s="865"/>
      <c r="M104" s="96" t="s">
        <v>2215</v>
      </c>
      <c r="N104" s="963">
        <v>200000000</v>
      </c>
    </row>
    <row r="105" spans="1:15" ht="30" x14ac:dyDescent="0.25">
      <c r="A105" s="2270"/>
      <c r="B105" s="2273"/>
      <c r="C105" s="902">
        <v>59</v>
      </c>
      <c r="D105" s="314" t="s">
        <v>1985</v>
      </c>
      <c r="E105" s="272">
        <v>9</v>
      </c>
      <c r="F105" s="272" t="s">
        <v>1015</v>
      </c>
      <c r="G105" s="892"/>
      <c r="H105" s="892"/>
      <c r="I105" s="892"/>
      <c r="J105" s="892"/>
      <c r="K105" s="893"/>
      <c r="L105" s="894"/>
      <c r="M105" t="s">
        <v>2217</v>
      </c>
    </row>
    <row r="106" spans="1:15" ht="30" x14ac:dyDescent="0.25">
      <c r="A106" s="2270"/>
      <c r="B106" s="2273"/>
      <c r="C106" s="902">
        <v>60</v>
      </c>
      <c r="D106" s="314" t="s">
        <v>1986</v>
      </c>
      <c r="E106" s="272">
        <v>9</v>
      </c>
      <c r="F106" s="272" t="s">
        <v>1015</v>
      </c>
      <c r="G106" s="892"/>
      <c r="H106" s="892"/>
      <c r="I106" s="892"/>
      <c r="J106" s="892"/>
      <c r="K106" s="893"/>
      <c r="L106" s="894"/>
      <c r="M106" t="s">
        <v>2217</v>
      </c>
    </row>
    <row r="107" spans="1:15" s="96" customFormat="1" x14ac:dyDescent="0.25">
      <c r="A107" s="2270"/>
      <c r="B107" s="2273"/>
      <c r="C107" s="960">
        <v>61</v>
      </c>
      <c r="D107" s="964" t="s">
        <v>1987</v>
      </c>
      <c r="E107" s="965">
        <v>9</v>
      </c>
      <c r="F107" s="966" t="s">
        <v>1926</v>
      </c>
      <c r="G107" s="967"/>
      <c r="H107" s="965"/>
      <c r="I107" s="965"/>
      <c r="J107" s="968"/>
      <c r="K107" s="968"/>
      <c r="L107" s="968"/>
    </row>
    <row r="108" spans="1:15" s="957" customFormat="1" ht="30" x14ac:dyDescent="0.25">
      <c r="A108" s="2270"/>
      <c r="B108" s="2273"/>
      <c r="C108" s="961">
        <v>62</v>
      </c>
      <c r="D108" s="958" t="s">
        <v>1988</v>
      </c>
      <c r="E108" s="951">
        <v>9</v>
      </c>
      <c r="F108" s="951" t="s">
        <v>1015</v>
      </c>
      <c r="G108" s="953"/>
      <c r="H108" s="953"/>
      <c r="I108" s="953"/>
      <c r="J108" s="953"/>
      <c r="K108" s="954"/>
      <c r="L108" s="955"/>
    </row>
    <row r="109" spans="1:15" ht="30" x14ac:dyDescent="0.25">
      <c r="A109" s="2270"/>
      <c r="B109" s="2273"/>
      <c r="C109" s="902">
        <v>63</v>
      </c>
      <c r="D109" s="314" t="s">
        <v>1989</v>
      </c>
      <c r="E109" s="272">
        <v>9</v>
      </c>
      <c r="F109" s="272" t="s">
        <v>1015</v>
      </c>
      <c r="G109" s="892"/>
      <c r="H109" s="892"/>
      <c r="I109" s="892"/>
      <c r="J109" s="892"/>
      <c r="K109" s="893"/>
      <c r="L109" s="894"/>
      <c r="M109" t="s">
        <v>2215</v>
      </c>
      <c r="N109" s="68">
        <v>150000000</v>
      </c>
    </row>
    <row r="110" spans="1:15" ht="30" x14ac:dyDescent="0.25">
      <c r="A110" s="2270"/>
      <c r="B110" s="2273"/>
      <c r="C110" s="902">
        <v>64</v>
      </c>
      <c r="D110" s="314" t="s">
        <v>1990</v>
      </c>
      <c r="E110" s="272">
        <v>9</v>
      </c>
      <c r="F110" s="272" t="s">
        <v>1015</v>
      </c>
      <c r="G110" s="892"/>
      <c r="H110" s="892"/>
      <c r="I110" s="892"/>
      <c r="J110" s="892"/>
      <c r="K110" s="893"/>
      <c r="L110" s="894"/>
      <c r="M110" t="s">
        <v>2215</v>
      </c>
      <c r="N110" s="68">
        <v>150000000</v>
      </c>
    </row>
    <row r="111" spans="1:15" s="96" customFormat="1" ht="75" x14ac:dyDescent="0.25">
      <c r="A111" s="2270"/>
      <c r="B111" s="2273"/>
      <c r="C111" s="960">
        <v>65</v>
      </c>
      <c r="D111" s="959" t="s">
        <v>1991</v>
      </c>
      <c r="E111" s="909">
        <v>6</v>
      </c>
      <c r="F111" s="909" t="s">
        <v>1015</v>
      </c>
      <c r="G111" s="905"/>
      <c r="H111" s="905"/>
      <c r="I111" s="905"/>
      <c r="J111" s="905"/>
      <c r="K111" s="906"/>
      <c r="L111" s="865"/>
      <c r="M111" s="96" t="s">
        <v>2273</v>
      </c>
    </row>
    <row r="112" spans="1:15" ht="45" x14ac:dyDescent="0.25">
      <c r="A112" s="2270"/>
      <c r="B112" s="2273"/>
      <c r="C112" s="902">
        <v>66</v>
      </c>
      <c r="D112" s="314" t="s">
        <v>1992</v>
      </c>
      <c r="E112" s="272">
        <v>6</v>
      </c>
      <c r="F112" s="272" t="s">
        <v>1015</v>
      </c>
      <c r="G112" s="892"/>
      <c r="H112" s="892"/>
      <c r="I112" s="892"/>
      <c r="J112" s="892"/>
      <c r="K112" s="893"/>
      <c r="L112" s="894"/>
      <c r="M112" t="s">
        <v>2215</v>
      </c>
      <c r="N112" s="68">
        <v>200000000</v>
      </c>
    </row>
    <row r="113" spans="1:15" s="96" customFormat="1" ht="30" x14ac:dyDescent="0.25">
      <c r="A113" s="2270"/>
      <c r="B113" s="2273"/>
      <c r="C113" s="960">
        <v>67</v>
      </c>
      <c r="D113" s="959" t="s">
        <v>1993</v>
      </c>
      <c r="E113" s="909">
        <v>6</v>
      </c>
      <c r="F113" s="909" t="s">
        <v>1015</v>
      </c>
      <c r="G113" s="905"/>
      <c r="H113" s="905"/>
      <c r="I113" s="905"/>
      <c r="J113" s="905"/>
      <c r="K113" s="906"/>
      <c r="L113" s="865"/>
    </row>
    <row r="114" spans="1:15" ht="60" x14ac:dyDescent="0.25">
      <c r="A114" s="2270"/>
      <c r="B114" s="2273"/>
      <c r="C114" s="902">
        <v>68</v>
      </c>
      <c r="D114" s="314" t="s">
        <v>1994</v>
      </c>
      <c r="E114" s="272">
        <v>6</v>
      </c>
      <c r="F114" s="272" t="s">
        <v>1015</v>
      </c>
      <c r="G114" s="892"/>
      <c r="H114" s="892"/>
      <c r="I114" s="892"/>
      <c r="J114" s="892"/>
      <c r="K114" s="893"/>
      <c r="L114" s="894"/>
      <c r="M114" t="s">
        <v>2274</v>
      </c>
    </row>
    <row r="115" spans="1:15" ht="30" x14ac:dyDescent="0.25">
      <c r="A115" s="2270"/>
      <c r="B115" s="2273"/>
      <c r="C115" s="902">
        <v>69</v>
      </c>
      <c r="D115" s="314" t="s">
        <v>1995</v>
      </c>
      <c r="E115" s="272">
        <v>6</v>
      </c>
      <c r="F115" s="272" t="s">
        <v>1015</v>
      </c>
      <c r="G115" s="892"/>
      <c r="H115" s="892"/>
      <c r="I115" s="892"/>
      <c r="J115" s="892"/>
      <c r="K115" s="893"/>
      <c r="L115" s="894"/>
      <c r="M115" s="96" t="s">
        <v>2217</v>
      </c>
    </row>
    <row r="116" spans="1:15" ht="45" x14ac:dyDescent="0.25">
      <c r="A116" s="2270"/>
      <c r="B116" s="2273"/>
      <c r="C116" s="902">
        <v>70</v>
      </c>
      <c r="D116" s="314" t="s">
        <v>1996</v>
      </c>
      <c r="E116" s="272">
        <v>9</v>
      </c>
      <c r="F116" s="272" t="s">
        <v>1015</v>
      </c>
      <c r="G116" s="892"/>
      <c r="H116" s="892"/>
      <c r="I116" s="892"/>
      <c r="J116" s="892"/>
      <c r="K116" s="893"/>
      <c r="L116" s="894"/>
      <c r="N116" t="s">
        <v>2275</v>
      </c>
    </row>
    <row r="117" spans="1:15" ht="30" x14ac:dyDescent="0.25">
      <c r="A117" s="2270"/>
      <c r="B117" s="2273"/>
      <c r="C117" s="902">
        <v>71</v>
      </c>
      <c r="D117" s="314" t="s">
        <v>1997</v>
      </c>
      <c r="E117" s="272">
        <v>6</v>
      </c>
      <c r="F117" s="272" t="s">
        <v>1015</v>
      </c>
      <c r="G117" s="892"/>
      <c r="H117" s="892"/>
      <c r="I117" s="892"/>
      <c r="J117" s="892"/>
      <c r="K117" s="893"/>
      <c r="L117" s="894"/>
      <c r="M117" t="s">
        <v>2215</v>
      </c>
      <c r="N117" s="68">
        <v>200000000</v>
      </c>
    </row>
    <row r="118" spans="1:15" ht="30" x14ac:dyDescent="0.25">
      <c r="A118" s="2270"/>
      <c r="B118" s="2273"/>
      <c r="C118" s="902">
        <v>72</v>
      </c>
      <c r="D118" s="314" t="s">
        <v>1998</v>
      </c>
      <c r="E118" s="272">
        <v>9</v>
      </c>
      <c r="F118" s="272" t="s">
        <v>1015</v>
      </c>
      <c r="G118" s="892"/>
      <c r="H118" s="892"/>
      <c r="I118" s="892"/>
      <c r="J118" s="892"/>
      <c r="K118" s="893"/>
      <c r="L118" s="894"/>
      <c r="M118" t="s">
        <v>2218</v>
      </c>
    </row>
    <row r="119" spans="1:15" x14ac:dyDescent="0.25">
      <c r="A119" s="2270"/>
      <c r="B119" s="2273"/>
      <c r="C119" s="902">
        <v>73</v>
      </c>
      <c r="D119" s="314" t="s">
        <v>1999</v>
      </c>
      <c r="E119" s="272">
        <v>9</v>
      </c>
      <c r="F119" s="272" t="s">
        <v>1015</v>
      </c>
      <c r="G119" s="892"/>
      <c r="H119" s="892"/>
      <c r="I119" s="892"/>
      <c r="J119" s="892"/>
      <c r="K119" s="893"/>
      <c r="L119" s="894"/>
      <c r="M119" t="s">
        <v>2215</v>
      </c>
      <c r="N119" s="68">
        <v>100000000</v>
      </c>
      <c r="O119" t="s">
        <v>2276</v>
      </c>
    </row>
    <row r="120" spans="1:15" ht="30" x14ac:dyDescent="0.25">
      <c r="A120" s="2270"/>
      <c r="B120" s="2273"/>
      <c r="C120" s="902">
        <v>74</v>
      </c>
      <c r="D120" s="314" t="s">
        <v>2000</v>
      </c>
      <c r="E120" s="272">
        <v>9</v>
      </c>
      <c r="F120" s="272" t="s">
        <v>1015</v>
      </c>
      <c r="G120" s="892"/>
      <c r="H120" s="892"/>
      <c r="I120" s="892"/>
      <c r="J120" s="892"/>
      <c r="K120" s="893"/>
      <c r="L120" s="894"/>
      <c r="M120" t="s">
        <v>2216</v>
      </c>
      <c r="N120" s="68">
        <v>150000000</v>
      </c>
    </row>
    <row r="121" spans="1:15" ht="30" x14ac:dyDescent="0.25">
      <c r="A121" s="2270"/>
      <c r="B121" s="2273"/>
      <c r="C121" s="902">
        <v>75</v>
      </c>
      <c r="D121" s="314" t="s">
        <v>2001</v>
      </c>
      <c r="E121" s="272">
        <v>9</v>
      </c>
      <c r="F121" s="272" t="s">
        <v>1015</v>
      </c>
      <c r="G121" s="892"/>
      <c r="H121" s="892"/>
      <c r="I121" s="892"/>
      <c r="J121" s="892"/>
      <c r="K121" s="893"/>
      <c r="L121" s="894"/>
      <c r="N121" t="s">
        <v>2275</v>
      </c>
    </row>
    <row r="122" spans="1:15" ht="30" x14ac:dyDescent="0.25">
      <c r="A122" s="2270"/>
      <c r="B122" s="2273"/>
      <c r="C122" s="902">
        <v>76</v>
      </c>
      <c r="D122" s="314" t="s">
        <v>2002</v>
      </c>
      <c r="E122" s="272">
        <v>9</v>
      </c>
      <c r="F122" s="272" t="s">
        <v>1015</v>
      </c>
      <c r="G122" s="892"/>
      <c r="H122" s="892"/>
      <c r="I122" s="892"/>
      <c r="J122" s="892"/>
      <c r="K122" s="893"/>
      <c r="L122" s="894"/>
    </row>
    <row r="123" spans="1:15" s="96" customFormat="1" ht="30" x14ac:dyDescent="0.25">
      <c r="A123" s="2270"/>
      <c r="B123" s="2273"/>
      <c r="C123" s="960">
        <v>77</v>
      </c>
      <c r="D123" s="959" t="s">
        <v>2003</v>
      </c>
      <c r="E123" s="909">
        <v>9</v>
      </c>
      <c r="F123" s="909" t="s">
        <v>1015</v>
      </c>
      <c r="G123" s="905"/>
      <c r="H123" s="905"/>
      <c r="I123" s="905"/>
      <c r="J123" s="905"/>
      <c r="K123" s="906"/>
      <c r="L123" s="865"/>
    </row>
    <row r="124" spans="1:15" x14ac:dyDescent="0.25">
      <c r="A124" s="2270"/>
      <c r="B124" s="2273"/>
      <c r="C124" s="902">
        <v>78</v>
      </c>
      <c r="D124" s="314" t="s">
        <v>2004</v>
      </c>
      <c r="E124" s="272">
        <v>9</v>
      </c>
      <c r="F124" s="272" t="s">
        <v>1015</v>
      </c>
      <c r="G124" s="892"/>
      <c r="H124" s="892"/>
      <c r="I124" s="892"/>
      <c r="J124" s="892"/>
      <c r="K124" s="893"/>
      <c r="L124" s="894"/>
      <c r="M124" s="23"/>
      <c r="N124" s="23" t="e">
        <f>'Bid 2b'!#REF!</f>
        <v>#REF!</v>
      </c>
    </row>
    <row r="125" spans="1:15" ht="30" x14ac:dyDescent="0.25">
      <c r="A125" s="2270"/>
      <c r="B125" s="2273"/>
      <c r="C125" s="902">
        <v>79</v>
      </c>
      <c r="D125" s="314" t="s">
        <v>2005</v>
      </c>
      <c r="E125" s="272">
        <v>9</v>
      </c>
      <c r="F125" s="272" t="s">
        <v>1015</v>
      </c>
      <c r="G125" s="892"/>
      <c r="H125" s="892"/>
      <c r="I125" s="892"/>
      <c r="J125" s="892"/>
      <c r="K125" s="893"/>
      <c r="L125" s="894"/>
      <c r="M125" t="s">
        <v>2172</v>
      </c>
      <c r="N125" s="68">
        <v>40000000</v>
      </c>
    </row>
    <row r="126" spans="1:15" ht="30" x14ac:dyDescent="0.25">
      <c r="A126" s="2270"/>
      <c r="B126" s="2273"/>
      <c r="C126" s="902">
        <v>80</v>
      </c>
      <c r="D126" s="314" t="s">
        <v>2006</v>
      </c>
      <c r="E126" s="272">
        <v>9</v>
      </c>
      <c r="F126" s="272" t="s">
        <v>1015</v>
      </c>
      <c r="G126" s="892"/>
      <c r="H126" s="892"/>
      <c r="I126" s="892"/>
      <c r="J126" s="892"/>
      <c r="K126" s="893"/>
      <c r="L126" s="894"/>
      <c r="M126" t="s">
        <v>2219</v>
      </c>
    </row>
    <row r="127" spans="1:15" s="96" customFormat="1" x14ac:dyDescent="0.25">
      <c r="A127" s="2270"/>
      <c r="B127" s="2273"/>
      <c r="C127" s="960">
        <v>81</v>
      </c>
      <c r="D127" s="959" t="s">
        <v>2007</v>
      </c>
      <c r="E127" s="909">
        <v>9</v>
      </c>
      <c r="F127" s="909" t="s">
        <v>1015</v>
      </c>
      <c r="G127" s="905"/>
      <c r="H127" s="905"/>
      <c r="I127" s="905"/>
      <c r="J127" s="905"/>
      <c r="K127" s="906"/>
      <c r="L127" s="865"/>
    </row>
    <row r="128" spans="1:15" s="96" customFormat="1" x14ac:dyDescent="0.25">
      <c r="A128" s="2270"/>
      <c r="B128" s="2273"/>
      <c r="C128" s="960">
        <v>82</v>
      </c>
      <c r="D128" s="959" t="s">
        <v>2008</v>
      </c>
      <c r="E128" s="909">
        <v>9</v>
      </c>
      <c r="F128" s="909" t="s">
        <v>1015</v>
      </c>
      <c r="G128" s="905"/>
      <c r="H128" s="905"/>
      <c r="I128" s="905"/>
      <c r="J128" s="905"/>
      <c r="K128" s="906"/>
      <c r="L128" s="865"/>
    </row>
    <row r="129" spans="1:14" ht="30" x14ac:dyDescent="0.25">
      <c r="A129" s="2270"/>
      <c r="B129" s="2273"/>
      <c r="C129" s="902">
        <v>83</v>
      </c>
      <c r="D129" s="314" t="s">
        <v>2009</v>
      </c>
      <c r="E129" s="272">
        <v>9</v>
      </c>
      <c r="F129" s="272" t="s">
        <v>1015</v>
      </c>
      <c r="G129" s="892"/>
      <c r="H129" s="892"/>
      <c r="I129" s="892"/>
      <c r="J129" s="892"/>
      <c r="K129" s="893"/>
      <c r="L129" s="894"/>
      <c r="M129" t="s">
        <v>2172</v>
      </c>
      <c r="N129" s="68">
        <v>150000000</v>
      </c>
    </row>
    <row r="130" spans="1:14" s="96" customFormat="1" ht="30" x14ac:dyDescent="0.25">
      <c r="A130" s="2270"/>
      <c r="B130" s="2273"/>
      <c r="C130" s="960">
        <v>84</v>
      </c>
      <c r="D130" s="959" t="s">
        <v>2010</v>
      </c>
      <c r="E130" s="909">
        <v>9</v>
      </c>
      <c r="F130" s="909" t="s">
        <v>1015</v>
      </c>
      <c r="G130" s="905"/>
      <c r="H130" s="905"/>
      <c r="I130" s="905"/>
      <c r="J130" s="905"/>
      <c r="K130" s="906"/>
      <c r="L130" s="865"/>
      <c r="M130" s="96" t="s">
        <v>2172</v>
      </c>
      <c r="N130" s="963">
        <v>150000000</v>
      </c>
    </row>
    <row r="131" spans="1:14" ht="60" x14ac:dyDescent="0.25">
      <c r="A131" s="2270"/>
      <c r="B131" s="2273"/>
      <c r="C131" s="902">
        <v>85</v>
      </c>
      <c r="D131" s="314" t="s">
        <v>2011</v>
      </c>
      <c r="E131" s="272">
        <v>9</v>
      </c>
      <c r="F131" s="272" t="s">
        <v>1015</v>
      </c>
      <c r="G131" s="892"/>
      <c r="H131" s="892"/>
      <c r="I131" s="892"/>
      <c r="J131" s="892"/>
      <c r="K131" s="893"/>
      <c r="L131" s="894"/>
      <c r="M131" s="5" t="s">
        <v>2220</v>
      </c>
      <c r="N131" s="68">
        <v>40000000</v>
      </c>
    </row>
    <row r="132" spans="1:14" ht="30" x14ac:dyDescent="0.25">
      <c r="A132" s="2270"/>
      <c r="B132" s="2273"/>
      <c r="C132" s="902">
        <v>86</v>
      </c>
      <c r="D132" s="314" t="s">
        <v>2012</v>
      </c>
      <c r="E132" s="272">
        <v>9</v>
      </c>
      <c r="F132" s="272" t="s">
        <v>1015</v>
      </c>
      <c r="G132" s="892"/>
      <c r="H132" s="892"/>
      <c r="I132" s="892"/>
      <c r="J132" s="892"/>
      <c r="K132" s="893"/>
      <c r="L132" s="894"/>
      <c r="M132" s="5" t="s">
        <v>2221</v>
      </c>
    </row>
    <row r="133" spans="1:14" s="96" customFormat="1" ht="30" x14ac:dyDescent="0.25">
      <c r="A133" s="2270"/>
      <c r="B133" s="2273"/>
      <c r="C133" s="960">
        <v>88</v>
      </c>
      <c r="D133" s="959" t="s">
        <v>2013</v>
      </c>
      <c r="E133" s="909">
        <v>9</v>
      </c>
      <c r="F133" s="909" t="s">
        <v>1015</v>
      </c>
      <c r="G133" s="905"/>
      <c r="H133" s="905"/>
      <c r="I133" s="905"/>
      <c r="J133" s="905"/>
      <c r="K133" s="906"/>
      <c r="L133" s="865"/>
      <c r="M133" s="962" t="s">
        <v>2221</v>
      </c>
    </row>
    <row r="134" spans="1:14" s="96" customFormat="1" ht="30" x14ac:dyDescent="0.25">
      <c r="A134" s="2270"/>
      <c r="B134" s="2273"/>
      <c r="C134" s="960">
        <v>89</v>
      </c>
      <c r="D134" s="959" t="s">
        <v>2014</v>
      </c>
      <c r="E134" s="909">
        <v>9</v>
      </c>
      <c r="F134" s="909" t="s">
        <v>1015</v>
      </c>
      <c r="G134" s="905"/>
      <c r="H134" s="905"/>
      <c r="I134" s="905"/>
      <c r="J134" s="905"/>
      <c r="K134" s="906"/>
      <c r="L134" s="865"/>
      <c r="M134" s="962" t="s">
        <v>2221</v>
      </c>
    </row>
    <row r="135" spans="1:14" s="957" customFormat="1" ht="30" x14ac:dyDescent="0.25">
      <c r="A135" s="2270"/>
      <c r="B135" s="2273"/>
      <c r="C135" s="961">
        <v>90</v>
      </c>
      <c r="D135" s="958" t="s">
        <v>2015</v>
      </c>
      <c r="E135" s="951">
        <v>9</v>
      </c>
      <c r="F135" s="951" t="s">
        <v>1015</v>
      </c>
      <c r="G135" s="953"/>
      <c r="H135" s="953"/>
      <c r="I135" s="953"/>
      <c r="J135" s="953"/>
      <c r="K135" s="954"/>
      <c r="L135" s="955"/>
      <c r="M135" s="956" t="s">
        <v>2222</v>
      </c>
    </row>
    <row r="136" spans="1:14" ht="30" x14ac:dyDescent="0.25">
      <c r="A136" s="2270"/>
      <c r="B136" s="2273"/>
      <c r="C136" s="902">
        <v>91</v>
      </c>
      <c r="D136" s="314" t="s">
        <v>2016</v>
      </c>
      <c r="E136" s="272">
        <v>9</v>
      </c>
      <c r="F136" s="272" t="s">
        <v>1015</v>
      </c>
      <c r="G136" s="892"/>
      <c r="H136" s="892"/>
      <c r="I136" s="892"/>
      <c r="J136" s="892"/>
      <c r="K136" s="893"/>
      <c r="L136" s="894"/>
      <c r="M136" s="5" t="s">
        <v>1640</v>
      </c>
    </row>
    <row r="137" spans="1:14" s="96" customFormat="1" ht="30" x14ac:dyDescent="0.25">
      <c r="A137" s="2270"/>
      <c r="B137" s="2273"/>
      <c r="C137" s="960">
        <v>92</v>
      </c>
      <c r="D137" s="959" t="s">
        <v>2017</v>
      </c>
      <c r="E137" s="909">
        <v>6</v>
      </c>
      <c r="F137" s="909" t="s">
        <v>1015</v>
      </c>
      <c r="G137" s="905"/>
      <c r="H137" s="905"/>
      <c r="I137" s="905"/>
      <c r="J137" s="905"/>
      <c r="K137" s="906"/>
      <c r="L137" s="865"/>
      <c r="M137" s="96" t="s">
        <v>2277</v>
      </c>
    </row>
    <row r="138" spans="1:14" s="96" customFormat="1" ht="30" x14ac:dyDescent="0.25">
      <c r="A138" s="2270"/>
      <c r="B138" s="2273"/>
      <c r="C138" s="960">
        <v>93</v>
      </c>
      <c r="D138" s="959" t="s">
        <v>2018</v>
      </c>
      <c r="E138" s="909">
        <v>6</v>
      </c>
      <c r="F138" s="909" t="s">
        <v>1015</v>
      </c>
      <c r="G138" s="905"/>
      <c r="H138" s="905"/>
      <c r="I138" s="905"/>
      <c r="J138" s="905"/>
      <c r="K138" s="906"/>
      <c r="L138" s="865"/>
    </row>
    <row r="139" spans="1:14" ht="30" x14ac:dyDescent="0.25">
      <c r="A139" s="2270"/>
      <c r="B139" s="2273"/>
      <c r="C139" s="902">
        <v>94</v>
      </c>
      <c r="D139" s="314" t="s">
        <v>2019</v>
      </c>
      <c r="E139" s="272">
        <v>9</v>
      </c>
      <c r="F139" s="272" t="s">
        <v>1015</v>
      </c>
      <c r="G139" s="892"/>
      <c r="H139" s="892"/>
      <c r="I139" s="892"/>
      <c r="J139" s="892"/>
      <c r="K139" s="893"/>
      <c r="L139" s="894"/>
      <c r="M139" s="5" t="s">
        <v>2223</v>
      </c>
    </row>
    <row r="140" spans="1:14" ht="30" x14ac:dyDescent="0.25">
      <c r="A140" s="2270"/>
      <c r="B140" s="2273"/>
      <c r="C140" s="902">
        <v>95</v>
      </c>
      <c r="D140" s="314" t="s">
        <v>2020</v>
      </c>
      <c r="E140" s="272">
        <v>9</v>
      </c>
      <c r="F140" s="272" t="s">
        <v>1015</v>
      </c>
      <c r="G140" s="892"/>
      <c r="H140" s="892"/>
      <c r="I140" s="892"/>
      <c r="J140" s="892"/>
      <c r="K140" s="893"/>
      <c r="L140" s="894"/>
      <c r="M140" s="5" t="s">
        <v>2223</v>
      </c>
    </row>
    <row r="141" spans="1:14" s="957" customFormat="1" ht="45" x14ac:dyDescent="0.25">
      <c r="A141" s="2270"/>
      <c r="B141" s="2273"/>
      <c r="C141" s="961">
        <v>96</v>
      </c>
      <c r="D141" s="958" t="s">
        <v>2021</v>
      </c>
      <c r="E141" s="951">
        <v>9</v>
      </c>
      <c r="F141" s="951" t="s">
        <v>1015</v>
      </c>
      <c r="G141" s="953"/>
      <c r="H141" s="953"/>
      <c r="I141" s="953"/>
      <c r="J141" s="953"/>
      <c r="K141" s="954"/>
      <c r="L141" s="955"/>
      <c r="M141" s="956" t="s">
        <v>2224</v>
      </c>
    </row>
    <row r="142" spans="1:14" s="96" customFormat="1" x14ac:dyDescent="0.25">
      <c r="A142" s="2270"/>
      <c r="B142" s="2273"/>
      <c r="C142" s="960">
        <v>97</v>
      </c>
      <c r="D142" s="959" t="s">
        <v>2022</v>
      </c>
      <c r="E142" s="909">
        <v>9</v>
      </c>
      <c r="F142" s="909" t="s">
        <v>1015</v>
      </c>
      <c r="G142" s="905"/>
      <c r="H142" s="905"/>
      <c r="I142" s="905"/>
      <c r="J142" s="905"/>
      <c r="K142" s="906"/>
      <c r="L142" s="865"/>
    </row>
    <row r="143" spans="1:14" s="957" customFormat="1" ht="30" x14ac:dyDescent="0.25">
      <c r="A143" s="2270"/>
      <c r="B143" s="2273"/>
      <c r="C143" s="961">
        <v>98</v>
      </c>
      <c r="D143" s="958" t="s">
        <v>2023</v>
      </c>
      <c r="E143" s="951">
        <v>9</v>
      </c>
      <c r="F143" s="951" t="s">
        <v>1015</v>
      </c>
      <c r="G143" s="953"/>
      <c r="H143" s="953"/>
      <c r="I143" s="953"/>
      <c r="J143" s="953"/>
      <c r="K143" s="954"/>
      <c r="L143" s="955"/>
      <c r="M143" s="956" t="s">
        <v>2225</v>
      </c>
    </row>
    <row r="144" spans="1:14" ht="30" x14ac:dyDescent="0.25">
      <c r="A144" s="2270"/>
      <c r="B144" s="2273"/>
      <c r="C144" s="902">
        <v>99</v>
      </c>
      <c r="D144" s="314" t="s">
        <v>2024</v>
      </c>
      <c r="E144" s="272">
        <v>9</v>
      </c>
      <c r="F144" s="272" t="s">
        <v>1015</v>
      </c>
      <c r="G144" s="892"/>
      <c r="H144" s="892"/>
      <c r="I144" s="892"/>
      <c r="J144" s="892"/>
      <c r="K144" s="893"/>
      <c r="L144" s="894"/>
      <c r="M144" s="5" t="s">
        <v>2226</v>
      </c>
    </row>
    <row r="145" spans="1:14" s="96" customFormat="1" ht="30" x14ac:dyDescent="0.25">
      <c r="A145" s="2270"/>
      <c r="B145" s="2273"/>
      <c r="C145" s="960">
        <v>100</v>
      </c>
      <c r="D145" s="959" t="s">
        <v>2025</v>
      </c>
      <c r="E145" s="909">
        <v>9</v>
      </c>
      <c r="F145" s="909" t="s">
        <v>1015</v>
      </c>
      <c r="G145" s="905"/>
      <c r="H145" s="905"/>
      <c r="I145" s="905"/>
      <c r="J145" s="905"/>
      <c r="K145" s="906"/>
      <c r="L145" s="865"/>
      <c r="M145" s="96" t="s">
        <v>2278</v>
      </c>
      <c r="N145" s="963">
        <v>150000000</v>
      </c>
    </row>
    <row r="146" spans="1:14" s="957" customFormat="1" ht="60" x14ac:dyDescent="0.25">
      <c r="A146" s="2270"/>
      <c r="B146" s="2273"/>
      <c r="C146" s="961">
        <v>101</v>
      </c>
      <c r="D146" s="958" t="s">
        <v>2026</v>
      </c>
      <c r="E146" s="951">
        <v>9</v>
      </c>
      <c r="F146" s="951" t="s">
        <v>1015</v>
      </c>
      <c r="G146" s="953"/>
      <c r="H146" s="953"/>
      <c r="I146" s="953"/>
      <c r="J146" s="953"/>
      <c r="K146" s="954"/>
      <c r="L146" s="955"/>
      <c r="M146" s="956" t="s">
        <v>2227</v>
      </c>
    </row>
    <row r="147" spans="1:14" s="96" customFormat="1" ht="30" x14ac:dyDescent="0.25">
      <c r="A147" s="2270"/>
      <c r="B147" s="2273"/>
      <c r="C147" s="960">
        <v>102</v>
      </c>
      <c r="D147" s="959" t="s">
        <v>2027</v>
      </c>
      <c r="E147" s="909">
        <v>6</v>
      </c>
      <c r="F147" s="909" t="s">
        <v>1015</v>
      </c>
      <c r="G147" s="905"/>
      <c r="H147" s="905"/>
      <c r="I147" s="905"/>
      <c r="J147" s="905"/>
      <c r="K147" s="906"/>
      <c r="L147" s="865"/>
    </row>
    <row r="148" spans="1:14" s="96" customFormat="1" ht="30" x14ac:dyDescent="0.25">
      <c r="A148" s="2270"/>
      <c r="B148" s="2273"/>
      <c r="C148" s="960">
        <v>103</v>
      </c>
      <c r="D148" s="959" t="s">
        <v>2028</v>
      </c>
      <c r="E148" s="909">
        <v>9</v>
      </c>
      <c r="F148" s="909" t="s">
        <v>1015</v>
      </c>
      <c r="G148" s="905"/>
      <c r="H148" s="905"/>
      <c r="I148" s="905"/>
      <c r="J148" s="905"/>
      <c r="K148" s="906"/>
      <c r="L148" s="865"/>
    </row>
    <row r="149" spans="1:14" ht="30" x14ac:dyDescent="0.25">
      <c r="A149" s="2270"/>
      <c r="B149" s="2273"/>
      <c r="C149" s="902">
        <v>104</v>
      </c>
      <c r="D149" s="314" t="s">
        <v>2029</v>
      </c>
      <c r="E149" s="272">
        <v>9</v>
      </c>
      <c r="F149" s="272" t="s">
        <v>1015</v>
      </c>
      <c r="G149" s="892"/>
      <c r="H149" s="892"/>
      <c r="I149" s="892"/>
      <c r="J149" s="892"/>
      <c r="K149" s="893"/>
      <c r="L149" s="894"/>
      <c r="N149" s="68">
        <v>222260563</v>
      </c>
    </row>
    <row r="150" spans="1:14" ht="30" x14ac:dyDescent="0.25">
      <c r="A150" s="2270"/>
      <c r="B150" s="2273"/>
      <c r="C150" s="902">
        <v>105</v>
      </c>
      <c r="D150" s="314" t="s">
        <v>2030</v>
      </c>
      <c r="E150" s="272">
        <v>9</v>
      </c>
      <c r="F150" s="272" t="s">
        <v>1015</v>
      </c>
      <c r="G150" s="892"/>
      <c r="H150" s="892"/>
      <c r="I150" s="892"/>
      <c r="J150" s="892"/>
      <c r="K150" s="893"/>
      <c r="L150" s="894"/>
      <c r="M150" s="5" t="s">
        <v>2221</v>
      </c>
    </row>
    <row r="151" spans="1:14" x14ac:dyDescent="0.25">
      <c r="A151" s="2270"/>
      <c r="B151" s="2273"/>
      <c r="C151" s="902">
        <v>106</v>
      </c>
      <c r="D151" s="314" t="s">
        <v>2031</v>
      </c>
      <c r="E151" s="272">
        <v>9</v>
      </c>
      <c r="F151" s="272" t="s">
        <v>1015</v>
      </c>
      <c r="G151" s="892"/>
      <c r="H151" s="892"/>
      <c r="I151" s="892"/>
      <c r="J151" s="892"/>
      <c r="K151" s="893"/>
      <c r="L151" s="894"/>
      <c r="N151" s="68">
        <v>102162920</v>
      </c>
    </row>
    <row r="152" spans="1:14" ht="30" x14ac:dyDescent="0.25">
      <c r="A152" s="2270"/>
      <c r="B152" s="2273"/>
      <c r="C152" s="902">
        <v>107</v>
      </c>
      <c r="D152" s="314" t="s">
        <v>2032</v>
      </c>
      <c r="E152" s="272">
        <v>9</v>
      </c>
      <c r="F152" s="272" t="s">
        <v>1015</v>
      </c>
      <c r="G152" s="892"/>
      <c r="H152" s="892"/>
      <c r="I152" s="892"/>
      <c r="J152" s="892"/>
      <c r="K152" s="893"/>
      <c r="L152" s="894"/>
      <c r="M152" s="5" t="s">
        <v>2221</v>
      </c>
    </row>
    <row r="153" spans="1:14" ht="30" x14ac:dyDescent="0.25">
      <c r="A153" s="2270"/>
      <c r="B153" s="2273"/>
      <c r="C153" s="902">
        <v>108</v>
      </c>
      <c r="D153" s="314" t="s">
        <v>2033</v>
      </c>
      <c r="E153" s="272">
        <v>9</v>
      </c>
      <c r="F153" s="272" t="s">
        <v>1015</v>
      </c>
      <c r="G153" s="892"/>
      <c r="H153" s="892"/>
      <c r="I153" s="892"/>
      <c r="J153" s="892"/>
      <c r="K153" s="893"/>
      <c r="L153" s="894"/>
      <c r="M153" s="5" t="s">
        <v>2221</v>
      </c>
    </row>
    <row r="154" spans="1:14" ht="75" x14ac:dyDescent="0.25">
      <c r="A154" s="2270"/>
      <c r="B154" s="2273"/>
      <c r="C154" s="902">
        <v>109</v>
      </c>
      <c r="D154" s="314" t="s">
        <v>2034</v>
      </c>
      <c r="E154" s="272">
        <v>9</v>
      </c>
      <c r="F154" s="272" t="s">
        <v>1015</v>
      </c>
      <c r="G154" s="892"/>
      <c r="H154" s="892"/>
      <c r="I154" s="892"/>
      <c r="J154" s="892"/>
      <c r="K154" s="893"/>
      <c r="L154" s="894"/>
      <c r="M154" s="5" t="s">
        <v>2229</v>
      </c>
    </row>
    <row r="155" spans="1:14" s="96" customFormat="1" ht="30" x14ac:dyDescent="0.25">
      <c r="A155" s="2270"/>
      <c r="B155" s="2273"/>
      <c r="C155" s="960">
        <v>110</v>
      </c>
      <c r="D155" s="959" t="s">
        <v>2035</v>
      </c>
      <c r="E155" s="909">
        <v>9</v>
      </c>
      <c r="F155" s="909" t="s">
        <v>1015</v>
      </c>
      <c r="G155" s="905"/>
      <c r="H155" s="905"/>
      <c r="I155" s="905"/>
      <c r="J155" s="905"/>
      <c r="K155" s="906"/>
      <c r="L155" s="865"/>
    </row>
    <row r="156" spans="1:14" s="96" customFormat="1" ht="30" x14ac:dyDescent="0.25">
      <c r="A156" s="2270"/>
      <c r="B156" s="2273"/>
      <c r="C156" s="960">
        <v>111</v>
      </c>
      <c r="D156" s="959" t="s">
        <v>2036</v>
      </c>
      <c r="E156" s="909">
        <v>9</v>
      </c>
      <c r="F156" s="909" t="s">
        <v>1015</v>
      </c>
      <c r="G156" s="905"/>
      <c r="H156" s="905"/>
      <c r="I156" s="905"/>
      <c r="J156" s="905"/>
      <c r="K156" s="906"/>
      <c r="L156" s="865"/>
    </row>
    <row r="157" spans="1:14" s="96" customFormat="1" ht="30" x14ac:dyDescent="0.25">
      <c r="A157" s="2270"/>
      <c r="B157" s="2273"/>
      <c r="C157" s="960">
        <v>112</v>
      </c>
      <c r="D157" s="959" t="s">
        <v>2037</v>
      </c>
      <c r="E157" s="909">
        <v>9</v>
      </c>
      <c r="F157" s="909" t="s">
        <v>1015</v>
      </c>
      <c r="G157" s="905"/>
      <c r="H157" s="905"/>
      <c r="I157" s="905"/>
      <c r="J157" s="905"/>
      <c r="K157" s="906"/>
      <c r="L157" s="865"/>
    </row>
    <row r="158" spans="1:14" s="957" customFormat="1" ht="30" x14ac:dyDescent="0.25">
      <c r="A158" s="2270"/>
      <c r="B158" s="2273"/>
      <c r="C158" s="961">
        <v>113</v>
      </c>
      <c r="D158" s="958" t="s">
        <v>2038</v>
      </c>
      <c r="E158" s="951">
        <v>9</v>
      </c>
      <c r="F158" s="951" t="s">
        <v>1015</v>
      </c>
      <c r="G158" s="953"/>
      <c r="H158" s="953"/>
      <c r="I158" s="953"/>
      <c r="J158" s="953"/>
      <c r="K158" s="954"/>
      <c r="L158" s="955"/>
    </row>
    <row r="159" spans="1:14" s="957" customFormat="1" ht="30" x14ac:dyDescent="0.25">
      <c r="A159" s="2270"/>
      <c r="B159" s="2273"/>
      <c r="C159" s="961">
        <v>114</v>
      </c>
      <c r="D159" s="958" t="s">
        <v>2039</v>
      </c>
      <c r="E159" s="951">
        <v>9</v>
      </c>
      <c r="F159" s="951" t="s">
        <v>1015</v>
      </c>
      <c r="G159" s="953"/>
      <c r="H159" s="953"/>
      <c r="I159" s="953"/>
      <c r="J159" s="953"/>
      <c r="K159" s="954"/>
      <c r="L159" s="955"/>
      <c r="M159" s="956" t="s">
        <v>2228</v>
      </c>
    </row>
    <row r="160" spans="1:14" ht="75" x14ac:dyDescent="0.25">
      <c r="A160" s="2270"/>
      <c r="B160" s="2273"/>
      <c r="C160" s="902">
        <v>115</v>
      </c>
      <c r="D160" s="314" t="s">
        <v>2040</v>
      </c>
      <c r="E160" s="272">
        <v>12</v>
      </c>
      <c r="F160" s="272" t="s">
        <v>1015</v>
      </c>
      <c r="G160" s="892"/>
      <c r="H160" s="892"/>
      <c r="I160" s="892"/>
      <c r="J160" s="892"/>
      <c r="K160" s="893"/>
      <c r="L160" s="894"/>
      <c r="M160" s="5" t="s">
        <v>2242</v>
      </c>
      <c r="N160" s="68">
        <f>'Bid 2b'!F2235+'Bid 2b'!F2323</f>
        <v>919375835.20000005</v>
      </c>
    </row>
    <row r="161" spans="1:14" s="957" customFormat="1" x14ac:dyDescent="0.25">
      <c r="A161" s="2270"/>
      <c r="B161" s="2273"/>
      <c r="C161" s="961">
        <v>116</v>
      </c>
      <c r="D161" s="958" t="s">
        <v>2041</v>
      </c>
      <c r="E161" s="951">
        <v>17</v>
      </c>
      <c r="F161" s="951" t="s">
        <v>1015</v>
      </c>
      <c r="G161" s="953"/>
      <c r="H161" s="953"/>
      <c r="I161" s="953"/>
      <c r="J161" s="953"/>
      <c r="K161" s="954"/>
      <c r="L161" s="955"/>
    </row>
    <row r="162" spans="1:14" s="957" customFormat="1" x14ac:dyDescent="0.25">
      <c r="A162" s="2270"/>
      <c r="B162" s="2273"/>
      <c r="C162" s="961">
        <v>117</v>
      </c>
      <c r="D162" s="958" t="s">
        <v>2042</v>
      </c>
      <c r="E162" s="951">
        <v>11</v>
      </c>
      <c r="F162" s="951" t="s">
        <v>1015</v>
      </c>
      <c r="G162" s="953"/>
      <c r="H162" s="953"/>
      <c r="I162" s="953"/>
      <c r="J162" s="953"/>
      <c r="K162" s="954"/>
      <c r="L162" s="955"/>
    </row>
    <row r="163" spans="1:14" x14ac:dyDescent="0.25">
      <c r="A163" s="2270"/>
      <c r="B163" s="2273"/>
      <c r="C163" s="902">
        <v>118</v>
      </c>
      <c r="D163" s="314" t="s">
        <v>2043</v>
      </c>
      <c r="E163" s="272">
        <v>11</v>
      </c>
      <c r="F163" s="272" t="s">
        <v>1015</v>
      </c>
      <c r="G163" s="892"/>
      <c r="H163" s="892"/>
      <c r="I163" s="892"/>
      <c r="J163" s="892"/>
      <c r="K163" s="893"/>
      <c r="L163" s="894"/>
      <c r="N163" t="s">
        <v>2275</v>
      </c>
    </row>
    <row r="164" spans="1:14" ht="45" x14ac:dyDescent="0.25">
      <c r="A164" s="2270"/>
      <c r="B164" s="2273"/>
      <c r="C164" s="902">
        <v>119</v>
      </c>
      <c r="D164" s="314" t="s">
        <v>2044</v>
      </c>
      <c r="E164" s="272">
        <v>15</v>
      </c>
      <c r="F164" s="272" t="s">
        <v>1015</v>
      </c>
      <c r="G164" s="892"/>
      <c r="H164" s="892"/>
      <c r="I164" s="892"/>
      <c r="J164" s="892"/>
      <c r="K164" s="893"/>
      <c r="L164" s="894"/>
      <c r="M164" s="5" t="s">
        <v>2243</v>
      </c>
      <c r="N164" s="23">
        <f>'Bid 2b'!F2538</f>
        <v>50115000</v>
      </c>
    </row>
    <row r="165" spans="1:14" s="957" customFormat="1" ht="30" x14ac:dyDescent="0.25">
      <c r="A165" s="2270"/>
      <c r="B165" s="2273"/>
      <c r="C165" s="961">
        <v>120</v>
      </c>
      <c r="D165" s="958" t="s">
        <v>2045</v>
      </c>
      <c r="E165" s="951">
        <v>11</v>
      </c>
      <c r="F165" s="951" t="s">
        <v>1015</v>
      </c>
      <c r="G165" s="953"/>
      <c r="H165" s="953"/>
      <c r="I165" s="953"/>
      <c r="J165" s="953"/>
      <c r="K165" s="954"/>
      <c r="L165" s="955"/>
      <c r="M165" s="957" t="s">
        <v>2217</v>
      </c>
    </row>
    <row r="166" spans="1:14" ht="60" x14ac:dyDescent="0.25">
      <c r="A166" s="2270"/>
      <c r="B166" s="2273"/>
      <c r="C166" s="902">
        <v>121</v>
      </c>
      <c r="D166" s="314" t="s">
        <v>2046</v>
      </c>
      <c r="E166" s="272">
        <v>18</v>
      </c>
      <c r="F166" s="272" t="s">
        <v>1015</v>
      </c>
      <c r="G166" s="892"/>
      <c r="H166" s="892"/>
      <c r="I166" s="892"/>
      <c r="J166" s="892"/>
      <c r="K166" s="893"/>
      <c r="L166" s="894"/>
      <c r="N166" s="23">
        <f>'Bid 2b'!F2561</f>
        <v>4986000</v>
      </c>
    </row>
    <row r="167" spans="1:14" x14ac:dyDescent="0.25">
      <c r="A167" s="2270"/>
      <c r="B167" s="2273"/>
      <c r="C167" s="902">
        <v>122</v>
      </c>
      <c r="D167" s="314" t="s">
        <v>2047</v>
      </c>
      <c r="E167" s="272">
        <v>12</v>
      </c>
      <c r="F167" s="272" t="s">
        <v>1015</v>
      </c>
      <c r="G167" s="892"/>
      <c r="H167" s="892"/>
      <c r="I167" s="892"/>
      <c r="J167" s="892"/>
      <c r="K167" s="893"/>
      <c r="L167" s="894"/>
      <c r="N167" t="s">
        <v>2275</v>
      </c>
    </row>
    <row r="168" spans="1:14" s="957" customFormat="1" ht="30" x14ac:dyDescent="0.25">
      <c r="A168" s="2270"/>
      <c r="B168" s="2273"/>
      <c r="C168" s="961">
        <v>123</v>
      </c>
      <c r="D168" s="958" t="s">
        <v>2048</v>
      </c>
      <c r="E168" s="951">
        <v>7</v>
      </c>
      <c r="F168" s="951" t="s">
        <v>1015</v>
      </c>
      <c r="G168" s="953"/>
      <c r="H168" s="953"/>
      <c r="I168" s="953"/>
      <c r="J168" s="953"/>
      <c r="K168" s="954"/>
      <c r="L168" s="955"/>
    </row>
    <row r="169" spans="1:14" ht="45" x14ac:dyDescent="0.25">
      <c r="A169" s="2270"/>
      <c r="B169" s="2273"/>
      <c r="C169" s="902">
        <v>124</v>
      </c>
      <c r="D169" s="314" t="s">
        <v>2049</v>
      </c>
      <c r="E169" s="272">
        <v>8</v>
      </c>
      <c r="F169" s="272" t="s">
        <v>1015</v>
      </c>
      <c r="G169" s="892"/>
      <c r="H169" s="892"/>
      <c r="I169" s="892"/>
      <c r="J169" s="892"/>
      <c r="K169" s="893"/>
      <c r="L169" s="894"/>
      <c r="N169" t="s">
        <v>2275</v>
      </c>
    </row>
    <row r="170" spans="1:14" ht="30" x14ac:dyDescent="0.25">
      <c r="A170" s="2270"/>
      <c r="B170" s="2273"/>
      <c r="C170" s="902">
        <v>125</v>
      </c>
      <c r="D170" s="314" t="s">
        <v>2050</v>
      </c>
      <c r="E170" s="272">
        <v>8</v>
      </c>
      <c r="F170" s="272" t="s">
        <v>1015</v>
      </c>
      <c r="G170" s="892"/>
      <c r="H170" s="892"/>
      <c r="I170" s="892"/>
      <c r="J170" s="892"/>
      <c r="K170" s="893"/>
      <c r="L170" s="894"/>
      <c r="N170" t="s">
        <v>2275</v>
      </c>
    </row>
    <row r="171" spans="1:14" s="957" customFormat="1" ht="30" x14ac:dyDescent="0.25">
      <c r="A171" s="2270"/>
      <c r="B171" s="2273"/>
      <c r="C171" s="961">
        <v>126</v>
      </c>
      <c r="D171" s="958" t="s">
        <v>2051</v>
      </c>
      <c r="E171" s="951">
        <v>1</v>
      </c>
      <c r="F171" s="951" t="s">
        <v>1015</v>
      </c>
      <c r="G171" s="953"/>
      <c r="H171" s="953"/>
      <c r="I171" s="953"/>
      <c r="J171" s="953"/>
      <c r="K171" s="954"/>
      <c r="L171" s="955"/>
    </row>
    <row r="172" spans="1:14" s="96" customFormat="1" ht="30" x14ac:dyDescent="0.25">
      <c r="A172" s="2271"/>
      <c r="B172" s="2274"/>
      <c r="C172" s="960">
        <v>127</v>
      </c>
      <c r="D172" s="959" t="s">
        <v>2052</v>
      </c>
      <c r="E172" s="909">
        <v>9</v>
      </c>
      <c r="F172" s="909" t="s">
        <v>1015</v>
      </c>
      <c r="G172" s="969" t="s">
        <v>2053</v>
      </c>
      <c r="H172" s="909"/>
      <c r="I172" s="909"/>
      <c r="J172" s="905"/>
      <c r="K172" s="905"/>
      <c r="L172" s="905"/>
    </row>
    <row r="173" spans="1:14" ht="15.75" x14ac:dyDescent="0.25">
      <c r="A173" s="903"/>
      <c r="B173" s="904"/>
      <c r="C173" s="902"/>
      <c r="D173" s="314"/>
      <c r="E173" s="272"/>
      <c r="F173" s="272"/>
      <c r="G173" s="908"/>
      <c r="H173" s="907"/>
      <c r="I173" s="907"/>
      <c r="J173" s="892"/>
      <c r="K173" s="893"/>
      <c r="L173" s="892"/>
      <c r="N173" s="139" t="e">
        <f>SUM(N48:N172)</f>
        <v>#REF!</v>
      </c>
    </row>
    <row r="174" spans="1:14" ht="60" x14ac:dyDescent="0.25">
      <c r="A174" s="2260">
        <v>3</v>
      </c>
      <c r="B174" s="2260" t="s">
        <v>2054</v>
      </c>
      <c r="C174" s="272">
        <v>1</v>
      </c>
      <c r="D174" s="314" t="s">
        <v>2055</v>
      </c>
      <c r="E174" s="272">
        <v>11</v>
      </c>
      <c r="F174" s="272" t="s">
        <v>1015</v>
      </c>
      <c r="G174" s="892"/>
      <c r="H174" s="892"/>
      <c r="I174" s="892"/>
      <c r="J174" s="892"/>
      <c r="K174" s="893"/>
      <c r="L174" s="894"/>
      <c r="N174" s="23">
        <f>'Bid 3b'!F101</f>
        <v>317636000</v>
      </c>
    </row>
    <row r="175" spans="1:14" ht="45" x14ac:dyDescent="0.25">
      <c r="A175" s="2261"/>
      <c r="B175" s="2261"/>
      <c r="C175" s="272">
        <v>2</v>
      </c>
      <c r="D175" s="314" t="s">
        <v>2056</v>
      </c>
      <c r="E175" s="272">
        <v>16</v>
      </c>
      <c r="F175" s="272" t="s">
        <v>1015</v>
      </c>
      <c r="G175" s="892"/>
      <c r="H175" s="892"/>
      <c r="I175" s="892"/>
      <c r="J175" s="892" t="s">
        <v>2057</v>
      </c>
      <c r="K175" s="893"/>
      <c r="L175" s="894"/>
      <c r="M175" s="5" t="s">
        <v>2254</v>
      </c>
    </row>
    <row r="176" spans="1:14" ht="60" x14ac:dyDescent="0.25">
      <c r="A176" s="2261"/>
      <c r="B176" s="2261"/>
      <c r="C176" s="272">
        <v>3</v>
      </c>
      <c r="D176" s="314" t="s">
        <v>2058</v>
      </c>
      <c r="E176" s="272">
        <v>13</v>
      </c>
      <c r="F176" s="272" t="s">
        <v>1015</v>
      </c>
      <c r="G176" s="892"/>
      <c r="H176" s="892">
        <v>11</v>
      </c>
      <c r="I176" s="892"/>
      <c r="J176" s="892"/>
      <c r="K176" s="893"/>
      <c r="L176" s="894"/>
      <c r="M176" s="5" t="s">
        <v>2254</v>
      </c>
    </row>
    <row r="177" spans="1:15" ht="45" x14ac:dyDescent="0.25">
      <c r="A177" s="2261"/>
      <c r="B177" s="2261"/>
      <c r="C177" s="272">
        <v>4</v>
      </c>
      <c r="D177" s="314" t="s">
        <v>2059</v>
      </c>
      <c r="E177" s="272">
        <v>11</v>
      </c>
      <c r="F177" s="272" t="s">
        <v>1015</v>
      </c>
      <c r="G177" s="892">
        <v>2</v>
      </c>
      <c r="H177" s="892"/>
      <c r="I177" s="892"/>
      <c r="J177" s="892"/>
      <c r="K177" s="893"/>
      <c r="L177" s="894"/>
      <c r="M177" s="5" t="s">
        <v>2254</v>
      </c>
    </row>
    <row r="178" spans="1:15" ht="30" x14ac:dyDescent="0.25">
      <c r="A178" s="2261"/>
      <c r="B178" s="2261"/>
      <c r="C178" s="272">
        <v>5</v>
      </c>
      <c r="D178" s="314" t="s">
        <v>2060</v>
      </c>
      <c r="E178" s="272">
        <v>11</v>
      </c>
      <c r="F178" s="272" t="s">
        <v>1015</v>
      </c>
      <c r="G178" s="892">
        <v>2</v>
      </c>
      <c r="H178" s="892"/>
      <c r="I178" s="892"/>
      <c r="J178" s="892"/>
      <c r="K178" s="893"/>
      <c r="L178" s="894"/>
      <c r="N178" s="23">
        <f>'Bid 3b'!F26</f>
        <v>7825000</v>
      </c>
    </row>
    <row r="179" spans="1:15" ht="30" x14ac:dyDescent="0.25">
      <c r="A179" s="2261"/>
      <c r="B179" s="2261"/>
      <c r="C179" s="272">
        <v>6</v>
      </c>
      <c r="D179" s="314" t="s">
        <v>2061</v>
      </c>
      <c r="E179" s="272">
        <v>11</v>
      </c>
      <c r="F179" s="272" t="s">
        <v>1015</v>
      </c>
      <c r="G179" s="892">
        <v>2</v>
      </c>
      <c r="H179" s="892"/>
      <c r="I179" s="892"/>
      <c r="J179" s="892"/>
      <c r="K179" s="893"/>
      <c r="L179" s="894"/>
      <c r="N179" s="23">
        <f>'Bid 3b'!F60</f>
        <v>9720132.1799999997</v>
      </c>
    </row>
    <row r="180" spans="1:15" ht="30" x14ac:dyDescent="0.25">
      <c r="A180" s="2261"/>
      <c r="B180" s="2261"/>
      <c r="C180" s="272">
        <v>7</v>
      </c>
      <c r="D180" s="314" t="s">
        <v>2062</v>
      </c>
      <c r="E180" s="272">
        <v>11</v>
      </c>
      <c r="F180" s="272" t="s">
        <v>1015</v>
      </c>
      <c r="G180" s="892"/>
      <c r="H180" s="892"/>
      <c r="I180" s="892"/>
      <c r="J180" s="892"/>
      <c r="K180" s="893"/>
      <c r="L180" s="894"/>
      <c r="N180" s="23">
        <f>'Bid 3b'!F140</f>
        <v>34770000</v>
      </c>
    </row>
    <row r="181" spans="1:15" ht="30" x14ac:dyDescent="0.25">
      <c r="A181" s="2261"/>
      <c r="B181" s="2261"/>
      <c r="C181" s="272">
        <v>8</v>
      </c>
      <c r="D181" s="314" t="s">
        <v>2063</v>
      </c>
      <c r="E181" s="272">
        <v>16</v>
      </c>
      <c r="F181" s="272" t="s">
        <v>1015</v>
      </c>
      <c r="G181" s="892"/>
      <c r="H181" s="892"/>
      <c r="I181" s="892"/>
      <c r="J181" s="892"/>
      <c r="K181" s="893"/>
      <c r="L181" s="894"/>
    </row>
    <row r="182" spans="1:15" ht="30" x14ac:dyDescent="0.25">
      <c r="A182" s="2261"/>
      <c r="B182" s="2261"/>
      <c r="C182" s="272">
        <v>9</v>
      </c>
      <c r="D182" s="314" t="s">
        <v>2064</v>
      </c>
      <c r="E182" s="272">
        <v>18</v>
      </c>
      <c r="F182" s="272" t="s">
        <v>1015</v>
      </c>
      <c r="G182" s="892"/>
      <c r="H182" s="892"/>
      <c r="I182" s="892"/>
      <c r="J182" s="892"/>
      <c r="K182" s="893"/>
      <c r="L182" s="894"/>
      <c r="N182" t="s">
        <v>2279</v>
      </c>
      <c r="O182" t="s">
        <v>2285</v>
      </c>
    </row>
    <row r="183" spans="1:15" ht="75" x14ac:dyDescent="0.25">
      <c r="A183" s="2261"/>
      <c r="B183" s="2261"/>
      <c r="C183" s="272">
        <v>10</v>
      </c>
      <c r="D183" s="314" t="s">
        <v>2065</v>
      </c>
      <c r="E183" s="272">
        <v>18</v>
      </c>
      <c r="F183" s="272" t="s">
        <v>1015</v>
      </c>
      <c r="G183" s="892"/>
      <c r="H183" s="892"/>
      <c r="I183" s="892"/>
      <c r="J183" s="892"/>
      <c r="K183" s="893"/>
      <c r="L183" s="894"/>
      <c r="N183" s="27">
        <f>'Bid 3b'!F709</f>
        <v>180000000</v>
      </c>
    </row>
    <row r="184" spans="1:15" ht="30" x14ac:dyDescent="0.25">
      <c r="A184" s="2261"/>
      <c r="B184" s="2261"/>
      <c r="C184" s="272">
        <v>11</v>
      </c>
      <c r="D184" s="314" t="s">
        <v>2066</v>
      </c>
      <c r="E184" s="272">
        <v>18</v>
      </c>
      <c r="F184" s="272" t="s">
        <v>1015</v>
      </c>
      <c r="G184" s="892"/>
      <c r="H184" s="892"/>
      <c r="I184" s="892"/>
      <c r="J184" s="892"/>
      <c r="K184" s="893"/>
      <c r="L184" s="894"/>
      <c r="N184" s="23">
        <f>'Bid 3b'!F559</f>
        <v>8560000</v>
      </c>
    </row>
    <row r="185" spans="1:15" ht="75" x14ac:dyDescent="0.25">
      <c r="A185" s="2261"/>
      <c r="B185" s="2261"/>
      <c r="C185" s="272">
        <v>12</v>
      </c>
      <c r="D185" s="314" t="s">
        <v>2067</v>
      </c>
      <c r="E185" s="272">
        <v>18</v>
      </c>
      <c r="F185" s="272" t="s">
        <v>1015</v>
      </c>
      <c r="G185" s="892"/>
      <c r="H185" s="892"/>
      <c r="I185" s="892"/>
      <c r="J185" s="892"/>
      <c r="K185" s="893"/>
      <c r="L185" s="894"/>
      <c r="M185" s="5" t="s">
        <v>2255</v>
      </c>
      <c r="N185" s="23">
        <v>33800000</v>
      </c>
      <c r="O185" s="23"/>
    </row>
    <row r="186" spans="1:15" ht="60" x14ac:dyDescent="0.25">
      <c r="A186" s="2261"/>
      <c r="B186" s="2261"/>
      <c r="C186" s="272">
        <v>13</v>
      </c>
      <c r="D186" s="314" t="s">
        <v>2068</v>
      </c>
      <c r="E186" s="272">
        <v>18</v>
      </c>
      <c r="F186" s="272" t="s">
        <v>1015</v>
      </c>
      <c r="G186" s="892"/>
      <c r="H186" s="892"/>
      <c r="I186" s="892"/>
      <c r="J186" s="892"/>
      <c r="K186" s="893"/>
      <c r="L186" s="894"/>
      <c r="M186" s="5" t="s">
        <v>2256</v>
      </c>
      <c r="O186" s="23"/>
    </row>
    <row r="187" spans="1:15" ht="30" x14ac:dyDescent="0.25">
      <c r="A187" s="2261"/>
      <c r="B187" s="2261"/>
      <c r="C187" s="272">
        <v>14</v>
      </c>
      <c r="D187" s="314" t="s">
        <v>2069</v>
      </c>
      <c r="E187" s="272">
        <v>18</v>
      </c>
      <c r="F187" s="272" t="s">
        <v>1015</v>
      </c>
      <c r="G187" s="892"/>
      <c r="H187" s="892"/>
      <c r="I187" s="892"/>
      <c r="J187" s="892"/>
      <c r="K187" s="893"/>
      <c r="L187" s="894"/>
      <c r="N187" s="23"/>
    </row>
    <row r="188" spans="1:15" ht="30" x14ac:dyDescent="0.25">
      <c r="A188" s="2261"/>
      <c r="B188" s="2261"/>
      <c r="C188" s="272">
        <v>15</v>
      </c>
      <c r="D188" s="314" t="s">
        <v>2070</v>
      </c>
      <c r="E188" s="272">
        <v>18</v>
      </c>
      <c r="F188" s="272" t="s">
        <v>1015</v>
      </c>
      <c r="G188" s="892"/>
      <c r="H188" s="892"/>
      <c r="I188" s="892"/>
      <c r="J188" s="892"/>
      <c r="K188" s="893"/>
      <c r="L188" s="894"/>
      <c r="N188" s="23"/>
    </row>
    <row r="189" spans="1:15" s="957" customFormat="1" ht="30" x14ac:dyDescent="0.25">
      <c r="A189" s="2261"/>
      <c r="B189" s="2261"/>
      <c r="C189" s="951">
        <v>16</v>
      </c>
      <c r="D189" s="958" t="s">
        <v>2071</v>
      </c>
      <c r="E189" s="951">
        <v>18</v>
      </c>
      <c r="F189" s="951" t="s">
        <v>1015</v>
      </c>
      <c r="G189" s="953"/>
      <c r="H189" s="953"/>
      <c r="I189" s="953"/>
      <c r="J189" s="953"/>
      <c r="K189" s="954"/>
      <c r="L189" s="955"/>
    </row>
    <row r="190" spans="1:15" s="957" customFormat="1" ht="30" x14ac:dyDescent="0.25">
      <c r="A190" s="2261"/>
      <c r="B190" s="2261"/>
      <c r="C190" s="951">
        <v>17</v>
      </c>
      <c r="D190" s="958" t="s">
        <v>2072</v>
      </c>
      <c r="E190" s="951">
        <v>18</v>
      </c>
      <c r="F190" s="951" t="s">
        <v>1015</v>
      </c>
      <c r="G190" s="953"/>
      <c r="H190" s="953"/>
      <c r="I190" s="953"/>
      <c r="J190" s="953"/>
      <c r="K190" s="954"/>
      <c r="L190" s="955"/>
    </row>
    <row r="191" spans="1:15" x14ac:dyDescent="0.25">
      <c r="A191" s="2261"/>
      <c r="B191" s="2261"/>
      <c r="C191" s="272">
        <v>18</v>
      </c>
      <c r="D191" s="314" t="s">
        <v>2073</v>
      </c>
      <c r="E191" s="272">
        <v>18</v>
      </c>
      <c r="F191" s="272" t="s">
        <v>1015</v>
      </c>
      <c r="G191" s="892"/>
      <c r="H191" s="892"/>
      <c r="I191" s="892"/>
      <c r="J191" s="892"/>
      <c r="K191" s="893"/>
      <c r="L191" s="894"/>
      <c r="N191" s="23">
        <f>'Bid 3b'!F220</f>
        <v>42947000</v>
      </c>
    </row>
    <row r="192" spans="1:15" s="957" customFormat="1" ht="30" x14ac:dyDescent="0.25">
      <c r="A192" s="2261"/>
      <c r="B192" s="2261"/>
      <c r="C192" s="951">
        <v>19</v>
      </c>
      <c r="D192" s="958" t="s">
        <v>2074</v>
      </c>
      <c r="E192" s="951">
        <v>5</v>
      </c>
      <c r="F192" s="951" t="s">
        <v>1015</v>
      </c>
      <c r="G192" s="953"/>
      <c r="H192" s="953"/>
      <c r="I192" s="953"/>
      <c r="J192" s="953"/>
      <c r="K192" s="954"/>
      <c r="L192" s="955"/>
    </row>
    <row r="193" spans="1:16" s="957" customFormat="1" x14ac:dyDescent="0.25">
      <c r="A193" s="2261"/>
      <c r="B193" s="2261"/>
      <c r="C193" s="951">
        <v>20</v>
      </c>
      <c r="D193" s="958" t="s">
        <v>2075</v>
      </c>
      <c r="E193" s="951">
        <v>5</v>
      </c>
      <c r="F193" s="951" t="s">
        <v>1015</v>
      </c>
      <c r="G193" s="953"/>
      <c r="H193" s="953"/>
      <c r="I193" s="953"/>
      <c r="J193" s="953"/>
      <c r="K193" s="954"/>
      <c r="L193" s="955"/>
    </row>
    <row r="194" spans="1:16" s="957" customFormat="1" ht="30" x14ac:dyDescent="0.25">
      <c r="A194" s="2261"/>
      <c r="B194" s="2261"/>
      <c r="C194" s="951">
        <v>21</v>
      </c>
      <c r="D194" s="958" t="s">
        <v>2076</v>
      </c>
      <c r="E194" s="951">
        <v>18</v>
      </c>
      <c r="F194" s="951" t="s">
        <v>1015</v>
      </c>
      <c r="G194" s="953"/>
      <c r="H194" s="953"/>
      <c r="I194" s="953"/>
      <c r="J194" s="953"/>
      <c r="K194" s="954"/>
      <c r="L194" s="955"/>
    </row>
    <row r="195" spans="1:16" s="957" customFormat="1" x14ac:dyDescent="0.25">
      <c r="A195" s="2261"/>
      <c r="B195" s="2261"/>
      <c r="C195" s="951">
        <v>22</v>
      </c>
      <c r="D195" s="958" t="s">
        <v>2077</v>
      </c>
      <c r="E195" s="951">
        <v>3</v>
      </c>
      <c r="F195" s="951" t="s">
        <v>1015</v>
      </c>
      <c r="G195" s="953"/>
      <c r="H195" s="953"/>
      <c r="I195" s="953"/>
      <c r="J195" s="953"/>
      <c r="K195" s="954"/>
      <c r="L195" s="955"/>
    </row>
    <row r="196" spans="1:16" s="957" customFormat="1" x14ac:dyDescent="0.25">
      <c r="A196" s="2261"/>
      <c r="B196" s="2261"/>
      <c r="C196" s="951">
        <v>23</v>
      </c>
      <c r="D196" s="958" t="s">
        <v>2078</v>
      </c>
      <c r="E196" s="951">
        <v>18</v>
      </c>
      <c r="F196" s="951" t="s">
        <v>1015</v>
      </c>
      <c r="G196" s="953"/>
      <c r="H196" s="953"/>
      <c r="I196" s="953"/>
      <c r="J196" s="953"/>
      <c r="K196" s="954"/>
      <c r="L196" s="955"/>
    </row>
    <row r="197" spans="1:16" s="957" customFormat="1" ht="30" x14ac:dyDescent="0.25">
      <c r="A197" s="2261"/>
      <c r="B197" s="2261"/>
      <c r="C197" s="951">
        <v>24</v>
      </c>
      <c r="D197" s="958" t="s">
        <v>2079</v>
      </c>
      <c r="E197" s="951">
        <v>18</v>
      </c>
      <c r="F197" s="951" t="s">
        <v>1015</v>
      </c>
      <c r="G197" s="953"/>
      <c r="H197" s="953"/>
      <c r="I197" s="953"/>
      <c r="J197" s="953"/>
      <c r="K197" s="954"/>
      <c r="L197" s="955"/>
    </row>
    <row r="198" spans="1:16" s="957" customFormat="1" ht="30" x14ac:dyDescent="0.25">
      <c r="A198" s="2261"/>
      <c r="B198" s="2261"/>
      <c r="C198" s="951">
        <v>25</v>
      </c>
      <c r="D198" s="958" t="s">
        <v>2080</v>
      </c>
      <c r="E198" s="951">
        <v>18</v>
      </c>
      <c r="F198" s="951" t="s">
        <v>1015</v>
      </c>
      <c r="G198" s="953"/>
      <c r="H198" s="953"/>
      <c r="I198" s="953"/>
      <c r="J198" s="953"/>
      <c r="K198" s="954"/>
      <c r="L198" s="955"/>
    </row>
    <row r="199" spans="1:16" s="957" customFormat="1" ht="30" x14ac:dyDescent="0.25">
      <c r="A199" s="2261"/>
      <c r="B199" s="2261"/>
      <c r="C199" s="951">
        <v>26</v>
      </c>
      <c r="D199" s="958" t="s">
        <v>2081</v>
      </c>
      <c r="E199" s="951">
        <v>18</v>
      </c>
      <c r="F199" s="951" t="s">
        <v>1015</v>
      </c>
      <c r="G199" s="953"/>
      <c r="H199" s="953"/>
      <c r="I199" s="953"/>
      <c r="J199" s="953"/>
      <c r="K199" s="954"/>
      <c r="L199" s="955"/>
      <c r="M199" s="957" t="s">
        <v>2281</v>
      </c>
    </row>
    <row r="200" spans="1:16" s="957" customFormat="1" x14ac:dyDescent="0.25">
      <c r="A200" s="2261"/>
      <c r="B200" s="2261"/>
      <c r="C200" s="951">
        <v>27</v>
      </c>
      <c r="D200" s="958" t="s">
        <v>2082</v>
      </c>
      <c r="E200" s="951">
        <v>18</v>
      </c>
      <c r="F200" s="951" t="s">
        <v>1015</v>
      </c>
      <c r="G200" s="953"/>
      <c r="H200" s="953"/>
      <c r="I200" s="953"/>
      <c r="J200" s="953"/>
      <c r="K200" s="954"/>
      <c r="L200" s="955"/>
      <c r="M200" s="957" t="s">
        <v>2282</v>
      </c>
    </row>
    <row r="201" spans="1:16" x14ac:dyDescent="0.25">
      <c r="A201" s="2261"/>
      <c r="B201" s="2261"/>
      <c r="C201" s="272">
        <v>28</v>
      </c>
      <c r="D201" s="314" t="s">
        <v>2083</v>
      </c>
      <c r="E201" s="272">
        <v>5</v>
      </c>
      <c r="F201" s="272" t="s">
        <v>1015</v>
      </c>
      <c r="G201" s="892"/>
      <c r="H201" s="892"/>
      <c r="I201" s="892"/>
      <c r="J201" s="892"/>
      <c r="K201" s="893"/>
      <c r="L201" s="894"/>
      <c r="N201" s="27">
        <f>'Bid 3b'!F1195</f>
        <v>11628000</v>
      </c>
    </row>
    <row r="202" spans="1:16" ht="30" x14ac:dyDescent="0.25">
      <c r="A202" s="2261"/>
      <c r="B202" s="2261"/>
      <c r="C202" s="272">
        <v>29</v>
      </c>
      <c r="D202" s="314" t="s">
        <v>2084</v>
      </c>
      <c r="E202" s="272">
        <v>18</v>
      </c>
      <c r="F202" s="272" t="s">
        <v>1015</v>
      </c>
      <c r="G202" s="892"/>
      <c r="H202" s="892"/>
      <c r="I202" s="892"/>
      <c r="J202" s="892"/>
      <c r="K202" s="893"/>
      <c r="L202" s="894"/>
      <c r="M202" t="s">
        <v>2283</v>
      </c>
    </row>
    <row r="203" spans="1:16" ht="57" customHeight="1" x14ac:dyDescent="0.25">
      <c r="A203" s="2261"/>
      <c r="B203" s="2261"/>
      <c r="C203" s="272">
        <v>30</v>
      </c>
      <c r="D203" s="314" t="s">
        <v>2085</v>
      </c>
      <c r="E203" s="272">
        <v>18</v>
      </c>
      <c r="F203" s="272" t="s">
        <v>1015</v>
      </c>
      <c r="G203" s="892"/>
      <c r="H203" s="892"/>
      <c r="I203" s="892"/>
      <c r="J203" s="892"/>
      <c r="K203" s="893"/>
      <c r="L203" s="894"/>
      <c r="M203" s="5" t="s">
        <v>2257</v>
      </c>
      <c r="N203" t="s">
        <v>2280</v>
      </c>
    </row>
    <row r="204" spans="1:16" ht="30" x14ac:dyDescent="0.25">
      <c r="A204" s="2261"/>
      <c r="B204" s="2261"/>
      <c r="C204" s="272">
        <v>31</v>
      </c>
      <c r="D204" s="314" t="s">
        <v>2086</v>
      </c>
      <c r="E204" s="272">
        <v>18</v>
      </c>
      <c r="F204" s="272" t="s">
        <v>1015</v>
      </c>
      <c r="G204" s="892"/>
      <c r="H204" s="892"/>
      <c r="I204" s="892"/>
      <c r="J204" s="892"/>
      <c r="K204" s="893"/>
      <c r="L204" s="894"/>
      <c r="M204" s="5" t="s">
        <v>2258</v>
      </c>
      <c r="N204" s="23">
        <f>'Bid 3b'!F783+'Bid 3b'!F821</f>
        <v>85522000</v>
      </c>
      <c r="O204" t="s">
        <v>2260</v>
      </c>
    </row>
    <row r="205" spans="1:16" ht="90" x14ac:dyDescent="0.25">
      <c r="A205" s="2261"/>
      <c r="B205" s="2261"/>
      <c r="C205" s="272">
        <v>32</v>
      </c>
      <c r="D205" s="314" t="s">
        <v>2087</v>
      </c>
      <c r="E205" s="272">
        <v>18</v>
      </c>
      <c r="F205" s="272" t="s">
        <v>1015</v>
      </c>
      <c r="G205" s="892"/>
      <c r="H205" s="892"/>
      <c r="I205" s="892"/>
      <c r="J205" s="892"/>
      <c r="K205" s="893"/>
      <c r="L205" s="894"/>
      <c r="M205" s="5" t="s">
        <v>2261</v>
      </c>
      <c r="N205" s="23">
        <v>104037600</v>
      </c>
      <c r="O205" s="23"/>
      <c r="P205" s="23"/>
    </row>
    <row r="206" spans="1:16" x14ac:dyDescent="0.25">
      <c r="A206" s="2261"/>
      <c r="B206" s="2261"/>
      <c r="C206" s="272">
        <v>33</v>
      </c>
      <c r="D206" s="314" t="s">
        <v>2088</v>
      </c>
      <c r="E206" s="272">
        <v>18</v>
      </c>
      <c r="F206" s="272" t="s">
        <v>1015</v>
      </c>
      <c r="G206" s="892"/>
      <c r="H206" s="892"/>
      <c r="I206" s="892"/>
      <c r="J206" s="892"/>
      <c r="K206" s="893"/>
      <c r="L206" s="894"/>
      <c r="N206" s="23">
        <f>'Bid 3b'!F1114</f>
        <v>11598584.66</v>
      </c>
    </row>
    <row r="207" spans="1:16" s="957" customFormat="1" x14ac:dyDescent="0.25">
      <c r="A207" s="2261"/>
      <c r="B207" s="2261"/>
      <c r="C207" s="951">
        <v>34</v>
      </c>
      <c r="D207" s="958" t="s">
        <v>2089</v>
      </c>
      <c r="E207" s="951">
        <v>3</v>
      </c>
      <c r="F207" s="951" t="s">
        <v>1015</v>
      </c>
      <c r="G207" s="953"/>
      <c r="H207" s="953"/>
      <c r="I207" s="953"/>
      <c r="J207" s="953"/>
      <c r="K207" s="954"/>
      <c r="L207" s="955"/>
      <c r="M207" s="957" t="s">
        <v>2259</v>
      </c>
    </row>
    <row r="208" spans="1:16" s="957" customFormat="1" ht="30" x14ac:dyDescent="0.25">
      <c r="A208" s="2261"/>
      <c r="B208" s="2261"/>
      <c r="C208" s="951">
        <v>35</v>
      </c>
      <c r="D208" s="958" t="s">
        <v>2090</v>
      </c>
      <c r="E208" s="951">
        <v>18</v>
      </c>
      <c r="F208" s="951" t="s">
        <v>1015</v>
      </c>
      <c r="G208" s="953"/>
      <c r="H208" s="953"/>
      <c r="I208" s="953"/>
      <c r="J208" s="953"/>
      <c r="K208" s="954"/>
      <c r="L208" s="955"/>
    </row>
    <row r="209" spans="1:15" ht="30" x14ac:dyDescent="0.25">
      <c r="A209" s="2261"/>
      <c r="B209" s="2261"/>
      <c r="C209" s="272">
        <v>36</v>
      </c>
      <c r="D209" s="314" t="s">
        <v>2091</v>
      </c>
      <c r="E209" s="272">
        <v>3</v>
      </c>
      <c r="F209" s="272" t="s">
        <v>1015</v>
      </c>
      <c r="G209" s="892"/>
      <c r="H209" s="892"/>
      <c r="I209" s="892"/>
      <c r="J209" s="892"/>
      <c r="K209" s="893"/>
      <c r="L209" s="894"/>
      <c r="N209" s="5" t="s">
        <v>2284</v>
      </c>
    </row>
    <row r="210" spans="1:15" ht="60" x14ac:dyDescent="0.25">
      <c r="A210" s="2261"/>
      <c r="B210" s="2261"/>
      <c r="C210" s="272">
        <v>37</v>
      </c>
      <c r="D210" s="314" t="s">
        <v>2092</v>
      </c>
      <c r="E210" s="272">
        <v>18</v>
      </c>
      <c r="F210" s="272" t="s">
        <v>1015</v>
      </c>
      <c r="G210" s="892">
        <v>4</v>
      </c>
      <c r="H210" s="892"/>
      <c r="I210" s="892"/>
      <c r="J210" s="892"/>
      <c r="K210" s="893"/>
      <c r="L210" s="894"/>
    </row>
    <row r="211" spans="1:15" ht="45" x14ac:dyDescent="0.25">
      <c r="A211" s="2261"/>
      <c r="B211" s="2261"/>
      <c r="C211" s="272">
        <v>38</v>
      </c>
      <c r="D211" s="314" t="s">
        <v>2093</v>
      </c>
      <c r="E211" s="272">
        <v>18</v>
      </c>
      <c r="F211" s="272" t="s">
        <v>1015</v>
      </c>
      <c r="G211" s="892">
        <v>4</v>
      </c>
      <c r="H211" s="892"/>
      <c r="I211" s="892"/>
      <c r="J211" s="892"/>
      <c r="K211" s="893"/>
      <c r="L211" s="894" t="s">
        <v>2094</v>
      </c>
    </row>
    <row r="212" spans="1:15" ht="30" x14ac:dyDescent="0.25">
      <c r="A212" s="2261"/>
      <c r="B212" s="2261"/>
      <c r="C212" s="272">
        <v>39</v>
      </c>
      <c r="D212" s="314" t="s">
        <v>2095</v>
      </c>
      <c r="E212" s="272">
        <v>18</v>
      </c>
      <c r="F212" s="272" t="s">
        <v>1015</v>
      </c>
      <c r="G212" s="892"/>
      <c r="H212" s="892"/>
      <c r="I212" s="892"/>
      <c r="J212" s="892"/>
      <c r="K212" s="893"/>
      <c r="L212" s="894"/>
      <c r="N212" s="23"/>
    </row>
    <row r="213" spans="1:15" s="96" customFormat="1" ht="30" x14ac:dyDescent="0.25">
      <c r="A213" s="2261"/>
      <c r="B213" s="2261"/>
      <c r="C213" s="909">
        <v>40</v>
      </c>
      <c r="D213" s="959" t="s">
        <v>2096</v>
      </c>
      <c r="E213" s="909">
        <v>17</v>
      </c>
      <c r="F213" s="909"/>
      <c r="G213" s="905"/>
      <c r="H213" s="905"/>
      <c r="I213" s="905"/>
      <c r="J213" s="905"/>
      <c r="K213" s="906"/>
      <c r="L213" s="865"/>
    </row>
    <row r="214" spans="1:15" x14ac:dyDescent="0.25">
      <c r="N214" s="23">
        <f>SUM(N174:N213)</f>
        <v>848044316.84000003</v>
      </c>
    </row>
    <row r="215" spans="1:15" ht="39.75" customHeight="1" x14ac:dyDescent="0.25">
      <c r="A215" s="2257">
        <v>4</v>
      </c>
      <c r="B215" s="2260" t="s">
        <v>2097</v>
      </c>
      <c r="C215" s="909">
        <v>1</v>
      </c>
      <c r="D215" s="305" t="s">
        <v>2098</v>
      </c>
      <c r="E215" s="272">
        <v>2</v>
      </c>
      <c r="F215" s="272" t="s">
        <v>1015</v>
      </c>
      <c r="G215" s="892"/>
      <c r="H215" s="892"/>
      <c r="I215" s="892"/>
      <c r="J215" s="892"/>
      <c r="K215" s="893"/>
      <c r="L215" s="894"/>
      <c r="N215" s="23">
        <f>'BID 4 b'!F258</f>
        <v>256897500</v>
      </c>
      <c r="O215" t="s">
        <v>2286</v>
      </c>
    </row>
    <row r="216" spans="1:15" s="96" customFormat="1" ht="39.75" customHeight="1" x14ac:dyDescent="0.25">
      <c r="A216" s="2258"/>
      <c r="B216" s="2261"/>
      <c r="C216" s="909">
        <v>2</v>
      </c>
      <c r="D216" s="970" t="s">
        <v>2099</v>
      </c>
      <c r="E216" s="909">
        <v>6</v>
      </c>
      <c r="F216" s="909" t="s">
        <v>1015</v>
      </c>
      <c r="G216" s="905"/>
      <c r="H216" s="905"/>
      <c r="I216" s="905"/>
      <c r="J216" s="905"/>
      <c r="K216" s="906"/>
      <c r="L216" s="865"/>
      <c r="N216" s="96" t="s">
        <v>2287</v>
      </c>
    </row>
    <row r="217" spans="1:15" ht="39.75" customHeight="1" x14ac:dyDescent="0.25">
      <c r="A217" s="2258"/>
      <c r="B217" s="2261"/>
      <c r="C217" s="272">
        <v>3</v>
      </c>
      <c r="D217" s="305" t="s">
        <v>2100</v>
      </c>
      <c r="E217" s="272">
        <v>18</v>
      </c>
      <c r="F217" s="272" t="s">
        <v>1015</v>
      </c>
      <c r="G217" s="892"/>
      <c r="H217" s="892"/>
      <c r="I217" s="892"/>
      <c r="J217" s="892"/>
      <c r="K217" s="893"/>
      <c r="L217" s="894"/>
      <c r="N217" s="23">
        <f>'BID 4 b'!F959</f>
        <v>1380000</v>
      </c>
    </row>
    <row r="218" spans="1:15" ht="39.75" customHeight="1" x14ac:dyDescent="0.25">
      <c r="A218" s="2258"/>
      <c r="B218" s="2261"/>
      <c r="C218" s="272">
        <v>4</v>
      </c>
      <c r="D218" s="305" t="s">
        <v>2101</v>
      </c>
      <c r="E218" s="272">
        <v>18</v>
      </c>
      <c r="F218" s="272" t="s">
        <v>1015</v>
      </c>
      <c r="G218" s="892"/>
      <c r="H218" s="892"/>
      <c r="I218" s="892"/>
      <c r="J218" s="892"/>
      <c r="K218" s="893"/>
      <c r="L218" s="894"/>
      <c r="N218" s="23">
        <f>'BID 4 b'!F1074</f>
        <v>1955204.83</v>
      </c>
    </row>
    <row r="219" spans="1:15" s="957" customFormat="1" ht="39.75" customHeight="1" x14ac:dyDescent="0.25">
      <c r="A219" s="2258"/>
      <c r="B219" s="2261"/>
      <c r="C219" s="951">
        <v>5</v>
      </c>
      <c r="D219" s="958" t="s">
        <v>2102</v>
      </c>
      <c r="E219" s="951">
        <v>18</v>
      </c>
      <c r="F219" s="951" t="s">
        <v>1015</v>
      </c>
      <c r="G219" s="953"/>
      <c r="H219" s="953"/>
      <c r="I219" s="953"/>
      <c r="J219" s="953"/>
      <c r="K219" s="954"/>
      <c r="L219" s="955"/>
    </row>
    <row r="220" spans="1:15" ht="39.75" customHeight="1" x14ac:dyDescent="0.25">
      <c r="A220" s="2258"/>
      <c r="B220" s="2261"/>
      <c r="C220" s="272">
        <v>6</v>
      </c>
      <c r="D220" s="314" t="s">
        <v>2103</v>
      </c>
      <c r="E220" s="272">
        <v>8</v>
      </c>
      <c r="F220" s="272" t="s">
        <v>1015</v>
      </c>
      <c r="G220" s="892"/>
      <c r="H220" s="892"/>
      <c r="I220" s="892"/>
      <c r="J220" s="892"/>
      <c r="K220" s="893"/>
      <c r="L220" s="894"/>
      <c r="N220" s="23">
        <f>'BID 4 b'!F1331</f>
        <v>13855000</v>
      </c>
    </row>
    <row r="221" spans="1:15" ht="39.75" customHeight="1" x14ac:dyDescent="0.25">
      <c r="A221" s="2258"/>
      <c r="B221" s="2261"/>
      <c r="C221" s="272">
        <v>7</v>
      </c>
      <c r="D221" s="314" t="s">
        <v>2104</v>
      </c>
      <c r="E221" s="272">
        <v>8</v>
      </c>
      <c r="F221" s="272" t="s">
        <v>1015</v>
      </c>
      <c r="G221" s="910">
        <v>6</v>
      </c>
      <c r="H221" s="892"/>
      <c r="I221" s="892"/>
      <c r="J221" s="892"/>
      <c r="K221" s="893"/>
      <c r="L221" s="894"/>
    </row>
    <row r="222" spans="1:15" s="96" customFormat="1" ht="39.75" customHeight="1" x14ac:dyDescent="0.25">
      <c r="A222" s="2258"/>
      <c r="B222" s="2261"/>
      <c r="C222" s="909">
        <v>8</v>
      </c>
      <c r="D222" s="959" t="s">
        <v>2105</v>
      </c>
      <c r="E222" s="909">
        <v>14</v>
      </c>
      <c r="F222" s="909" t="s">
        <v>1015</v>
      </c>
      <c r="G222" s="905"/>
      <c r="H222" s="905"/>
      <c r="I222" s="905"/>
      <c r="J222" s="905"/>
      <c r="K222" s="906"/>
      <c r="L222" s="865"/>
      <c r="M222" s="2275" t="s">
        <v>1640</v>
      </c>
      <c r="N222" s="923" t="e">
        <f>'BID 4 b'!#REF!</f>
        <v>#REF!</v>
      </c>
    </row>
    <row r="223" spans="1:15" s="96" customFormat="1" ht="39.75" customHeight="1" x14ac:dyDescent="0.25">
      <c r="A223" s="2258"/>
      <c r="B223" s="2261"/>
      <c r="C223" s="909">
        <v>9</v>
      </c>
      <c r="D223" s="959" t="s">
        <v>2106</v>
      </c>
      <c r="E223" s="909">
        <v>14</v>
      </c>
      <c r="F223" s="909" t="s">
        <v>1015</v>
      </c>
      <c r="G223" s="905"/>
      <c r="H223" s="905"/>
      <c r="I223" s="905"/>
      <c r="J223" s="905"/>
      <c r="K223" s="906"/>
      <c r="L223" s="865"/>
      <c r="M223" s="2275"/>
    </row>
    <row r="224" spans="1:15" ht="46.5" customHeight="1" x14ac:dyDescent="0.25">
      <c r="A224" s="2258"/>
      <c r="B224" s="2261"/>
      <c r="C224" s="272">
        <v>10</v>
      </c>
      <c r="D224" s="314" t="s">
        <v>2107</v>
      </c>
      <c r="E224" s="272">
        <v>2</v>
      </c>
      <c r="F224" s="272" t="s">
        <v>1015</v>
      </c>
      <c r="G224" s="892"/>
      <c r="H224" s="892"/>
      <c r="I224" s="892"/>
      <c r="J224" s="892"/>
      <c r="K224" s="893"/>
      <c r="L224" s="894"/>
    </row>
    <row r="225" spans="1:15" s="96" customFormat="1" ht="39.75" customHeight="1" x14ac:dyDescent="0.25">
      <c r="A225" s="2258"/>
      <c r="B225" s="2261"/>
      <c r="C225" s="909">
        <v>11</v>
      </c>
      <c r="D225" s="959" t="s">
        <v>2108</v>
      </c>
      <c r="E225" s="909">
        <v>6</v>
      </c>
      <c r="F225" s="909" t="s">
        <v>1015</v>
      </c>
      <c r="G225" s="905"/>
      <c r="H225" s="905">
        <v>2</v>
      </c>
      <c r="I225" s="905"/>
      <c r="J225" s="905"/>
      <c r="K225" s="906"/>
      <c r="L225" s="865"/>
    </row>
    <row r="226" spans="1:15" ht="39.75" customHeight="1" x14ac:dyDescent="0.25">
      <c r="A226" s="2258"/>
      <c r="B226" s="2261"/>
      <c r="C226" s="909">
        <v>12</v>
      </c>
      <c r="D226" s="314" t="s">
        <v>2109</v>
      </c>
      <c r="E226" s="272">
        <v>8</v>
      </c>
      <c r="F226" s="272" t="s">
        <v>1015</v>
      </c>
      <c r="G226" s="892"/>
      <c r="H226" s="892"/>
      <c r="I226" s="892"/>
      <c r="J226" s="892"/>
      <c r="K226" s="893"/>
      <c r="L226" s="894"/>
      <c r="N226" s="23">
        <f>'BID 4 b'!F920</f>
        <v>172887000</v>
      </c>
      <c r="O226" t="s">
        <v>2288</v>
      </c>
    </row>
    <row r="227" spans="1:15" s="96" customFormat="1" ht="39.75" customHeight="1" x14ac:dyDescent="0.25">
      <c r="A227" s="2258"/>
      <c r="B227" s="2261"/>
      <c r="C227" s="909">
        <v>13</v>
      </c>
      <c r="D227" s="959" t="s">
        <v>2110</v>
      </c>
      <c r="E227" s="909">
        <v>8</v>
      </c>
      <c r="F227" s="909" t="s">
        <v>1015</v>
      </c>
      <c r="G227" s="905"/>
      <c r="H227" s="905"/>
      <c r="I227" s="905"/>
      <c r="J227" s="905"/>
      <c r="K227" s="906"/>
      <c r="L227" s="865"/>
    </row>
    <row r="228" spans="1:15" s="957" customFormat="1" ht="39.75" customHeight="1" x14ac:dyDescent="0.25">
      <c r="A228" s="2258"/>
      <c r="B228" s="2261"/>
      <c r="C228" s="951">
        <v>14</v>
      </c>
      <c r="D228" s="958" t="s">
        <v>2111</v>
      </c>
      <c r="E228" s="951">
        <v>2</v>
      </c>
      <c r="F228" s="951" t="s">
        <v>1015</v>
      </c>
      <c r="G228" s="953"/>
      <c r="H228" s="953"/>
      <c r="I228" s="953"/>
      <c r="J228" s="953"/>
      <c r="K228" s="954"/>
      <c r="L228" s="955"/>
    </row>
    <row r="229" spans="1:15" ht="39.75" customHeight="1" x14ac:dyDescent="0.25">
      <c r="A229" s="2258"/>
      <c r="B229" s="2261"/>
      <c r="C229" s="909">
        <v>15</v>
      </c>
      <c r="D229" s="314" t="s">
        <v>2112</v>
      </c>
      <c r="E229" s="272">
        <v>8</v>
      </c>
      <c r="F229" s="272" t="s">
        <v>1015</v>
      </c>
      <c r="G229" s="892"/>
      <c r="H229" s="892"/>
      <c r="I229" s="892"/>
      <c r="J229" s="892"/>
      <c r="K229" s="893"/>
      <c r="L229" s="894"/>
      <c r="M229" s="2262" t="s">
        <v>1640</v>
      </c>
    </row>
    <row r="230" spans="1:15" ht="39.75" customHeight="1" x14ac:dyDescent="0.25">
      <c r="A230" s="2258"/>
      <c r="B230" s="2261"/>
      <c r="C230" s="909">
        <v>16</v>
      </c>
      <c r="D230" s="314" t="s">
        <v>2113</v>
      </c>
      <c r="E230" s="272">
        <v>8</v>
      </c>
      <c r="F230" s="272" t="s">
        <v>1015</v>
      </c>
      <c r="G230" s="892"/>
      <c r="H230" s="892"/>
      <c r="I230" s="892"/>
      <c r="J230" s="892"/>
      <c r="K230" s="893"/>
      <c r="L230" s="894"/>
      <c r="M230" s="2262"/>
    </row>
    <row r="231" spans="1:15" s="957" customFormat="1" ht="39.75" customHeight="1" x14ac:dyDescent="0.25">
      <c r="A231" s="2258"/>
      <c r="B231" s="2261"/>
      <c r="C231" s="951">
        <v>17</v>
      </c>
      <c r="D231" s="958" t="s">
        <v>2114</v>
      </c>
      <c r="E231" s="951">
        <v>18</v>
      </c>
      <c r="F231" s="951" t="s">
        <v>1015</v>
      </c>
      <c r="G231" s="953"/>
      <c r="H231" s="953"/>
      <c r="I231" s="953"/>
      <c r="J231" s="953"/>
      <c r="K231" s="954"/>
      <c r="L231" s="955"/>
      <c r="M231" s="957" t="s">
        <v>2289</v>
      </c>
    </row>
    <row r="232" spans="1:15" ht="39.75" customHeight="1" x14ac:dyDescent="0.25">
      <c r="A232" s="2258"/>
      <c r="B232" s="2261"/>
      <c r="C232" s="272">
        <v>18</v>
      </c>
      <c r="D232" s="314" t="s">
        <v>2115</v>
      </c>
      <c r="E232" s="272">
        <v>18</v>
      </c>
      <c r="F232" s="272" t="s">
        <v>1015</v>
      </c>
      <c r="G232" s="892"/>
      <c r="H232" s="892"/>
      <c r="I232" s="892"/>
      <c r="J232" s="892"/>
      <c r="K232" s="893"/>
      <c r="L232" s="894"/>
      <c r="N232" s="23">
        <f>'BID 4 b'!F995</f>
        <v>40000000</v>
      </c>
    </row>
    <row r="233" spans="1:15" ht="39.75" customHeight="1" x14ac:dyDescent="0.25">
      <c r="A233" s="2258"/>
      <c r="B233" s="2261"/>
      <c r="C233" s="272">
        <v>19</v>
      </c>
      <c r="D233" s="314" t="s">
        <v>2116</v>
      </c>
      <c r="E233" s="272">
        <v>18</v>
      </c>
      <c r="F233" s="272" t="s">
        <v>1015</v>
      </c>
      <c r="G233" s="892"/>
      <c r="H233" s="892"/>
      <c r="I233" s="892"/>
      <c r="J233" s="892"/>
      <c r="K233" s="893"/>
      <c r="L233" s="894"/>
      <c r="N233" s="23">
        <f>'BID 4 b'!F1037</f>
        <v>16220000</v>
      </c>
    </row>
    <row r="234" spans="1:15" ht="39.75" customHeight="1" x14ac:dyDescent="0.25">
      <c r="A234" s="2258"/>
      <c r="B234" s="2261"/>
      <c r="C234" s="272">
        <v>20</v>
      </c>
      <c r="D234" s="314" t="s">
        <v>2117</v>
      </c>
      <c r="E234" s="272">
        <v>5</v>
      </c>
      <c r="F234" s="272" t="s">
        <v>1015</v>
      </c>
      <c r="G234" s="910">
        <v>4</v>
      </c>
      <c r="H234" s="910"/>
      <c r="I234" s="892"/>
      <c r="J234" s="892"/>
      <c r="K234" s="893"/>
      <c r="L234" s="894"/>
      <c r="M234" t="s">
        <v>2290</v>
      </c>
      <c r="N234" s="27">
        <f>'BID 4 b'!F1108</f>
        <v>1820000</v>
      </c>
    </row>
    <row r="235" spans="1:15" ht="39.75" customHeight="1" x14ac:dyDescent="0.25">
      <c r="A235" s="2258"/>
      <c r="B235" s="2261"/>
      <c r="C235" s="272">
        <v>21</v>
      </c>
      <c r="D235" s="314" t="s">
        <v>2118</v>
      </c>
      <c r="E235" s="272">
        <v>8</v>
      </c>
      <c r="F235" s="272" t="s">
        <v>1015</v>
      </c>
      <c r="G235" s="892"/>
      <c r="H235" s="892"/>
      <c r="I235" s="892"/>
      <c r="J235" s="892"/>
      <c r="K235" s="893"/>
      <c r="L235" s="894"/>
      <c r="N235" t="s">
        <v>2275</v>
      </c>
    </row>
    <row r="236" spans="1:15" s="957" customFormat="1" ht="39.75" customHeight="1" x14ac:dyDescent="0.25">
      <c r="A236" s="2258"/>
      <c r="B236" s="2261"/>
      <c r="C236" s="951">
        <v>22</v>
      </c>
      <c r="D236" s="958" t="s">
        <v>2119</v>
      </c>
      <c r="E236" s="951">
        <v>8</v>
      </c>
      <c r="F236" s="951" t="s">
        <v>1015</v>
      </c>
      <c r="G236" s="953"/>
      <c r="H236" s="953"/>
      <c r="I236" s="953"/>
      <c r="J236" s="953"/>
      <c r="K236" s="954"/>
      <c r="L236" s="955"/>
    </row>
    <row r="237" spans="1:15" s="96" customFormat="1" ht="39.75" customHeight="1" x14ac:dyDescent="0.25">
      <c r="A237" s="2258"/>
      <c r="B237" s="2261"/>
      <c r="C237" s="909">
        <v>23</v>
      </c>
      <c r="D237" s="959" t="s">
        <v>2120</v>
      </c>
      <c r="E237" s="909">
        <v>8</v>
      </c>
      <c r="F237" s="909" t="s">
        <v>1015</v>
      </c>
      <c r="G237" s="905"/>
      <c r="H237" s="905"/>
      <c r="I237" s="905"/>
      <c r="J237" s="905"/>
      <c r="K237" s="906"/>
      <c r="L237" s="865"/>
    </row>
    <row r="238" spans="1:15" s="96" customFormat="1" ht="39.75" customHeight="1" x14ac:dyDescent="0.25">
      <c r="A238" s="2258"/>
      <c r="B238" s="2261"/>
      <c r="C238" s="909">
        <v>24</v>
      </c>
      <c r="D238" s="959" t="s">
        <v>2121</v>
      </c>
      <c r="E238" s="909">
        <v>8</v>
      </c>
      <c r="F238" s="909" t="s">
        <v>1015</v>
      </c>
      <c r="G238" s="905"/>
      <c r="H238" s="905"/>
      <c r="I238" s="905"/>
      <c r="J238" s="905"/>
      <c r="K238" s="906"/>
      <c r="L238" s="865"/>
    </row>
    <row r="239" spans="1:15" s="96" customFormat="1" ht="39.75" customHeight="1" x14ac:dyDescent="0.25">
      <c r="A239" s="2258"/>
      <c r="B239" s="2261"/>
      <c r="C239" s="909">
        <v>25</v>
      </c>
      <c r="D239" s="959" t="s">
        <v>2122</v>
      </c>
      <c r="E239" s="909">
        <v>8</v>
      </c>
      <c r="F239" s="909" t="s">
        <v>1015</v>
      </c>
      <c r="G239" s="905"/>
      <c r="H239" s="905"/>
      <c r="I239" s="905"/>
      <c r="J239" s="905"/>
      <c r="K239" s="906"/>
      <c r="L239" s="865"/>
    </row>
    <row r="240" spans="1:15" s="96" customFormat="1" ht="39.75" customHeight="1" x14ac:dyDescent="0.25">
      <c r="A240" s="2258"/>
      <c r="B240" s="2261"/>
      <c r="C240" s="909">
        <v>26</v>
      </c>
      <c r="D240" s="959" t="s">
        <v>2123</v>
      </c>
      <c r="E240" s="909">
        <v>8</v>
      </c>
      <c r="F240" s="909" t="s">
        <v>1015</v>
      </c>
      <c r="G240" s="905"/>
      <c r="H240" s="905"/>
      <c r="I240" s="905"/>
      <c r="J240" s="905"/>
      <c r="K240" s="906"/>
      <c r="L240" s="865"/>
    </row>
    <row r="241" spans="1:14" s="96" customFormat="1" ht="39.75" customHeight="1" x14ac:dyDescent="0.25">
      <c r="A241" s="2258"/>
      <c r="B241" s="2261"/>
      <c r="C241" s="909">
        <v>27</v>
      </c>
      <c r="D241" s="959" t="s">
        <v>2124</v>
      </c>
      <c r="E241" s="909">
        <v>8</v>
      </c>
      <c r="F241" s="909" t="s">
        <v>1015</v>
      </c>
      <c r="G241" s="905"/>
      <c r="H241" s="905"/>
      <c r="I241" s="905"/>
      <c r="J241" s="905"/>
      <c r="K241" s="906"/>
      <c r="L241" s="865"/>
    </row>
    <row r="242" spans="1:14" s="96" customFormat="1" ht="39.75" customHeight="1" x14ac:dyDescent="0.25">
      <c r="A242" s="2258"/>
      <c r="B242" s="2261"/>
      <c r="C242" s="909">
        <v>28</v>
      </c>
      <c r="D242" s="959" t="s">
        <v>2125</v>
      </c>
      <c r="E242" s="909">
        <v>8</v>
      </c>
      <c r="F242" s="909" t="s">
        <v>1015</v>
      </c>
      <c r="G242" s="905"/>
      <c r="H242" s="905"/>
      <c r="I242" s="905"/>
      <c r="J242" s="905"/>
      <c r="K242" s="906"/>
      <c r="L242" s="865"/>
    </row>
    <row r="243" spans="1:14" s="96" customFormat="1" ht="39.75" customHeight="1" x14ac:dyDescent="0.25">
      <c r="A243" s="2258"/>
      <c r="B243" s="2261"/>
      <c r="C243" s="909">
        <v>29</v>
      </c>
      <c r="D243" s="959" t="s">
        <v>2126</v>
      </c>
      <c r="E243" s="909">
        <v>8</v>
      </c>
      <c r="F243" s="909" t="s">
        <v>1015</v>
      </c>
      <c r="G243" s="905"/>
      <c r="H243" s="905"/>
      <c r="I243" s="905"/>
      <c r="J243" s="905"/>
      <c r="K243" s="906"/>
      <c r="L243" s="865"/>
    </row>
    <row r="244" spans="1:14" s="96" customFormat="1" ht="39.75" customHeight="1" x14ac:dyDescent="0.25">
      <c r="A244" s="2258"/>
      <c r="B244" s="2261"/>
      <c r="C244" s="909">
        <v>30</v>
      </c>
      <c r="D244" s="959" t="s">
        <v>2127</v>
      </c>
      <c r="E244" s="909">
        <v>8</v>
      </c>
      <c r="F244" s="909" t="s">
        <v>1015</v>
      </c>
      <c r="G244" s="905"/>
      <c r="H244" s="905"/>
      <c r="I244" s="905"/>
      <c r="J244" s="905"/>
      <c r="K244" s="906"/>
      <c r="L244" s="865"/>
    </row>
    <row r="245" spans="1:14" s="957" customFormat="1" ht="39.75" customHeight="1" x14ac:dyDescent="0.25">
      <c r="A245" s="2258"/>
      <c r="B245" s="2261"/>
      <c r="C245" s="951">
        <v>31</v>
      </c>
      <c r="D245" s="958" t="s">
        <v>2128</v>
      </c>
      <c r="E245" s="951">
        <v>8</v>
      </c>
      <c r="F245" s="951" t="s">
        <v>1015</v>
      </c>
      <c r="G245" s="953"/>
      <c r="H245" s="953"/>
      <c r="I245" s="953"/>
      <c r="J245" s="953"/>
      <c r="K245" s="954"/>
      <c r="L245" s="955"/>
    </row>
    <row r="246" spans="1:14" s="96" customFormat="1" ht="39.75" customHeight="1" x14ac:dyDescent="0.25">
      <c r="A246" s="2258"/>
      <c r="B246" s="2261"/>
      <c r="C246" s="909">
        <v>32</v>
      </c>
      <c r="D246" s="959" t="s">
        <v>2129</v>
      </c>
      <c r="E246" s="909">
        <v>8</v>
      </c>
      <c r="F246" s="909" t="s">
        <v>1015</v>
      </c>
      <c r="G246" s="905"/>
      <c r="H246" s="905"/>
      <c r="I246" s="905"/>
      <c r="J246" s="905"/>
      <c r="K246" s="906"/>
      <c r="L246" s="865"/>
    </row>
    <row r="247" spans="1:14" s="96" customFormat="1" ht="39.75" customHeight="1" x14ac:dyDescent="0.25">
      <c r="A247" s="2258"/>
      <c r="B247" s="2261"/>
      <c r="C247" s="909">
        <v>33</v>
      </c>
      <c r="D247" s="959" t="s">
        <v>2130</v>
      </c>
      <c r="E247" s="909">
        <v>8</v>
      </c>
      <c r="F247" s="909" t="s">
        <v>1015</v>
      </c>
      <c r="G247" s="905"/>
      <c r="H247" s="905"/>
      <c r="I247" s="905"/>
      <c r="J247" s="905"/>
      <c r="K247" s="906"/>
      <c r="L247" s="865"/>
    </row>
    <row r="248" spans="1:14" s="96" customFormat="1" ht="39.75" customHeight="1" x14ac:dyDescent="0.25">
      <c r="A248" s="2258"/>
      <c r="B248" s="2261"/>
      <c r="C248" s="909">
        <v>34</v>
      </c>
      <c r="D248" s="959" t="s">
        <v>2131</v>
      </c>
      <c r="E248" s="909">
        <v>8</v>
      </c>
      <c r="F248" s="909" t="s">
        <v>1015</v>
      </c>
      <c r="G248" s="905"/>
      <c r="H248" s="905"/>
      <c r="I248" s="905"/>
      <c r="J248" s="905"/>
      <c r="K248" s="906"/>
      <c r="L248" s="865"/>
    </row>
    <row r="249" spans="1:14" s="96" customFormat="1" ht="39.75" customHeight="1" x14ac:dyDescent="0.25">
      <c r="A249" s="2258"/>
      <c r="B249" s="2261"/>
      <c r="C249" s="909">
        <v>35</v>
      </c>
      <c r="D249" s="959" t="s">
        <v>2132</v>
      </c>
      <c r="E249" s="909">
        <v>8</v>
      </c>
      <c r="F249" s="909" t="s">
        <v>1015</v>
      </c>
      <c r="G249" s="905"/>
      <c r="H249" s="905"/>
      <c r="I249" s="905"/>
      <c r="J249" s="905"/>
      <c r="K249" s="906"/>
      <c r="L249" s="865"/>
    </row>
    <row r="250" spans="1:14" s="96" customFormat="1" ht="39.75" customHeight="1" x14ac:dyDescent="0.25">
      <c r="A250" s="2258"/>
      <c r="B250" s="2261"/>
      <c r="C250" s="909">
        <v>36</v>
      </c>
      <c r="D250" s="959" t="s">
        <v>2133</v>
      </c>
      <c r="E250" s="909">
        <v>8</v>
      </c>
      <c r="F250" s="909" t="s">
        <v>1015</v>
      </c>
      <c r="G250" s="905">
        <v>2</v>
      </c>
      <c r="H250" s="905"/>
      <c r="I250" s="905"/>
      <c r="J250" s="905"/>
      <c r="K250" s="906"/>
      <c r="L250" s="865"/>
    </row>
    <row r="251" spans="1:14" ht="39.75" customHeight="1" x14ac:dyDescent="0.25">
      <c r="A251" s="2258"/>
      <c r="B251" s="2261"/>
      <c r="C251" s="272">
        <v>37</v>
      </c>
      <c r="D251" s="314" t="s">
        <v>2134</v>
      </c>
      <c r="E251" s="272">
        <v>15</v>
      </c>
      <c r="F251" s="272"/>
      <c r="G251" s="892"/>
      <c r="H251" s="892"/>
      <c r="I251" s="892"/>
      <c r="J251" s="892" t="s">
        <v>2135</v>
      </c>
      <c r="K251" s="893"/>
      <c r="L251" s="894"/>
      <c r="M251" t="s">
        <v>2291</v>
      </c>
      <c r="N251" t="s">
        <v>2275</v>
      </c>
    </row>
    <row r="252" spans="1:14" ht="39.75" customHeight="1" x14ac:dyDescent="0.25">
      <c r="A252" s="2258"/>
      <c r="B252" s="2261"/>
      <c r="C252" s="272">
        <v>38</v>
      </c>
      <c r="D252" s="314" t="s">
        <v>2136</v>
      </c>
      <c r="E252" s="272">
        <v>15</v>
      </c>
      <c r="F252" s="272"/>
      <c r="G252" s="892"/>
      <c r="H252" s="892"/>
      <c r="I252" s="892"/>
      <c r="J252" s="892" t="s">
        <v>1934</v>
      </c>
      <c r="K252" s="893"/>
      <c r="L252" s="894"/>
      <c r="N252" t="s">
        <v>2275</v>
      </c>
    </row>
    <row r="253" spans="1:14" s="957" customFormat="1" ht="39.75" customHeight="1" x14ac:dyDescent="0.25">
      <c r="A253" s="2258"/>
      <c r="B253" s="2261"/>
      <c r="C253" s="951">
        <v>39</v>
      </c>
      <c r="D253" s="958" t="s">
        <v>2137</v>
      </c>
      <c r="E253" s="951">
        <v>17</v>
      </c>
      <c r="F253" s="951"/>
      <c r="G253" s="953"/>
      <c r="H253" s="953"/>
      <c r="I253" s="953"/>
      <c r="J253" s="953" t="s">
        <v>2138</v>
      </c>
      <c r="K253" s="954"/>
      <c r="L253" s="955"/>
      <c r="M253" s="957" t="s">
        <v>2292</v>
      </c>
    </row>
    <row r="254" spans="1:14" s="96" customFormat="1" ht="39.75" customHeight="1" x14ac:dyDescent="0.25">
      <c r="A254" s="2258"/>
      <c r="B254" s="2261"/>
      <c r="C254" s="909">
        <v>40</v>
      </c>
      <c r="D254" s="964" t="s">
        <v>2139</v>
      </c>
      <c r="E254" s="965">
        <v>8</v>
      </c>
      <c r="F254" s="965"/>
      <c r="G254" s="905"/>
      <c r="H254" s="905">
        <v>9</v>
      </c>
      <c r="I254" s="905"/>
      <c r="J254" s="905"/>
      <c r="K254" s="906"/>
      <c r="L254" s="865" t="s">
        <v>2140</v>
      </c>
    </row>
    <row r="255" spans="1:14" s="96" customFormat="1" ht="39.75" customHeight="1" x14ac:dyDescent="0.25">
      <c r="A255" s="2259"/>
      <c r="B255" s="2261"/>
      <c r="C255" s="909">
        <v>41</v>
      </c>
      <c r="D255" s="964" t="s">
        <v>2141</v>
      </c>
      <c r="E255" s="965">
        <v>2</v>
      </c>
      <c r="F255" s="965"/>
      <c r="G255" s="905"/>
      <c r="H255" s="905"/>
      <c r="I255" s="905"/>
      <c r="J255" s="905"/>
      <c r="K255" s="906"/>
      <c r="L255" s="865"/>
    </row>
    <row r="256" spans="1:14" x14ac:dyDescent="0.25">
      <c r="N256" s="23" t="e">
        <f>SUM(N215:N255)</f>
        <v>#REF!</v>
      </c>
    </row>
    <row r="257" spans="13:14" x14ac:dyDescent="0.25">
      <c r="M257" t="s">
        <v>26</v>
      </c>
      <c r="N257" s="23" t="e">
        <f>N47+N214+N173+N256</f>
        <v>#REF!</v>
      </c>
    </row>
  </sheetData>
  <mergeCells count="23">
    <mergeCell ref="A215:A255"/>
    <mergeCell ref="B215:B255"/>
    <mergeCell ref="M75:M76"/>
    <mergeCell ref="A7:A46"/>
    <mergeCell ref="B7:B46"/>
    <mergeCell ref="A48:A172"/>
    <mergeCell ref="B48:B172"/>
    <mergeCell ref="A174:A213"/>
    <mergeCell ref="B174:B213"/>
    <mergeCell ref="M222:M223"/>
    <mergeCell ref="M229:M230"/>
    <mergeCell ref="L4:L5"/>
    <mergeCell ref="A1:F1"/>
    <mergeCell ref="A2:F2"/>
    <mergeCell ref="A4:A5"/>
    <mergeCell ref="B4:D4"/>
    <mergeCell ref="E4:E5"/>
    <mergeCell ref="F4:F5"/>
    <mergeCell ref="G4:G5"/>
    <mergeCell ref="H4:H5"/>
    <mergeCell ref="I4:I5"/>
    <mergeCell ref="J4:J5"/>
    <mergeCell ref="K4:K5"/>
  </mergeCells>
  <pageMargins left="0.7" right="0.7" top="0.75" bottom="0.75" header="0.3" footer="0.3"/>
  <pageSetup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16"/>
  <sheetViews>
    <sheetView workbookViewId="0">
      <selection activeCell="B21" sqref="B21"/>
    </sheetView>
  </sheetViews>
  <sheetFormatPr defaultRowHeight="15" x14ac:dyDescent="0.25"/>
  <cols>
    <col min="1" max="1" width="9.140625" style="105"/>
    <col min="2" max="2" width="41.140625" customWidth="1"/>
    <col min="3" max="3" width="12.42578125" customWidth="1"/>
  </cols>
  <sheetData>
    <row r="1" spans="1:3" ht="23.25" customHeight="1" x14ac:dyDescent="0.3">
      <c r="A1" s="971" t="s">
        <v>951</v>
      </c>
      <c r="B1" s="972" t="s">
        <v>2293</v>
      </c>
      <c r="C1" s="972" t="s">
        <v>2294</v>
      </c>
    </row>
    <row r="2" spans="1:3" ht="23.25" customHeight="1" x14ac:dyDescent="0.3">
      <c r="A2" s="971">
        <v>1</v>
      </c>
      <c r="B2" s="973" t="s">
        <v>2011</v>
      </c>
      <c r="C2" s="972" t="s">
        <v>2295</v>
      </c>
    </row>
    <row r="3" spans="1:3" ht="23.25" customHeight="1" x14ac:dyDescent="0.3">
      <c r="A3" s="971">
        <v>2</v>
      </c>
      <c r="B3" s="973" t="s">
        <v>2012</v>
      </c>
      <c r="C3" s="972" t="s">
        <v>2295</v>
      </c>
    </row>
    <row r="4" spans="1:3" ht="23.25" customHeight="1" x14ac:dyDescent="0.3">
      <c r="A4" s="971">
        <v>3</v>
      </c>
      <c r="B4" s="974" t="s">
        <v>2013</v>
      </c>
      <c r="C4" s="972" t="s">
        <v>2296</v>
      </c>
    </row>
    <row r="5" spans="1:3" ht="23.25" customHeight="1" x14ac:dyDescent="0.3">
      <c r="A5" s="971">
        <v>4</v>
      </c>
      <c r="B5" s="974" t="s">
        <v>2014</v>
      </c>
      <c r="C5" s="972" t="s">
        <v>2296</v>
      </c>
    </row>
    <row r="6" spans="1:3" ht="44.25" customHeight="1" x14ac:dyDescent="0.3">
      <c r="A6" s="971">
        <v>5</v>
      </c>
      <c r="B6" s="973" t="s">
        <v>2016</v>
      </c>
      <c r="C6" s="975" t="s">
        <v>2297</v>
      </c>
    </row>
    <row r="7" spans="1:3" ht="42" customHeight="1" x14ac:dyDescent="0.3">
      <c r="A7" s="971">
        <v>6</v>
      </c>
      <c r="B7" s="974" t="s">
        <v>2017</v>
      </c>
      <c r="C7" s="975" t="s">
        <v>2297</v>
      </c>
    </row>
    <row r="8" spans="1:3" ht="23.25" customHeight="1" x14ac:dyDescent="0.3">
      <c r="A8" s="971">
        <v>7</v>
      </c>
      <c r="B8" s="973" t="s">
        <v>2019</v>
      </c>
      <c r="C8" s="972" t="s">
        <v>2298</v>
      </c>
    </row>
    <row r="9" spans="1:3" ht="23.25" customHeight="1" x14ac:dyDescent="0.3">
      <c r="A9" s="971">
        <v>8</v>
      </c>
      <c r="B9" s="973" t="s">
        <v>2020</v>
      </c>
      <c r="C9" s="972"/>
    </row>
    <row r="10" spans="1:3" ht="36" customHeight="1" x14ac:dyDescent="0.3">
      <c r="A10" s="971">
        <v>9</v>
      </c>
      <c r="B10" s="973" t="s">
        <v>2024</v>
      </c>
      <c r="C10" s="972" t="s">
        <v>2298</v>
      </c>
    </row>
    <row r="11" spans="1:3" ht="23.25" customHeight="1" x14ac:dyDescent="0.3">
      <c r="A11" s="971">
        <v>10</v>
      </c>
      <c r="B11" s="973" t="s">
        <v>2029</v>
      </c>
      <c r="C11" s="972" t="s">
        <v>2299</v>
      </c>
    </row>
    <row r="12" spans="1:3" ht="23.25" customHeight="1" x14ac:dyDescent="0.3">
      <c r="A12" s="971">
        <v>11</v>
      </c>
      <c r="B12" s="973" t="s">
        <v>2030</v>
      </c>
      <c r="C12" s="972" t="s">
        <v>2299</v>
      </c>
    </row>
    <row r="13" spans="1:3" ht="23.25" customHeight="1" x14ac:dyDescent="0.3">
      <c r="A13" s="971">
        <v>12</v>
      </c>
      <c r="B13" s="973" t="s">
        <v>2031</v>
      </c>
      <c r="C13" s="972" t="s">
        <v>2299</v>
      </c>
    </row>
    <row r="14" spans="1:3" ht="23.25" customHeight="1" x14ac:dyDescent="0.3">
      <c r="A14" s="971">
        <v>13</v>
      </c>
      <c r="B14" s="973" t="s">
        <v>2032</v>
      </c>
      <c r="C14" s="972" t="s">
        <v>2299</v>
      </c>
    </row>
    <row r="15" spans="1:3" ht="23.25" customHeight="1" x14ac:dyDescent="0.3">
      <c r="A15" s="971">
        <v>14</v>
      </c>
      <c r="B15" s="973" t="s">
        <v>2033</v>
      </c>
      <c r="C15" s="972" t="s">
        <v>2299</v>
      </c>
    </row>
    <row r="16" spans="1:3" ht="42.75" customHeight="1" x14ac:dyDescent="0.3">
      <c r="A16" s="971">
        <v>15</v>
      </c>
      <c r="B16" s="973" t="s">
        <v>2034</v>
      </c>
      <c r="C16" s="972" t="s">
        <v>2299</v>
      </c>
    </row>
  </sheetData>
  <pageMargins left="0.7" right="0.7" top="0.75" bottom="0.75" header="0.3" footer="0.3"/>
  <pageSetup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2"/>
  <sheetViews>
    <sheetView topLeftCell="E1" workbookViewId="0">
      <selection activeCell="L19" sqref="L19"/>
    </sheetView>
  </sheetViews>
  <sheetFormatPr defaultRowHeight="15" x14ac:dyDescent="0.25"/>
  <cols>
    <col min="1" max="1" width="13.7109375" customWidth="1"/>
    <col min="2" max="2" width="24.140625" customWidth="1"/>
    <col min="3" max="3" width="8" customWidth="1"/>
    <col min="4" max="4" width="29.5703125" customWidth="1"/>
    <col min="5" max="5" width="51.85546875" customWidth="1"/>
    <col min="6" max="6" width="14.85546875" customWidth="1"/>
    <col min="7" max="7" width="18" customWidth="1"/>
    <col min="8" max="8" width="11" customWidth="1"/>
    <col min="9" max="9" width="13.28515625" customWidth="1"/>
    <col min="10" max="10" width="15.140625" customWidth="1"/>
    <col min="11" max="11" width="16.28515625" customWidth="1"/>
    <col min="12" max="12" width="17.5703125" customWidth="1"/>
    <col min="13" max="13" width="12.85546875" customWidth="1"/>
    <col min="14" max="14" width="21.5703125" customWidth="1"/>
  </cols>
  <sheetData>
    <row r="1" spans="1:14" s="7" customFormat="1" ht="29.25" customHeight="1" x14ac:dyDescent="0.25">
      <c r="A1" s="2245" t="s">
        <v>976</v>
      </c>
      <c r="B1" s="2245"/>
      <c r="C1" s="2245"/>
      <c r="D1" s="2245"/>
      <c r="E1" s="2245"/>
      <c r="F1" s="2245"/>
      <c r="G1" s="2245"/>
      <c r="H1" s="2245"/>
      <c r="I1" s="2245"/>
      <c r="J1" s="2245"/>
      <c r="K1" s="2245"/>
      <c r="L1" s="2245"/>
      <c r="M1" s="2245"/>
      <c r="N1" s="6"/>
    </row>
    <row r="2" spans="1:14" s="7" customFormat="1" ht="23.25" customHeight="1" x14ac:dyDescent="0.25">
      <c r="A2" s="2245" t="s">
        <v>1645</v>
      </c>
      <c r="B2" s="2245"/>
      <c r="C2" s="2245"/>
      <c r="D2" s="2245"/>
      <c r="E2" s="2245"/>
      <c r="F2" s="2245"/>
      <c r="G2" s="2245"/>
      <c r="H2" s="2245"/>
      <c r="I2" s="2245"/>
      <c r="J2" s="2245"/>
      <c r="K2" s="2245"/>
      <c r="L2" s="2245"/>
      <c r="M2" s="2245"/>
      <c r="N2" s="6"/>
    </row>
    <row r="3" spans="1:14" s="7" customFormat="1" ht="15.75" x14ac:dyDescent="0.25">
      <c r="B3" s="8"/>
      <c r="D3" s="8"/>
      <c r="H3" s="8"/>
      <c r="J3" s="9"/>
      <c r="L3" s="33"/>
      <c r="M3" s="113"/>
      <c r="N3" s="6"/>
    </row>
    <row r="4" spans="1:14" s="7" customFormat="1" ht="31.5" x14ac:dyDescent="0.25">
      <c r="A4" s="7" t="s">
        <v>977</v>
      </c>
      <c r="B4" s="8" t="s">
        <v>978</v>
      </c>
      <c r="D4" s="8"/>
      <c r="H4" s="8"/>
      <c r="J4" s="9"/>
      <c r="L4" s="33"/>
      <c r="M4" s="113"/>
      <c r="N4" s="6"/>
    </row>
    <row r="5" spans="1:14" s="7" customFormat="1" ht="31.5" x14ac:dyDescent="0.25">
      <c r="A5" s="7" t="s">
        <v>979</v>
      </c>
      <c r="B5" s="8" t="s">
        <v>980</v>
      </c>
      <c r="D5" s="8"/>
      <c r="H5" s="8"/>
      <c r="J5" s="9"/>
      <c r="L5" s="33"/>
      <c r="M5" s="113"/>
      <c r="N5" s="6"/>
    </row>
    <row r="6" spans="1:14" s="7" customFormat="1" ht="15.75" x14ac:dyDescent="0.25">
      <c r="A6" s="7" t="s">
        <v>981</v>
      </c>
      <c r="B6" s="8" t="s">
        <v>982</v>
      </c>
      <c r="D6" s="8"/>
      <c r="H6" s="8"/>
      <c r="J6" s="9"/>
      <c r="L6" s="33"/>
      <c r="M6" s="113"/>
      <c r="N6" s="6"/>
    </row>
    <row r="7" spans="1:14" s="7" customFormat="1" ht="15.75" x14ac:dyDescent="0.25">
      <c r="A7" s="7" t="s">
        <v>983</v>
      </c>
      <c r="B7" s="8" t="s">
        <v>984</v>
      </c>
      <c r="D7" s="8"/>
      <c r="H7" s="8"/>
      <c r="J7" s="9"/>
      <c r="L7" s="33"/>
      <c r="M7" s="113"/>
      <c r="N7" s="6"/>
    </row>
    <row r="8" spans="1:14" s="7" customFormat="1" ht="63" customHeight="1" x14ac:dyDescent="0.25">
      <c r="A8" s="2281" t="s">
        <v>951</v>
      </c>
      <c r="B8" s="2281" t="s">
        <v>985</v>
      </c>
      <c r="C8" s="2281"/>
      <c r="D8" s="2281"/>
      <c r="E8" s="2282" t="s">
        <v>1076</v>
      </c>
      <c r="F8" s="2282" t="s">
        <v>1077</v>
      </c>
      <c r="G8" s="2282" t="s">
        <v>1078</v>
      </c>
      <c r="H8" s="2282" t="s">
        <v>1079</v>
      </c>
      <c r="I8" s="2281" t="s">
        <v>990</v>
      </c>
      <c r="J8" s="2281"/>
      <c r="K8" s="2281"/>
      <c r="L8" s="2282" t="s">
        <v>1080</v>
      </c>
      <c r="M8" s="2282"/>
    </row>
    <row r="9" spans="1:14" s="7" customFormat="1" ht="72.75" customHeight="1" x14ac:dyDescent="0.25">
      <c r="A9" s="2281"/>
      <c r="B9" s="69" t="s">
        <v>994</v>
      </c>
      <c r="C9" s="70" t="s">
        <v>1081</v>
      </c>
      <c r="D9" s="70" t="s">
        <v>1082</v>
      </c>
      <c r="E9" s="2282"/>
      <c r="F9" s="2282"/>
      <c r="G9" s="2282"/>
      <c r="H9" s="2282"/>
      <c r="I9" s="69" t="s">
        <v>1083</v>
      </c>
      <c r="J9" s="69" t="s">
        <v>1084</v>
      </c>
      <c r="K9" s="69" t="s">
        <v>1085</v>
      </c>
      <c r="L9" s="106" t="s">
        <v>1086</v>
      </c>
      <c r="M9" s="69" t="s">
        <v>997</v>
      </c>
    </row>
    <row r="10" spans="1:14" s="7" customFormat="1" ht="15.75" x14ac:dyDescent="0.25">
      <c r="A10" s="13" t="s">
        <v>998</v>
      </c>
      <c r="B10" s="13" t="s">
        <v>999</v>
      </c>
      <c r="C10" s="13" t="s">
        <v>1000</v>
      </c>
      <c r="D10" s="13" t="s">
        <v>1001</v>
      </c>
      <c r="E10" s="10" t="s">
        <v>1002</v>
      </c>
      <c r="F10" s="13" t="s">
        <v>1003</v>
      </c>
      <c r="G10" s="14" t="s">
        <v>1004</v>
      </c>
      <c r="H10" s="13" t="s">
        <v>1005</v>
      </c>
      <c r="I10" s="13" t="s">
        <v>1006</v>
      </c>
      <c r="J10" s="13" t="s">
        <v>1007</v>
      </c>
      <c r="K10" s="13" t="s">
        <v>1008</v>
      </c>
      <c r="L10" s="72" t="s">
        <v>1009</v>
      </c>
      <c r="M10" s="13" t="s">
        <v>455</v>
      </c>
    </row>
    <row r="11" spans="1:14" ht="31.5" x14ac:dyDescent="0.25">
      <c r="A11" s="114">
        <v>2</v>
      </c>
      <c r="B11" s="115" t="e">
        <f>#REF!</f>
        <v>#REF!</v>
      </c>
      <c r="C11" s="119">
        <v>1</v>
      </c>
      <c r="D11" s="862" t="e">
        <f>#REF!</f>
        <v>#REF!</v>
      </c>
      <c r="E11" s="137" t="s">
        <v>1384</v>
      </c>
      <c r="F11" s="21"/>
      <c r="G11" s="869" t="s">
        <v>1012</v>
      </c>
      <c r="H11" s="18" t="s">
        <v>1736</v>
      </c>
      <c r="I11" s="18"/>
      <c r="J11" s="18"/>
      <c r="K11" s="19"/>
      <c r="L11" s="117" t="e">
        <f>#REF!</f>
        <v>#REF!</v>
      </c>
      <c r="M11" s="26" t="s">
        <v>1014</v>
      </c>
    </row>
    <row r="12" spans="1:14" ht="31.5" x14ac:dyDescent="0.25">
      <c r="A12" s="114"/>
      <c r="B12" s="115"/>
      <c r="C12" s="119">
        <v>2</v>
      </c>
      <c r="D12" s="115" t="e">
        <f>#REF!</f>
        <v>#REF!</v>
      </c>
      <c r="E12" s="137" t="s">
        <v>1384</v>
      </c>
      <c r="F12" s="21"/>
      <c r="G12" s="869" t="s">
        <v>1012</v>
      </c>
      <c r="H12" s="18" t="s">
        <v>1736</v>
      </c>
      <c r="I12" s="18"/>
      <c r="J12" s="18"/>
      <c r="K12" s="19"/>
      <c r="L12" s="117" t="e">
        <f>#REF!</f>
        <v>#REF!</v>
      </c>
      <c r="M12" s="26" t="s">
        <v>1014</v>
      </c>
    </row>
    <row r="13" spans="1:14" ht="31.5" x14ac:dyDescent="0.25">
      <c r="A13" s="114"/>
      <c r="B13" s="115"/>
      <c r="C13" s="119">
        <v>3</v>
      </c>
      <c r="D13" s="115" t="e">
        <f>#REF!</f>
        <v>#REF!</v>
      </c>
      <c r="E13" s="137" t="s">
        <v>1384</v>
      </c>
      <c r="F13" s="21"/>
      <c r="G13" s="869" t="s">
        <v>1012</v>
      </c>
      <c r="H13" s="18" t="s">
        <v>1736</v>
      </c>
      <c r="I13" s="18"/>
      <c r="J13" s="18"/>
      <c r="K13" s="19"/>
      <c r="L13" s="117" t="e">
        <f>#REF!</f>
        <v>#REF!</v>
      </c>
      <c r="M13" s="26" t="s">
        <v>1014</v>
      </c>
    </row>
    <row r="14" spans="1:14" ht="31.5" x14ac:dyDescent="0.25">
      <c r="A14" s="1"/>
      <c r="B14" s="4"/>
      <c r="C14" s="119">
        <v>4</v>
      </c>
      <c r="D14" s="4" t="e">
        <f>#REF!</f>
        <v>#REF!</v>
      </c>
      <c r="E14" s="138">
        <v>3</v>
      </c>
      <c r="F14" s="21"/>
      <c r="G14" s="869" t="s">
        <v>1012</v>
      </c>
      <c r="H14" s="18" t="s">
        <v>1736</v>
      </c>
      <c r="I14" s="18"/>
      <c r="J14" s="18"/>
      <c r="K14" s="19"/>
      <c r="L14" s="73" t="e">
        <f>#REF!</f>
        <v>#REF!</v>
      </c>
      <c r="M14" s="26" t="s">
        <v>1014</v>
      </c>
    </row>
    <row r="15" spans="1:14" ht="31.5" x14ac:dyDescent="0.25">
      <c r="A15" s="1"/>
      <c r="B15" s="4"/>
      <c r="C15" s="119">
        <v>5</v>
      </c>
      <c r="D15" s="4" t="e">
        <f>#REF!</f>
        <v>#REF!</v>
      </c>
      <c r="E15" s="138">
        <v>3</v>
      </c>
      <c r="F15" s="21"/>
      <c r="G15" s="869" t="s">
        <v>1012</v>
      </c>
      <c r="H15" s="18" t="s">
        <v>1016</v>
      </c>
      <c r="I15" s="18"/>
      <c r="J15" s="18"/>
      <c r="K15" s="19"/>
      <c r="L15" s="73" t="e">
        <f>#REF!</f>
        <v>#REF!</v>
      </c>
      <c r="M15" s="26" t="s">
        <v>1014</v>
      </c>
    </row>
    <row r="16" spans="1:14" ht="55.5" customHeight="1" x14ac:dyDescent="0.25">
      <c r="A16" s="1"/>
      <c r="B16" s="4"/>
      <c r="C16" s="119">
        <v>6</v>
      </c>
      <c r="D16" s="4" t="e">
        <f>#REF!</f>
        <v>#REF!</v>
      </c>
      <c r="E16" s="138">
        <v>3</v>
      </c>
      <c r="F16" s="21"/>
      <c r="G16" s="869" t="s">
        <v>1012</v>
      </c>
      <c r="H16" s="18" t="s">
        <v>1042</v>
      </c>
      <c r="I16" s="18"/>
      <c r="J16" s="18"/>
      <c r="K16" s="19"/>
      <c r="L16" s="73" t="e">
        <f>#REF!</f>
        <v>#REF!</v>
      </c>
      <c r="M16" s="26" t="s">
        <v>1014</v>
      </c>
    </row>
    <row r="17" spans="1:13" ht="50.45" customHeight="1" x14ac:dyDescent="0.25">
      <c r="A17" s="1"/>
      <c r="B17" s="4"/>
      <c r="C17" s="119">
        <v>7</v>
      </c>
      <c r="D17" s="4" t="e">
        <f>#REF!</f>
        <v>#REF!</v>
      </c>
      <c r="E17" s="138">
        <v>3</v>
      </c>
      <c r="F17" s="21"/>
      <c r="G17" s="869" t="s">
        <v>1012</v>
      </c>
      <c r="H17" s="18" t="s">
        <v>1042</v>
      </c>
      <c r="I17" s="18"/>
      <c r="J17" s="18"/>
      <c r="K17" s="19"/>
      <c r="L17" s="73" t="e">
        <f>#REF!</f>
        <v>#REF!</v>
      </c>
      <c r="M17" s="26" t="s">
        <v>1014</v>
      </c>
    </row>
    <row r="18" spans="1:13" ht="76.5" customHeight="1" x14ac:dyDescent="0.25">
      <c r="A18" s="1"/>
      <c r="B18" s="4"/>
      <c r="C18" s="119">
        <v>8</v>
      </c>
      <c r="D18" s="4" t="e">
        <f>#REF!</f>
        <v>#REF!</v>
      </c>
      <c r="E18" s="138">
        <v>3</v>
      </c>
      <c r="F18" s="21"/>
      <c r="G18" s="869" t="s">
        <v>1012</v>
      </c>
      <c r="H18" s="18" t="s">
        <v>250</v>
      </c>
      <c r="I18" s="18"/>
      <c r="J18" s="18"/>
      <c r="K18" s="19"/>
      <c r="L18" s="73" t="e">
        <f>#REF!</f>
        <v>#REF!</v>
      </c>
      <c r="M18" s="26" t="s">
        <v>1014</v>
      </c>
    </row>
    <row r="19" spans="1:13" ht="31.5" x14ac:dyDescent="0.25">
      <c r="A19" s="1" t="s">
        <v>445</v>
      </c>
      <c r="B19" s="4"/>
      <c r="C19" s="119">
        <v>9</v>
      </c>
      <c r="D19" s="4" t="e">
        <f>#REF!</f>
        <v>#REF!</v>
      </c>
      <c r="E19" s="138">
        <v>3</v>
      </c>
      <c r="F19" s="21"/>
      <c r="G19" s="869" t="s">
        <v>1012</v>
      </c>
      <c r="H19" s="18" t="s">
        <v>250</v>
      </c>
      <c r="I19" s="18"/>
      <c r="J19" s="18"/>
      <c r="K19" s="19"/>
      <c r="L19" s="73" t="e">
        <f>#REF!</f>
        <v>#REF!</v>
      </c>
      <c r="M19" s="26" t="s">
        <v>1014</v>
      </c>
    </row>
    <row r="20" spans="1:13" ht="54.6" customHeight="1" x14ac:dyDescent="0.25">
      <c r="A20" s="1"/>
      <c r="B20" s="4"/>
      <c r="C20" s="119">
        <v>10</v>
      </c>
      <c r="D20" s="4" t="e">
        <f>#REF!</f>
        <v>#REF!</v>
      </c>
      <c r="E20" s="138">
        <v>3</v>
      </c>
      <c r="F20" s="21"/>
      <c r="G20" s="869" t="s">
        <v>1012</v>
      </c>
      <c r="H20" s="18" t="s">
        <v>250</v>
      </c>
      <c r="I20" s="18"/>
      <c r="J20" s="19"/>
      <c r="K20" s="19"/>
      <c r="L20" s="73" t="e">
        <f>#REF!</f>
        <v>#REF!</v>
      </c>
      <c r="M20" s="26" t="s">
        <v>1014</v>
      </c>
    </row>
    <row r="21" spans="1:13" ht="38.450000000000003" customHeight="1" x14ac:dyDescent="0.25">
      <c r="A21" s="1"/>
      <c r="B21" s="4"/>
      <c r="C21" s="119">
        <v>11</v>
      </c>
      <c r="D21" s="4" t="e">
        <f>#REF!</f>
        <v>#REF!</v>
      </c>
      <c r="E21" s="138">
        <v>3</v>
      </c>
      <c r="F21" s="21"/>
      <c r="G21" s="869" t="s">
        <v>1012</v>
      </c>
      <c r="H21" s="18" t="s">
        <v>1042</v>
      </c>
      <c r="I21" s="18"/>
      <c r="J21" s="19"/>
      <c r="K21" s="19"/>
      <c r="L21" s="73" t="e">
        <f>#REF!</f>
        <v>#REF!</v>
      </c>
      <c r="M21" s="26" t="s">
        <v>1014</v>
      </c>
    </row>
    <row r="22" spans="1:13" ht="36" customHeight="1" x14ac:dyDescent="0.25">
      <c r="A22" s="1"/>
      <c r="B22" s="4"/>
      <c r="C22" s="119">
        <v>12</v>
      </c>
      <c r="D22" s="4" t="e">
        <f>#REF!</f>
        <v>#REF!</v>
      </c>
      <c r="E22" s="138">
        <v>3</v>
      </c>
      <c r="F22" s="21"/>
      <c r="G22" s="869" t="s">
        <v>1012</v>
      </c>
      <c r="H22" s="18" t="s">
        <v>250</v>
      </c>
      <c r="I22" s="18"/>
      <c r="J22" s="18"/>
      <c r="K22" s="19"/>
      <c r="L22" s="73" t="e">
        <f>#REF!</f>
        <v>#REF!</v>
      </c>
      <c r="M22" s="26" t="s">
        <v>1014</v>
      </c>
    </row>
    <row r="23" spans="1:13" ht="53.45" customHeight="1" x14ac:dyDescent="0.25">
      <c r="A23" s="1"/>
      <c r="B23" s="4"/>
      <c r="C23" s="119">
        <v>13</v>
      </c>
      <c r="D23" s="4" t="e">
        <f>#REF!</f>
        <v>#REF!</v>
      </c>
      <c r="E23" s="138"/>
      <c r="F23" s="21"/>
      <c r="G23" s="869" t="s">
        <v>1012</v>
      </c>
      <c r="H23" s="18" t="s">
        <v>1042</v>
      </c>
      <c r="I23" s="18"/>
      <c r="J23" s="18"/>
      <c r="K23" s="19"/>
      <c r="L23" s="73" t="e">
        <f>#REF!</f>
        <v>#REF!</v>
      </c>
      <c r="M23" s="26" t="s">
        <v>1014</v>
      </c>
    </row>
    <row r="24" spans="1:13" ht="42.75" customHeight="1" thickBot="1" x14ac:dyDescent="0.3">
      <c r="A24" s="4"/>
      <c r="B24" s="4"/>
      <c r="C24" s="119">
        <v>14</v>
      </c>
      <c r="D24" s="4" t="e">
        <f>#REF!</f>
        <v>#REF!</v>
      </c>
      <c r="E24" s="138">
        <v>3</v>
      </c>
      <c r="F24" s="21"/>
      <c r="G24" s="869" t="s">
        <v>1012</v>
      </c>
      <c r="H24" s="18" t="s">
        <v>1042</v>
      </c>
      <c r="I24" s="18"/>
      <c r="J24" s="18"/>
      <c r="K24" s="19"/>
      <c r="L24" s="116" t="e">
        <f>#REF!</f>
        <v>#REF!</v>
      </c>
      <c r="M24" s="26" t="s">
        <v>1014</v>
      </c>
    </row>
    <row r="25" spans="1:13" x14ac:dyDescent="0.25">
      <c r="A25" s="2276" t="s">
        <v>1261</v>
      </c>
      <c r="B25" s="2277"/>
      <c r="C25" s="2277"/>
      <c r="D25" s="2277"/>
      <c r="E25" s="2277"/>
      <c r="F25" s="2277"/>
      <c r="G25" s="2277"/>
      <c r="H25" s="2277"/>
      <c r="I25" s="2277"/>
      <c r="J25" s="2277"/>
      <c r="K25" s="2278"/>
      <c r="L25" s="118" t="e">
        <f>SUM(L11:L24)</f>
        <v>#REF!</v>
      </c>
      <c r="M25" s="134"/>
    </row>
    <row r="26" spans="1:13" x14ac:dyDescent="0.25">
      <c r="A26" s="1"/>
      <c r="B26" s="4"/>
      <c r="C26" s="1"/>
      <c r="D26" s="4"/>
      <c r="E26" s="1"/>
      <c r="F26" s="1"/>
      <c r="G26" s="1"/>
      <c r="H26" s="1"/>
      <c r="I26" s="1"/>
      <c r="J26" s="1"/>
      <c r="K26" s="1"/>
      <c r="L26" s="73"/>
      <c r="M26" s="26"/>
    </row>
    <row r="27" spans="1:13" ht="31.5" x14ac:dyDescent="0.25">
      <c r="A27" s="1"/>
      <c r="B27" s="4" t="s">
        <v>412</v>
      </c>
      <c r="C27" s="25">
        <v>1</v>
      </c>
      <c r="D27" s="116" t="e">
        <f>#REF!</f>
        <v>#REF!</v>
      </c>
      <c r="E27" s="1"/>
      <c r="F27" s="1"/>
      <c r="G27" s="869" t="s">
        <v>1012</v>
      </c>
      <c r="H27" s="18" t="s">
        <v>250</v>
      </c>
      <c r="I27" s="1"/>
      <c r="J27" s="1"/>
      <c r="K27" s="1"/>
      <c r="L27" s="73" t="e">
        <f>#REF!</f>
        <v>#REF!</v>
      </c>
      <c r="M27" s="26" t="s">
        <v>1014</v>
      </c>
    </row>
    <row r="28" spans="1:13" ht="43.5" customHeight="1" thickBot="1" x14ac:dyDescent="0.3">
      <c r="A28" s="1"/>
      <c r="B28" s="4"/>
      <c r="C28" s="25">
        <v>2</v>
      </c>
      <c r="D28" s="116" t="e">
        <f>#REF!</f>
        <v>#REF!</v>
      </c>
      <c r="E28" s="1"/>
      <c r="F28" s="1"/>
      <c r="G28" s="869" t="s">
        <v>1012</v>
      </c>
      <c r="H28" s="18" t="s">
        <v>1042</v>
      </c>
      <c r="I28" s="1"/>
      <c r="J28" s="1"/>
      <c r="K28" s="1"/>
      <c r="L28" s="73" t="e">
        <f>#REF!</f>
        <v>#REF!</v>
      </c>
      <c r="M28" s="26" t="s">
        <v>1014</v>
      </c>
    </row>
    <row r="29" spans="1:13" ht="15.75" thickBot="1" x14ac:dyDescent="0.3">
      <c r="A29" s="2276" t="s">
        <v>1262</v>
      </c>
      <c r="B29" s="2277"/>
      <c r="C29" s="2277"/>
      <c r="D29" s="2277"/>
      <c r="E29" s="2277"/>
      <c r="F29" s="2277"/>
      <c r="G29" s="2277"/>
      <c r="H29" s="2277"/>
      <c r="I29" s="2277"/>
      <c r="J29" s="2277"/>
      <c r="K29" s="2278"/>
      <c r="L29" s="118" t="e">
        <f>SUM(L27:L28)</f>
        <v>#REF!</v>
      </c>
      <c r="M29" s="135"/>
    </row>
    <row r="30" spans="1:13" ht="15.75" thickBot="1" x14ac:dyDescent="0.3">
      <c r="A30" s="2279" t="s">
        <v>1110</v>
      </c>
      <c r="B30" s="2280"/>
      <c r="C30" s="2280"/>
      <c r="D30" s="2280"/>
      <c r="E30" s="2280"/>
      <c r="F30" s="2280"/>
      <c r="G30" s="2280"/>
      <c r="H30" s="2280"/>
      <c r="I30" s="2280"/>
      <c r="J30" s="2280"/>
      <c r="K30" s="2280"/>
      <c r="L30" s="120" t="e">
        <f>L29+L25</f>
        <v>#REF!</v>
      </c>
      <c r="M30" s="136"/>
    </row>
    <row r="31" spans="1:13" x14ac:dyDescent="0.25">
      <c r="K31" t="s">
        <v>1453</v>
      </c>
      <c r="L31" s="68">
        <v>897307000</v>
      </c>
    </row>
    <row r="32" spans="1:13" x14ac:dyDescent="0.25">
      <c r="L32" s="23" t="e">
        <f>L31-L30</f>
        <v>#REF!</v>
      </c>
    </row>
  </sheetData>
  <mergeCells count="13">
    <mergeCell ref="A1:M1"/>
    <mergeCell ref="A2:M2"/>
    <mergeCell ref="H8:H9"/>
    <mergeCell ref="I8:K8"/>
    <mergeCell ref="L8:M8"/>
    <mergeCell ref="A25:K25"/>
    <mergeCell ref="A29:K29"/>
    <mergeCell ref="A30:K30"/>
    <mergeCell ref="A8:A9"/>
    <mergeCell ref="B8:D8"/>
    <mergeCell ref="E8:E9"/>
    <mergeCell ref="F8:F9"/>
    <mergeCell ref="G8:G9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M141"/>
  <sheetViews>
    <sheetView topLeftCell="A9" zoomScale="71" zoomScaleNormal="71" workbookViewId="0">
      <pane ySplit="2070" topLeftCell="A29" activePane="bottomLeft"/>
      <selection activeCell="D10" sqref="D1:J1048576"/>
      <selection pane="bottomLeft" sqref="A1:XFD12"/>
    </sheetView>
  </sheetViews>
  <sheetFormatPr defaultRowHeight="15" x14ac:dyDescent="0.25"/>
  <cols>
    <col min="1" max="1" width="14.85546875" customWidth="1"/>
    <col min="2" max="2" width="21.5703125" customWidth="1"/>
    <col min="3" max="3" width="27.28515625" customWidth="1"/>
    <col min="4" max="4" width="26.5703125" style="68" customWidth="1"/>
    <col min="5" max="5" width="23.5703125" style="68" customWidth="1"/>
    <col min="6" max="6" width="24.140625" style="68" customWidth="1"/>
    <col min="7" max="7" width="24.42578125" style="68" customWidth="1"/>
    <col min="8" max="8" width="20.5703125" style="68" customWidth="1"/>
    <col min="9" max="9" width="20.85546875" style="68" customWidth="1"/>
    <col min="10" max="10" width="14.42578125" style="68" customWidth="1"/>
    <col min="11" max="11" width="23.140625" bestFit="1" customWidth="1"/>
    <col min="12" max="12" width="25.42578125" customWidth="1"/>
    <col min="13" max="13" width="18.5703125" customWidth="1"/>
    <col min="14" max="14" width="16.85546875" customWidth="1"/>
  </cols>
  <sheetData>
    <row r="1" spans="1:13" ht="18.75" x14ac:dyDescent="0.3">
      <c r="A1" s="2289" t="s">
        <v>3077</v>
      </c>
      <c r="B1" s="2289"/>
      <c r="C1" s="2289"/>
      <c r="D1" s="2289"/>
      <c r="E1" s="2289"/>
      <c r="F1" s="2289"/>
      <c r="G1" s="2289"/>
      <c r="H1" s="2289"/>
      <c r="I1" s="2289"/>
      <c r="J1" s="2289"/>
      <c r="K1" s="68"/>
    </row>
    <row r="2" spans="1:13" ht="18.75" x14ac:dyDescent="0.3">
      <c r="A2" s="2289" t="s">
        <v>1645</v>
      </c>
      <c r="B2" s="2289"/>
      <c r="C2" s="2289"/>
      <c r="D2" s="2289"/>
      <c r="E2" s="2289"/>
      <c r="F2" s="2289"/>
      <c r="G2" s="2289"/>
      <c r="H2" s="2289"/>
      <c r="I2" s="2289"/>
      <c r="J2" s="2289"/>
      <c r="K2" s="68"/>
    </row>
    <row r="3" spans="1:13" ht="15.75" x14ac:dyDescent="0.25">
      <c r="A3" s="7"/>
      <c r="B3" s="7"/>
      <c r="C3" s="7"/>
      <c r="D3" s="71"/>
      <c r="E3" s="71"/>
      <c r="F3" s="71"/>
      <c r="G3" s="71"/>
      <c r="H3" s="71"/>
      <c r="I3" s="71"/>
      <c r="J3" s="71"/>
      <c r="K3" s="68"/>
    </row>
    <row r="4" spans="1:13" ht="15.75" x14ac:dyDescent="0.25">
      <c r="A4" s="35" t="s">
        <v>977</v>
      </c>
      <c r="B4" s="35" t="s">
        <v>978</v>
      </c>
      <c r="C4" s="7"/>
      <c r="D4" s="71"/>
      <c r="E4" s="71"/>
      <c r="F4" s="71"/>
      <c r="G4" s="71"/>
      <c r="H4" s="71"/>
      <c r="I4" s="71"/>
      <c r="J4" s="71"/>
      <c r="K4" s="68"/>
    </row>
    <row r="5" spans="1:13" ht="15.75" x14ac:dyDescent="0.25">
      <c r="A5" s="35" t="s">
        <v>979</v>
      </c>
      <c r="B5" s="35" t="s">
        <v>980</v>
      </c>
      <c r="C5" s="7"/>
      <c r="D5" s="71"/>
      <c r="E5" s="71"/>
      <c r="F5" s="71"/>
      <c r="G5" s="71"/>
      <c r="H5" s="71"/>
      <c r="I5" s="71"/>
      <c r="J5" s="71"/>
      <c r="K5" s="68"/>
    </row>
    <row r="6" spans="1:13" ht="15.75" x14ac:dyDescent="0.25">
      <c r="A6" s="35" t="s">
        <v>981</v>
      </c>
      <c r="B6" s="35" t="s">
        <v>982</v>
      </c>
      <c r="C6" s="7"/>
      <c r="D6" s="71"/>
      <c r="E6" s="71"/>
      <c r="F6" s="71"/>
      <c r="G6" s="71"/>
      <c r="H6" s="71"/>
      <c r="I6" s="71"/>
      <c r="J6" s="71"/>
      <c r="K6" s="68"/>
    </row>
    <row r="7" spans="1:13" ht="15.75" x14ac:dyDescent="0.25">
      <c r="A7" s="35" t="s">
        <v>983</v>
      </c>
      <c r="B7" s="35" t="s">
        <v>984</v>
      </c>
      <c r="C7" s="7"/>
      <c r="D7" s="71"/>
      <c r="E7" s="71"/>
      <c r="F7" s="71"/>
      <c r="G7" s="71"/>
      <c r="H7" s="71"/>
      <c r="I7" s="71"/>
      <c r="J7" s="71"/>
      <c r="K7" s="68"/>
    </row>
    <row r="8" spans="1:13" ht="15.75" x14ac:dyDescent="0.25">
      <c r="A8" s="7"/>
      <c r="B8" s="7"/>
      <c r="C8" s="7"/>
      <c r="D8" s="71"/>
      <c r="E8" s="71"/>
      <c r="F8" s="71"/>
      <c r="G8" s="71"/>
      <c r="H8" s="71"/>
      <c r="I8" s="71"/>
      <c r="J8" s="71"/>
      <c r="K8" s="68"/>
    </row>
    <row r="9" spans="1:13" ht="18.75" customHeight="1" x14ac:dyDescent="0.25">
      <c r="A9" s="2290" t="s">
        <v>951</v>
      </c>
      <c r="B9" s="2290" t="s">
        <v>994</v>
      </c>
      <c r="C9" s="2293" t="s">
        <v>1206</v>
      </c>
      <c r="D9" s="2296" t="s">
        <v>1207</v>
      </c>
      <c r="E9" s="2296"/>
      <c r="F9" s="2296"/>
      <c r="G9" s="2296"/>
      <c r="H9" s="2296"/>
      <c r="I9" s="2296"/>
      <c r="J9" s="2296"/>
      <c r="K9" s="3"/>
    </row>
    <row r="10" spans="1:13" ht="66.75" customHeight="1" x14ac:dyDescent="0.25">
      <c r="A10" s="2291"/>
      <c r="B10" s="2291"/>
      <c r="C10" s="2294"/>
      <c r="D10" s="2297" t="s">
        <v>1208</v>
      </c>
      <c r="E10" s="2299" t="s">
        <v>1209</v>
      </c>
      <c r="F10" s="2299" t="s">
        <v>1210</v>
      </c>
      <c r="G10" s="2299" t="s">
        <v>1211</v>
      </c>
      <c r="H10" s="2301" t="s">
        <v>1212</v>
      </c>
      <c r="I10" s="2302"/>
      <c r="J10" s="2299" t="s">
        <v>1213</v>
      </c>
      <c r="K10" s="3"/>
      <c r="L10" s="23"/>
    </row>
    <row r="11" spans="1:13" ht="30.75" customHeight="1" x14ac:dyDescent="0.25">
      <c r="A11" s="2292"/>
      <c r="B11" s="2292"/>
      <c r="C11" s="2295"/>
      <c r="D11" s="2298"/>
      <c r="E11" s="2300"/>
      <c r="F11" s="2300"/>
      <c r="G11" s="2300"/>
      <c r="H11" s="108" t="s">
        <v>1214</v>
      </c>
      <c r="I11" s="108" t="s">
        <v>1105</v>
      </c>
      <c r="J11" s="2300"/>
      <c r="K11" s="3"/>
    </row>
    <row r="12" spans="1:13" ht="15.75" x14ac:dyDescent="0.25">
      <c r="A12" s="94" t="s">
        <v>998</v>
      </c>
      <c r="B12" s="94" t="s">
        <v>999</v>
      </c>
      <c r="C12" s="94" t="s">
        <v>1000</v>
      </c>
      <c r="D12" s="107" t="s">
        <v>1001</v>
      </c>
      <c r="E12" s="107" t="s">
        <v>1002</v>
      </c>
      <c r="F12" s="107" t="s">
        <v>1003</v>
      </c>
      <c r="G12" s="107" t="s">
        <v>1004</v>
      </c>
      <c r="H12" s="107" t="s">
        <v>1005</v>
      </c>
      <c r="I12" s="107" t="s">
        <v>1006</v>
      </c>
      <c r="J12" s="107" t="s">
        <v>1007</v>
      </c>
      <c r="K12" s="95"/>
    </row>
    <row r="13" spans="1:13" ht="45" customHeight="1" x14ac:dyDescent="0.25">
      <c r="A13" s="2263" t="s">
        <v>1180</v>
      </c>
      <c r="B13" s="2303" t="s">
        <v>56</v>
      </c>
      <c r="C13" s="4" t="s">
        <v>8</v>
      </c>
      <c r="D13" s="73">
        <v>2300000</v>
      </c>
      <c r="E13" s="73"/>
      <c r="F13" s="73">
        <f>'[1]BID I'!F14</f>
        <v>48000000</v>
      </c>
      <c r="G13" s="73">
        <v>111920000</v>
      </c>
      <c r="H13" s="73"/>
      <c r="I13" s="73"/>
      <c r="J13" s="73"/>
      <c r="K13" s="3">
        <f>SUM(D13:J13)</f>
        <v>162220000</v>
      </c>
      <c r="L13" s="27">
        <v>162220000</v>
      </c>
      <c r="M13" s="23">
        <f>K13-L13</f>
        <v>0</v>
      </c>
    </row>
    <row r="14" spans="1:13" ht="45" customHeight="1" x14ac:dyDescent="0.25">
      <c r="A14" s="2264"/>
      <c r="B14" s="2304"/>
      <c r="C14" s="4" t="s">
        <v>36</v>
      </c>
      <c r="D14" s="73">
        <f>2000000+10800000+12800000</f>
        <v>25600000</v>
      </c>
      <c r="E14" s="73"/>
      <c r="F14" s="73">
        <f>SUM('[1]BID I'!F42:F44)</f>
        <v>436800000</v>
      </c>
      <c r="G14" s="73">
        <v>503354780</v>
      </c>
      <c r="H14" s="73"/>
      <c r="I14" s="73"/>
      <c r="J14" s="73"/>
      <c r="K14" s="3">
        <f>SUM(D14:J14)</f>
        <v>965754780</v>
      </c>
      <c r="L14" s="27">
        <v>965754780</v>
      </c>
      <c r="M14" s="23">
        <f t="shared" ref="M14:M43" si="0">K14-L14</f>
        <v>0</v>
      </c>
    </row>
    <row r="15" spans="1:13" ht="63" customHeight="1" x14ac:dyDescent="0.25">
      <c r="A15" s="2264"/>
      <c r="B15" s="2304"/>
      <c r="C15" s="4" t="s">
        <v>58</v>
      </c>
      <c r="D15" s="73"/>
      <c r="E15" s="73"/>
      <c r="F15" s="73">
        <f>SUM('[1]BID I'!F81:F85)</f>
        <v>5470104</v>
      </c>
      <c r="G15" s="73">
        <v>63096924</v>
      </c>
      <c r="H15" s="73"/>
      <c r="I15" s="73"/>
      <c r="J15" s="73"/>
      <c r="K15" s="3">
        <f t="shared" ref="K15:K78" si="1">SUM(D15:J15)</f>
        <v>68567028</v>
      </c>
      <c r="L15" s="27">
        <v>68567028</v>
      </c>
      <c r="M15" s="23">
        <f t="shared" si="0"/>
        <v>0</v>
      </c>
    </row>
    <row r="16" spans="1:13" ht="45" customHeight="1" x14ac:dyDescent="0.25">
      <c r="A16" s="2264"/>
      <c r="B16" s="2304"/>
      <c r="C16" s="4" t="s">
        <v>80</v>
      </c>
      <c r="D16" s="73"/>
      <c r="E16" s="73"/>
      <c r="F16" s="73">
        <v>451726861</v>
      </c>
      <c r="G16" s="73"/>
      <c r="H16" s="73"/>
      <c r="I16" s="73"/>
      <c r="J16" s="73"/>
      <c r="K16" s="3">
        <f t="shared" si="1"/>
        <v>451726861</v>
      </c>
      <c r="L16" s="27">
        <v>451726861</v>
      </c>
      <c r="M16" s="23">
        <f t="shared" si="0"/>
        <v>0</v>
      </c>
    </row>
    <row r="17" spans="1:13" ht="45" customHeight="1" x14ac:dyDescent="0.25">
      <c r="A17" s="2264"/>
      <c r="B17" s="2304"/>
      <c r="C17" s="4" t="s">
        <v>446</v>
      </c>
      <c r="D17" s="73"/>
      <c r="E17" s="73"/>
      <c r="F17" s="73">
        <v>18540000</v>
      </c>
      <c r="G17" s="73"/>
      <c r="H17" s="73"/>
      <c r="I17" s="73"/>
      <c r="J17" s="73"/>
      <c r="K17" s="3">
        <f t="shared" si="1"/>
        <v>18540000</v>
      </c>
      <c r="L17" s="27">
        <f t="shared" ref="L17:L33" si="2">SUM(D17:J17)</f>
        <v>18540000</v>
      </c>
      <c r="M17" s="23">
        <f t="shared" si="0"/>
        <v>0</v>
      </c>
    </row>
    <row r="18" spans="1:13" ht="45" customHeight="1" x14ac:dyDescent="0.25">
      <c r="A18" s="2264"/>
      <c r="B18" s="2304"/>
      <c r="C18" s="4" t="s">
        <v>238</v>
      </c>
      <c r="D18" s="73"/>
      <c r="E18" s="73"/>
      <c r="F18" s="73"/>
      <c r="G18" s="73">
        <v>425900000</v>
      </c>
      <c r="H18" s="73"/>
      <c r="I18" s="73"/>
      <c r="J18" s="73"/>
      <c r="K18" s="3">
        <f t="shared" si="1"/>
        <v>425900000</v>
      </c>
      <c r="L18" s="27">
        <f>SUM(D18:J18)</f>
        <v>425900000</v>
      </c>
      <c r="M18" s="23">
        <f t="shared" si="0"/>
        <v>0</v>
      </c>
    </row>
    <row r="19" spans="1:13" ht="45" customHeight="1" x14ac:dyDescent="0.25">
      <c r="A19" s="2264"/>
      <c r="B19" s="2304"/>
      <c r="C19" s="4" t="s">
        <v>254</v>
      </c>
      <c r="D19" s="73"/>
      <c r="E19" s="73"/>
      <c r="F19" s="73">
        <v>15759000</v>
      </c>
      <c r="G19" s="73"/>
      <c r="H19" s="73"/>
      <c r="I19" s="73"/>
      <c r="J19" s="73"/>
      <c r="K19" s="3">
        <f t="shared" si="1"/>
        <v>15759000</v>
      </c>
      <c r="L19" s="27">
        <f t="shared" si="2"/>
        <v>15759000</v>
      </c>
      <c r="M19" s="23">
        <f t="shared" si="0"/>
        <v>0</v>
      </c>
    </row>
    <row r="20" spans="1:13" ht="45" customHeight="1" x14ac:dyDescent="0.25">
      <c r="A20" s="2264"/>
      <c r="B20" s="2304"/>
      <c r="C20" s="4" t="s">
        <v>276</v>
      </c>
      <c r="D20" s="73"/>
      <c r="E20" s="73"/>
      <c r="F20" s="73">
        <v>12400000</v>
      </c>
      <c r="G20" s="73"/>
      <c r="H20" s="73"/>
      <c r="I20" s="73"/>
      <c r="J20" s="73"/>
      <c r="K20" s="3">
        <f t="shared" si="1"/>
        <v>12400000</v>
      </c>
      <c r="L20" s="27">
        <f t="shared" si="2"/>
        <v>12400000</v>
      </c>
      <c r="M20" s="23">
        <f t="shared" si="0"/>
        <v>0</v>
      </c>
    </row>
    <row r="21" spans="1:13" ht="45" customHeight="1" x14ac:dyDescent="0.25">
      <c r="A21" s="2264"/>
      <c r="B21" s="2304"/>
      <c r="C21" s="4" t="s">
        <v>291</v>
      </c>
      <c r="D21" s="73"/>
      <c r="E21" s="73"/>
      <c r="F21" s="73">
        <v>428378400</v>
      </c>
      <c r="G21" s="73"/>
      <c r="H21" s="73"/>
      <c r="I21" s="73"/>
      <c r="J21" s="73"/>
      <c r="K21" s="3">
        <f t="shared" si="1"/>
        <v>428378400</v>
      </c>
      <c r="L21" s="27">
        <f t="shared" si="2"/>
        <v>428378400</v>
      </c>
      <c r="M21" s="23">
        <f t="shared" si="0"/>
        <v>0</v>
      </c>
    </row>
    <row r="22" spans="1:13" ht="45" customHeight="1" x14ac:dyDescent="0.25">
      <c r="A22" s="2264"/>
      <c r="B22" s="2304"/>
      <c r="C22" s="4" t="s">
        <v>1173</v>
      </c>
      <c r="D22" s="73"/>
      <c r="E22" s="73"/>
      <c r="F22" s="73">
        <v>3790000</v>
      </c>
      <c r="G22" s="73"/>
      <c r="H22" s="73"/>
      <c r="I22" s="73"/>
      <c r="J22" s="73"/>
      <c r="K22" s="3">
        <f t="shared" si="1"/>
        <v>3790000</v>
      </c>
      <c r="L22" s="27">
        <f t="shared" si="2"/>
        <v>3790000</v>
      </c>
      <c r="M22" s="23">
        <f t="shared" si="0"/>
        <v>0</v>
      </c>
    </row>
    <row r="23" spans="1:13" ht="36" customHeight="1" x14ac:dyDescent="0.25">
      <c r="A23" s="2264"/>
      <c r="B23" s="2304"/>
      <c r="C23" s="4" t="s">
        <v>452</v>
      </c>
      <c r="D23" s="73">
        <v>30804640.5</v>
      </c>
      <c r="E23" s="73"/>
      <c r="F23" s="73"/>
      <c r="G23" s="73"/>
      <c r="H23" s="73"/>
      <c r="I23" s="73"/>
      <c r="J23" s="73"/>
      <c r="K23" s="3">
        <f t="shared" si="1"/>
        <v>30804640.5</v>
      </c>
      <c r="L23" s="27">
        <f t="shared" si="2"/>
        <v>30804640.5</v>
      </c>
      <c r="M23" s="23">
        <f t="shared" si="0"/>
        <v>0</v>
      </c>
    </row>
    <row r="24" spans="1:13" s="96" customFormat="1" ht="45" customHeight="1" x14ac:dyDescent="0.25">
      <c r="A24" s="2264"/>
      <c r="B24" s="2304"/>
      <c r="C24" s="4" t="s">
        <v>457</v>
      </c>
      <c r="D24" s="73"/>
      <c r="E24" s="73"/>
      <c r="F24" s="73"/>
      <c r="G24" s="73"/>
      <c r="H24" s="73"/>
      <c r="I24" s="73"/>
      <c r="J24" s="73">
        <v>72000</v>
      </c>
      <c r="K24" s="3">
        <f t="shared" si="1"/>
        <v>72000</v>
      </c>
      <c r="L24" s="27">
        <f t="shared" si="2"/>
        <v>72000</v>
      </c>
      <c r="M24" s="23">
        <f t="shared" si="0"/>
        <v>0</v>
      </c>
    </row>
    <row r="25" spans="1:13" s="96" customFormat="1" ht="49.5" customHeight="1" x14ac:dyDescent="0.25">
      <c r="A25" s="2264"/>
      <c r="B25" s="2304"/>
      <c r="C25" s="4" t="s">
        <v>506</v>
      </c>
      <c r="D25" s="73"/>
      <c r="E25" s="73"/>
      <c r="F25" s="73"/>
      <c r="G25" s="73"/>
      <c r="H25" s="73"/>
      <c r="I25" s="73">
        <v>18000000</v>
      </c>
      <c r="J25" s="73"/>
      <c r="K25" s="3">
        <f t="shared" si="1"/>
        <v>18000000</v>
      </c>
      <c r="L25" s="27">
        <f t="shared" si="2"/>
        <v>18000000</v>
      </c>
      <c r="M25" s="23">
        <f t="shared" si="0"/>
        <v>0</v>
      </c>
    </row>
    <row r="26" spans="1:13" s="96" customFormat="1" ht="46.5" customHeight="1" x14ac:dyDescent="0.25">
      <c r="A26" s="2264"/>
      <c r="B26" s="2304"/>
      <c r="C26" s="4" t="s">
        <v>394</v>
      </c>
      <c r="D26" s="73"/>
      <c r="E26" s="73"/>
      <c r="F26" s="73">
        <v>385550000</v>
      </c>
      <c r="G26" s="73"/>
      <c r="H26" s="73"/>
      <c r="I26" s="73"/>
      <c r="J26" s="73"/>
      <c r="K26" s="3">
        <f t="shared" si="1"/>
        <v>385550000</v>
      </c>
      <c r="L26" s="27">
        <f t="shared" si="2"/>
        <v>385550000</v>
      </c>
      <c r="M26" s="23">
        <f t="shared" si="0"/>
        <v>0</v>
      </c>
    </row>
    <row r="27" spans="1:13" s="96" customFormat="1" ht="45" customHeight="1" x14ac:dyDescent="0.25">
      <c r="A27" s="2264"/>
      <c r="B27" s="2304"/>
      <c r="C27" s="4" t="s">
        <v>511</v>
      </c>
      <c r="D27" s="73"/>
      <c r="E27" s="73"/>
      <c r="F27" s="73">
        <v>18971500</v>
      </c>
      <c r="G27" s="73"/>
      <c r="H27" s="73"/>
      <c r="I27" s="73"/>
      <c r="J27" s="73"/>
      <c r="K27" s="3">
        <f t="shared" si="1"/>
        <v>18971500</v>
      </c>
      <c r="L27" s="27">
        <f t="shared" si="2"/>
        <v>18971500</v>
      </c>
      <c r="M27" s="23">
        <f t="shared" si="0"/>
        <v>0</v>
      </c>
    </row>
    <row r="28" spans="1:13" s="96" customFormat="1" ht="45" customHeight="1" x14ac:dyDescent="0.25">
      <c r="A28" s="2264"/>
      <c r="B28" s="2304"/>
      <c r="C28" s="4" t="s">
        <v>518</v>
      </c>
      <c r="D28" s="73"/>
      <c r="E28" s="73"/>
      <c r="F28" s="73">
        <v>20237000</v>
      </c>
      <c r="G28" s="73"/>
      <c r="H28" s="73"/>
      <c r="I28" s="73"/>
      <c r="J28" s="73"/>
      <c r="K28" s="3">
        <f t="shared" si="1"/>
        <v>20237000</v>
      </c>
      <c r="L28" s="27">
        <f t="shared" si="2"/>
        <v>20237000</v>
      </c>
      <c r="M28" s="23">
        <f t="shared" si="0"/>
        <v>0</v>
      </c>
    </row>
    <row r="29" spans="1:13" s="96" customFormat="1" ht="63" customHeight="1" x14ac:dyDescent="0.25">
      <c r="A29" s="2264"/>
      <c r="B29" s="2304"/>
      <c r="C29" s="4" t="s">
        <v>519</v>
      </c>
      <c r="D29" s="73"/>
      <c r="E29" s="73"/>
      <c r="F29" s="73">
        <v>15741000</v>
      </c>
      <c r="G29" s="73"/>
      <c r="H29" s="73"/>
      <c r="I29" s="73"/>
      <c r="J29" s="73"/>
      <c r="K29" s="3">
        <f t="shared" si="1"/>
        <v>15741000</v>
      </c>
      <c r="L29" s="27">
        <f t="shared" si="2"/>
        <v>15741000</v>
      </c>
      <c r="M29" s="23">
        <f t="shared" si="0"/>
        <v>0</v>
      </c>
    </row>
    <row r="30" spans="1:13" ht="59.25" customHeight="1" x14ac:dyDescent="0.25">
      <c r="A30" s="2264"/>
      <c r="B30" s="2304"/>
      <c r="C30" s="4" t="s">
        <v>520</v>
      </c>
      <c r="D30" s="73"/>
      <c r="E30" s="73"/>
      <c r="F30" s="73">
        <v>15994560</v>
      </c>
      <c r="G30" s="73"/>
      <c r="H30" s="73"/>
      <c r="I30" s="73"/>
      <c r="J30" s="73"/>
      <c r="K30" s="3">
        <f t="shared" si="1"/>
        <v>15994560</v>
      </c>
      <c r="L30" s="27">
        <f t="shared" si="2"/>
        <v>15994560</v>
      </c>
      <c r="M30" s="23">
        <f t="shared" si="0"/>
        <v>0</v>
      </c>
    </row>
    <row r="31" spans="1:13" ht="60.75" customHeight="1" x14ac:dyDescent="0.25">
      <c r="A31" s="2264"/>
      <c r="B31" s="2304"/>
      <c r="C31" s="4" t="s">
        <v>521</v>
      </c>
      <c r="D31" s="73"/>
      <c r="E31" s="73"/>
      <c r="F31" s="73">
        <v>33606000</v>
      </c>
      <c r="G31" s="73"/>
      <c r="H31" s="73"/>
      <c r="I31" s="73"/>
      <c r="J31" s="73"/>
      <c r="K31" s="3">
        <f t="shared" si="1"/>
        <v>33606000</v>
      </c>
      <c r="L31" s="27">
        <f t="shared" si="2"/>
        <v>33606000</v>
      </c>
      <c r="M31" s="23">
        <f t="shared" si="0"/>
        <v>0</v>
      </c>
    </row>
    <row r="32" spans="1:13" s="96" customFormat="1" ht="76.5" customHeight="1" x14ac:dyDescent="0.25">
      <c r="A32" s="2264"/>
      <c r="B32" s="2304"/>
      <c r="C32" s="4" t="s">
        <v>320</v>
      </c>
      <c r="D32" s="73"/>
      <c r="E32" s="73"/>
      <c r="F32" s="73"/>
      <c r="G32" s="73">
        <v>51506000</v>
      </c>
      <c r="H32" s="73"/>
      <c r="I32" s="73"/>
      <c r="J32" s="73"/>
      <c r="K32" s="3">
        <f t="shared" si="1"/>
        <v>51506000</v>
      </c>
      <c r="L32" s="27">
        <f t="shared" si="2"/>
        <v>51506000</v>
      </c>
      <c r="M32" s="23">
        <f t="shared" si="0"/>
        <v>0</v>
      </c>
    </row>
    <row r="33" spans="1:13" ht="71.25" customHeight="1" x14ac:dyDescent="0.25">
      <c r="A33" s="2264"/>
      <c r="B33" s="2304"/>
      <c r="C33" s="4" t="s">
        <v>1058</v>
      </c>
      <c r="D33" s="73"/>
      <c r="E33" s="73"/>
      <c r="F33" s="73"/>
      <c r="G33" s="73">
        <v>81828500</v>
      </c>
      <c r="H33" s="73"/>
      <c r="I33" s="73"/>
      <c r="J33" s="73"/>
      <c r="K33" s="3">
        <f t="shared" si="1"/>
        <v>81828500</v>
      </c>
      <c r="L33" s="27">
        <f t="shared" si="2"/>
        <v>81828500</v>
      </c>
      <c r="M33" s="23">
        <f t="shared" si="0"/>
        <v>0</v>
      </c>
    </row>
    <row r="34" spans="1:13" ht="81.75" customHeight="1" x14ac:dyDescent="0.25">
      <c r="A34" s="2264"/>
      <c r="B34" s="2304"/>
      <c r="C34" s="4" t="s">
        <v>1074</v>
      </c>
      <c r="D34" s="73"/>
      <c r="E34" s="73"/>
      <c r="F34" s="73"/>
      <c r="G34" s="73">
        <v>910000</v>
      </c>
      <c r="H34" s="73"/>
      <c r="I34" s="73"/>
      <c r="J34" s="73"/>
      <c r="K34" s="3">
        <f t="shared" si="1"/>
        <v>910000</v>
      </c>
      <c r="L34" s="27">
        <v>910000</v>
      </c>
      <c r="M34" s="23">
        <f t="shared" si="0"/>
        <v>0</v>
      </c>
    </row>
    <row r="35" spans="1:13" ht="71.25" customHeight="1" x14ac:dyDescent="0.25">
      <c r="A35" s="2264"/>
      <c r="B35" s="2304"/>
      <c r="C35" s="4" t="s">
        <v>302</v>
      </c>
      <c r="D35" s="73"/>
      <c r="E35" s="73"/>
      <c r="F35" s="73"/>
      <c r="G35" s="73">
        <v>41205000</v>
      </c>
      <c r="H35" s="73"/>
      <c r="I35" s="73"/>
      <c r="J35" s="73"/>
      <c r="K35" s="3">
        <f t="shared" si="1"/>
        <v>41205000</v>
      </c>
      <c r="L35" s="27">
        <v>41205000</v>
      </c>
      <c r="M35" s="23">
        <f t="shared" si="0"/>
        <v>0</v>
      </c>
    </row>
    <row r="36" spans="1:13" ht="71.25" customHeight="1" x14ac:dyDescent="0.25">
      <c r="A36" s="2264"/>
      <c r="B36" s="2304"/>
      <c r="C36" s="4" t="s">
        <v>340</v>
      </c>
      <c r="D36" s="73"/>
      <c r="E36" s="73"/>
      <c r="F36" s="73">
        <v>12860000</v>
      </c>
      <c r="G36" s="73"/>
      <c r="H36" s="73"/>
      <c r="I36" s="73"/>
      <c r="J36" s="73"/>
      <c r="K36" s="3">
        <f t="shared" si="1"/>
        <v>12860000</v>
      </c>
      <c r="L36" s="27">
        <v>12860000</v>
      </c>
      <c r="M36" s="23">
        <f t="shared" si="0"/>
        <v>0</v>
      </c>
    </row>
    <row r="37" spans="1:13" ht="105" customHeight="1" x14ac:dyDescent="0.25">
      <c r="A37" s="2264"/>
      <c r="B37" s="2304"/>
      <c r="C37" s="4" t="s">
        <v>356</v>
      </c>
      <c r="D37" s="73"/>
      <c r="E37" s="73"/>
      <c r="F37" s="73">
        <v>43416000</v>
      </c>
      <c r="G37" s="73"/>
      <c r="H37" s="73"/>
      <c r="I37" s="73"/>
      <c r="J37" s="73"/>
      <c r="K37" s="3">
        <f t="shared" si="1"/>
        <v>43416000</v>
      </c>
      <c r="L37" s="27">
        <v>43416000</v>
      </c>
      <c r="M37" s="23">
        <f t="shared" si="0"/>
        <v>0</v>
      </c>
    </row>
    <row r="38" spans="1:13" ht="71.25" customHeight="1" x14ac:dyDescent="0.25">
      <c r="A38" s="2264"/>
      <c r="B38" s="2304"/>
      <c r="C38" s="4" t="s">
        <v>361</v>
      </c>
      <c r="D38" s="73"/>
      <c r="E38" s="73"/>
      <c r="F38" s="73">
        <v>77118000</v>
      </c>
      <c r="G38" s="73"/>
      <c r="H38" s="73"/>
      <c r="I38" s="73"/>
      <c r="J38" s="73"/>
      <c r="K38" s="3">
        <f t="shared" si="1"/>
        <v>77118000</v>
      </c>
      <c r="L38" s="27">
        <v>77118000</v>
      </c>
      <c r="M38" s="23">
        <f t="shared" si="0"/>
        <v>0</v>
      </c>
    </row>
    <row r="39" spans="1:13" ht="57.75" customHeight="1" x14ac:dyDescent="0.25">
      <c r="A39" s="2264"/>
      <c r="B39" s="2304"/>
      <c r="C39" s="4" t="s">
        <v>535</v>
      </c>
      <c r="D39" s="73"/>
      <c r="E39" s="73"/>
      <c r="F39" s="73">
        <v>25802900</v>
      </c>
      <c r="G39" s="73"/>
      <c r="H39" s="73"/>
      <c r="I39" s="73"/>
      <c r="J39" s="73"/>
      <c r="K39" s="3">
        <f t="shared" si="1"/>
        <v>25802900</v>
      </c>
      <c r="L39" s="27">
        <v>25802900</v>
      </c>
      <c r="M39" s="23">
        <f t="shared" si="0"/>
        <v>0</v>
      </c>
    </row>
    <row r="40" spans="1:13" ht="55.5" customHeight="1" x14ac:dyDescent="0.25">
      <c r="A40" s="2264"/>
      <c r="B40" s="2304"/>
      <c r="C40" s="4" t="s">
        <v>385</v>
      </c>
      <c r="D40" s="73"/>
      <c r="E40" s="73"/>
      <c r="F40" s="73">
        <v>5175000</v>
      </c>
      <c r="G40" s="73"/>
      <c r="H40" s="73"/>
      <c r="I40" s="73"/>
      <c r="J40" s="73"/>
      <c r="K40" s="3">
        <f t="shared" si="1"/>
        <v>5175000</v>
      </c>
      <c r="L40" s="27">
        <v>5175000</v>
      </c>
      <c r="M40" s="23">
        <f t="shared" si="0"/>
        <v>0</v>
      </c>
    </row>
    <row r="41" spans="1:13" ht="55.5" customHeight="1" x14ac:dyDescent="0.25">
      <c r="A41" s="2264"/>
      <c r="B41" s="2304"/>
      <c r="C41" s="4" t="s">
        <v>387</v>
      </c>
      <c r="D41" s="73"/>
      <c r="E41" s="73"/>
      <c r="F41" s="73">
        <v>4805000</v>
      </c>
      <c r="G41" s="73"/>
      <c r="H41" s="73"/>
      <c r="I41" s="73"/>
      <c r="J41" s="73"/>
      <c r="K41" s="3">
        <f t="shared" si="1"/>
        <v>4805000</v>
      </c>
      <c r="L41" s="27">
        <v>4805000</v>
      </c>
      <c r="M41" s="23">
        <f t="shared" si="0"/>
        <v>0</v>
      </c>
    </row>
    <row r="42" spans="1:13" ht="52.5" customHeight="1" x14ac:dyDescent="0.25">
      <c r="A42" s="2264"/>
      <c r="B42" s="2304"/>
      <c r="C42" s="4" t="s">
        <v>388</v>
      </c>
      <c r="D42" s="73"/>
      <c r="E42" s="73"/>
      <c r="F42" s="73">
        <v>1575000</v>
      </c>
      <c r="G42" s="73"/>
      <c r="H42" s="73"/>
      <c r="I42" s="73"/>
      <c r="J42" s="73"/>
      <c r="K42" s="3">
        <f t="shared" si="1"/>
        <v>1575000</v>
      </c>
      <c r="L42" s="27">
        <v>1575000</v>
      </c>
      <c r="M42" s="23">
        <f t="shared" si="0"/>
        <v>0</v>
      </c>
    </row>
    <row r="43" spans="1:13" ht="75" customHeight="1" x14ac:dyDescent="0.25">
      <c r="A43" s="2265"/>
      <c r="B43" s="2305"/>
      <c r="C43" s="4" t="s">
        <v>370</v>
      </c>
      <c r="D43" s="73"/>
      <c r="E43" s="73"/>
      <c r="F43" s="73">
        <v>1625000</v>
      </c>
      <c r="G43" s="73"/>
      <c r="H43" s="73"/>
      <c r="I43" s="73"/>
      <c r="J43" s="73"/>
      <c r="K43" s="3">
        <f t="shared" si="1"/>
        <v>1625000</v>
      </c>
      <c r="L43" s="27">
        <v>1625000</v>
      </c>
      <c r="M43" s="23">
        <f t="shared" si="0"/>
        <v>0</v>
      </c>
    </row>
    <row r="44" spans="1:13" s="96" customFormat="1" ht="78.75" customHeight="1" x14ac:dyDescent="0.25">
      <c r="A44" s="2263" t="s">
        <v>1182</v>
      </c>
      <c r="B44" s="2303" t="s">
        <v>537</v>
      </c>
      <c r="C44" s="97" t="s">
        <v>540</v>
      </c>
      <c r="D44" s="98">
        <v>83641100</v>
      </c>
      <c r="E44" s="73">
        <v>266836957.09</v>
      </c>
      <c r="F44" s="73"/>
      <c r="G44" s="73"/>
      <c r="H44" s="73"/>
      <c r="I44" s="73"/>
      <c r="J44" s="73"/>
      <c r="K44" s="3">
        <f t="shared" si="1"/>
        <v>350478057.09000003</v>
      </c>
      <c r="L44" s="27">
        <v>350478057.08999997</v>
      </c>
      <c r="M44" s="23">
        <f>K44-L44</f>
        <v>0</v>
      </c>
    </row>
    <row r="45" spans="1:13" s="96" customFormat="1" ht="60" customHeight="1" x14ac:dyDescent="0.25">
      <c r="A45" s="2264"/>
      <c r="B45" s="2304"/>
      <c r="C45" s="99" t="s">
        <v>1071</v>
      </c>
      <c r="D45" s="73"/>
      <c r="E45" s="73">
        <v>31108540</v>
      </c>
      <c r="F45" s="73"/>
      <c r="G45" s="73"/>
      <c r="H45" s="73"/>
      <c r="I45" s="73"/>
      <c r="J45" s="73"/>
      <c r="K45" s="3">
        <f t="shared" si="1"/>
        <v>31108540</v>
      </c>
      <c r="L45" s="27">
        <v>31108540</v>
      </c>
      <c r="M45" s="23">
        <f t="shared" ref="M45:M85" si="3">K45-L45</f>
        <v>0</v>
      </c>
    </row>
    <row r="46" spans="1:13" ht="60" customHeight="1" x14ac:dyDescent="0.25">
      <c r="A46" s="2264"/>
      <c r="B46" s="2304"/>
      <c r="C46" s="97" t="s">
        <v>1087</v>
      </c>
      <c r="D46" s="73"/>
      <c r="E46" s="73"/>
      <c r="F46" s="73">
        <v>211772294</v>
      </c>
      <c r="G46" s="73"/>
      <c r="H46" s="73"/>
      <c r="I46" s="73"/>
      <c r="J46" s="73"/>
      <c r="K46" s="3">
        <f t="shared" si="1"/>
        <v>211772294</v>
      </c>
      <c r="L46" s="27">
        <v>211772294</v>
      </c>
      <c r="M46" s="23">
        <f t="shared" si="3"/>
        <v>0</v>
      </c>
    </row>
    <row r="47" spans="1:13" ht="60" customHeight="1" x14ac:dyDescent="0.25">
      <c r="A47" s="2264"/>
      <c r="B47" s="2304"/>
      <c r="C47" s="97" t="s">
        <v>645</v>
      </c>
      <c r="D47" s="73"/>
      <c r="E47" s="73">
        <v>16110000</v>
      </c>
      <c r="F47" s="73"/>
      <c r="G47" s="73"/>
      <c r="H47" s="73"/>
      <c r="I47" s="73"/>
      <c r="J47" s="73"/>
      <c r="K47" s="3">
        <f t="shared" si="1"/>
        <v>16110000</v>
      </c>
      <c r="L47" s="27">
        <v>16110000</v>
      </c>
      <c r="M47" s="23">
        <f t="shared" si="3"/>
        <v>0</v>
      </c>
    </row>
    <row r="48" spans="1:13" ht="60" customHeight="1" x14ac:dyDescent="0.25">
      <c r="A48" s="2264"/>
      <c r="B48" s="2304"/>
      <c r="C48" s="97" t="s">
        <v>654</v>
      </c>
      <c r="D48" s="73"/>
      <c r="E48" s="73"/>
      <c r="F48" s="73">
        <v>249118000</v>
      </c>
      <c r="G48" s="73"/>
      <c r="H48" s="73"/>
      <c r="I48" s="73"/>
      <c r="J48" s="73"/>
      <c r="K48" s="3">
        <f t="shared" si="1"/>
        <v>249118000</v>
      </c>
      <c r="L48" s="27">
        <v>249118000</v>
      </c>
      <c r="M48" s="23">
        <f t="shared" si="3"/>
        <v>0</v>
      </c>
    </row>
    <row r="49" spans="1:13" ht="60" customHeight="1" x14ac:dyDescent="0.25">
      <c r="A49" s="2264"/>
      <c r="B49" s="2304"/>
      <c r="C49" s="97" t="s">
        <v>657</v>
      </c>
      <c r="D49" s="73"/>
      <c r="E49" s="73">
        <v>4230000</v>
      </c>
      <c r="F49" s="73"/>
      <c r="G49" s="73"/>
      <c r="H49" s="73"/>
      <c r="I49" s="73"/>
      <c r="J49" s="73"/>
      <c r="K49" s="3">
        <f t="shared" si="1"/>
        <v>4230000</v>
      </c>
      <c r="L49" s="27">
        <v>4230000</v>
      </c>
      <c r="M49" s="23">
        <f t="shared" si="3"/>
        <v>0</v>
      </c>
    </row>
    <row r="50" spans="1:13" ht="60" customHeight="1" x14ac:dyDescent="0.25">
      <c r="A50" s="2264"/>
      <c r="B50" s="2304"/>
      <c r="C50" s="97" t="s">
        <v>712</v>
      </c>
      <c r="D50" s="73"/>
      <c r="E50" s="73"/>
      <c r="F50" s="73">
        <v>56775000</v>
      </c>
      <c r="G50" s="73"/>
      <c r="H50" s="73"/>
      <c r="I50" s="73"/>
      <c r="J50" s="73"/>
      <c r="K50" s="3">
        <f t="shared" si="1"/>
        <v>56775000</v>
      </c>
      <c r="L50" s="27">
        <v>56775000</v>
      </c>
      <c r="M50" s="23">
        <f t="shared" si="3"/>
        <v>0</v>
      </c>
    </row>
    <row r="51" spans="1:13" ht="60" customHeight="1" x14ac:dyDescent="0.25">
      <c r="A51" s="2264"/>
      <c r="B51" s="2304"/>
      <c r="C51" s="97" t="s">
        <v>660</v>
      </c>
      <c r="D51" s="73"/>
      <c r="E51" s="73">
        <v>8340000</v>
      </c>
      <c r="F51" s="73"/>
      <c r="G51" s="73"/>
      <c r="H51" s="73"/>
      <c r="I51" s="73"/>
      <c r="J51" s="73"/>
      <c r="K51" s="3">
        <f t="shared" si="1"/>
        <v>8340000</v>
      </c>
      <c r="L51" s="27">
        <v>8340000</v>
      </c>
      <c r="M51" s="23">
        <f t="shared" si="3"/>
        <v>0</v>
      </c>
    </row>
    <row r="52" spans="1:13" ht="60" customHeight="1" x14ac:dyDescent="0.25">
      <c r="A52" s="2264"/>
      <c r="B52" s="2304"/>
      <c r="C52" s="97" t="s">
        <v>662</v>
      </c>
      <c r="D52" s="73"/>
      <c r="E52" s="73"/>
      <c r="F52" s="73">
        <v>1830000</v>
      </c>
      <c r="G52" s="73"/>
      <c r="H52" s="73"/>
      <c r="I52" s="73"/>
      <c r="J52" s="73"/>
      <c r="K52" s="3">
        <f t="shared" si="1"/>
        <v>1830000</v>
      </c>
      <c r="L52" s="27">
        <v>1830000</v>
      </c>
      <c r="M52" s="23">
        <f t="shared" si="3"/>
        <v>0</v>
      </c>
    </row>
    <row r="53" spans="1:13" ht="60" customHeight="1" x14ac:dyDescent="0.25">
      <c r="A53" s="2264"/>
      <c r="B53" s="2304"/>
      <c r="C53" s="97" t="s">
        <v>673</v>
      </c>
      <c r="D53" s="73"/>
      <c r="E53" s="73">
        <v>2740000</v>
      </c>
      <c r="F53" s="73"/>
      <c r="G53" s="73"/>
      <c r="H53" s="73"/>
      <c r="I53" s="73"/>
      <c r="J53" s="73"/>
      <c r="K53" s="3">
        <f t="shared" si="1"/>
        <v>2740000</v>
      </c>
      <c r="L53" s="27">
        <v>2740000</v>
      </c>
      <c r="M53" s="23">
        <f t="shared" si="3"/>
        <v>0</v>
      </c>
    </row>
    <row r="54" spans="1:13" ht="60" customHeight="1" x14ac:dyDescent="0.25">
      <c r="A54" s="2264"/>
      <c r="B54" s="2304"/>
      <c r="C54" s="97" t="e">
        <f>#REF!</f>
        <v>#REF!</v>
      </c>
      <c r="D54" s="73"/>
      <c r="E54" s="73" t="e">
        <f>#REF!</f>
        <v>#REF!</v>
      </c>
      <c r="F54" s="73"/>
      <c r="G54" s="73"/>
      <c r="H54" s="73"/>
      <c r="I54" s="73"/>
      <c r="J54" s="73"/>
      <c r="K54" s="3"/>
      <c r="L54" s="27"/>
      <c r="M54" s="23"/>
    </row>
    <row r="55" spans="1:13" ht="60" customHeight="1" x14ac:dyDescent="0.25">
      <c r="A55" s="2264"/>
      <c r="B55" s="2304"/>
      <c r="C55" s="97" t="s">
        <v>681</v>
      </c>
      <c r="D55" s="73"/>
      <c r="E55" s="73">
        <v>19940000</v>
      </c>
      <c r="F55" s="73"/>
      <c r="G55" s="73"/>
      <c r="H55" s="73"/>
      <c r="I55" s="73"/>
      <c r="J55" s="73"/>
      <c r="K55" s="3">
        <f t="shared" si="1"/>
        <v>19940000</v>
      </c>
      <c r="L55" s="27">
        <v>19940000</v>
      </c>
      <c r="M55" s="23">
        <f t="shared" si="3"/>
        <v>0</v>
      </c>
    </row>
    <row r="56" spans="1:13" ht="60" customHeight="1" x14ac:dyDescent="0.25">
      <c r="A56" s="2264"/>
      <c r="B56" s="2304"/>
      <c r="C56" s="97" t="s">
        <v>684</v>
      </c>
      <c r="D56" s="73"/>
      <c r="E56" s="73">
        <v>101104000</v>
      </c>
      <c r="F56" s="73"/>
      <c r="G56" s="73"/>
      <c r="H56" s="73"/>
      <c r="I56" s="73"/>
      <c r="J56" s="73"/>
      <c r="K56" s="3">
        <f t="shared" si="1"/>
        <v>101104000</v>
      </c>
      <c r="L56" s="27">
        <v>101104000</v>
      </c>
      <c r="M56" s="23">
        <f t="shared" si="3"/>
        <v>0</v>
      </c>
    </row>
    <row r="57" spans="1:13" ht="60" customHeight="1" x14ac:dyDescent="0.25">
      <c r="A57" s="2264"/>
      <c r="B57" s="2304"/>
      <c r="C57" s="97" t="s">
        <v>690</v>
      </c>
      <c r="D57" s="73"/>
      <c r="E57" s="73">
        <v>14295000</v>
      </c>
      <c r="F57" s="73"/>
      <c r="G57" s="73"/>
      <c r="H57" s="73"/>
      <c r="I57" s="73"/>
      <c r="J57" s="73"/>
      <c r="K57" s="3">
        <f t="shared" si="1"/>
        <v>14295000</v>
      </c>
      <c r="L57" s="27">
        <v>14295000</v>
      </c>
      <c r="M57" s="23">
        <f t="shared" si="3"/>
        <v>0</v>
      </c>
    </row>
    <row r="58" spans="1:13" ht="60" customHeight="1" x14ac:dyDescent="0.25">
      <c r="A58" s="2264"/>
      <c r="B58" s="2304"/>
      <c r="C58" s="97" t="s">
        <v>696</v>
      </c>
      <c r="D58" s="73"/>
      <c r="E58" s="73"/>
      <c r="F58" s="73">
        <v>17685000</v>
      </c>
      <c r="G58" s="73"/>
      <c r="H58" s="73"/>
      <c r="I58" s="73"/>
      <c r="J58" s="73"/>
      <c r="K58" s="3">
        <f t="shared" si="1"/>
        <v>17685000</v>
      </c>
      <c r="L58" s="27">
        <v>17685000</v>
      </c>
      <c r="M58" s="23">
        <f t="shared" si="3"/>
        <v>0</v>
      </c>
    </row>
    <row r="59" spans="1:13" ht="60" customHeight="1" x14ac:dyDescent="0.25">
      <c r="A59" s="2264"/>
      <c r="B59" s="2304"/>
      <c r="C59" s="97" t="s">
        <v>706</v>
      </c>
      <c r="D59" s="73"/>
      <c r="E59" s="73"/>
      <c r="F59" s="73">
        <v>2665000</v>
      </c>
      <c r="G59" s="73"/>
      <c r="H59" s="73"/>
      <c r="I59" s="73"/>
      <c r="J59" s="73"/>
      <c r="K59" s="3">
        <f t="shared" si="1"/>
        <v>2665000</v>
      </c>
      <c r="L59" s="27">
        <v>2665000</v>
      </c>
      <c r="M59" s="23">
        <f t="shared" si="3"/>
        <v>0</v>
      </c>
    </row>
    <row r="60" spans="1:13" ht="60" customHeight="1" x14ac:dyDescent="0.25">
      <c r="A60" s="2264"/>
      <c r="B60" s="2304"/>
      <c r="C60" s="97" t="s">
        <v>708</v>
      </c>
      <c r="D60" s="73"/>
      <c r="E60" s="73"/>
      <c r="F60" s="73">
        <v>2385000</v>
      </c>
      <c r="G60" s="73"/>
      <c r="H60" s="73"/>
      <c r="I60" s="73"/>
      <c r="J60" s="73"/>
      <c r="K60" s="3">
        <f t="shared" si="1"/>
        <v>2385000</v>
      </c>
      <c r="L60" s="27">
        <v>2385000</v>
      </c>
      <c r="M60" s="23">
        <f t="shared" si="3"/>
        <v>0</v>
      </c>
    </row>
    <row r="61" spans="1:13" ht="60" customHeight="1" x14ac:dyDescent="0.25">
      <c r="A61" s="2264"/>
      <c r="B61" s="2304"/>
      <c r="C61" s="97" t="s">
        <v>710</v>
      </c>
      <c r="D61" s="73"/>
      <c r="E61" s="73">
        <v>1690000</v>
      </c>
      <c r="F61" s="73"/>
      <c r="G61" s="73"/>
      <c r="H61" s="73"/>
      <c r="I61" s="73"/>
      <c r="J61" s="73"/>
      <c r="K61" s="3">
        <f t="shared" si="1"/>
        <v>1690000</v>
      </c>
      <c r="L61" s="27">
        <v>1690000</v>
      </c>
      <c r="M61" s="23">
        <f t="shared" si="3"/>
        <v>0</v>
      </c>
    </row>
    <row r="62" spans="1:13" ht="60" customHeight="1" x14ac:dyDescent="0.25">
      <c r="A62" s="2264"/>
      <c r="B62" s="2304"/>
      <c r="C62" s="97" t="s">
        <v>711</v>
      </c>
      <c r="D62" s="73"/>
      <c r="E62" s="73"/>
      <c r="F62" s="73">
        <v>8040000</v>
      </c>
      <c r="G62" s="73"/>
      <c r="H62" s="73"/>
      <c r="I62" s="73"/>
      <c r="J62" s="73"/>
      <c r="K62" s="3">
        <f t="shared" si="1"/>
        <v>8040000</v>
      </c>
      <c r="L62" s="27">
        <v>8040000</v>
      </c>
      <c r="M62" s="23">
        <f t="shared" si="3"/>
        <v>0</v>
      </c>
    </row>
    <row r="63" spans="1:13" ht="60" customHeight="1" x14ac:dyDescent="0.25">
      <c r="A63" s="2264"/>
      <c r="B63" s="2304"/>
      <c r="C63" s="97" t="s">
        <v>1114</v>
      </c>
      <c r="D63" s="73"/>
      <c r="E63" s="73"/>
      <c r="F63" s="73"/>
      <c r="G63" s="73">
        <v>5757500</v>
      </c>
      <c r="H63" s="73"/>
      <c r="I63" s="73"/>
      <c r="J63" s="73"/>
      <c r="K63" s="3">
        <f t="shared" si="1"/>
        <v>5757500</v>
      </c>
      <c r="L63" s="27">
        <v>5757500</v>
      </c>
      <c r="M63" s="23">
        <f t="shared" si="3"/>
        <v>0</v>
      </c>
    </row>
    <row r="64" spans="1:13" ht="60" customHeight="1" x14ac:dyDescent="0.25">
      <c r="A64" s="2264"/>
      <c r="B64" s="2304"/>
      <c r="C64" s="97" t="s">
        <v>975</v>
      </c>
      <c r="D64" s="73"/>
      <c r="E64" s="73"/>
      <c r="F64" s="73"/>
      <c r="G64" s="73">
        <v>10455000</v>
      </c>
      <c r="H64" s="73"/>
      <c r="I64" s="73"/>
      <c r="J64" s="73"/>
      <c r="K64" s="3">
        <f t="shared" si="1"/>
        <v>10455000</v>
      </c>
      <c r="L64" s="27">
        <v>10455000</v>
      </c>
      <c r="M64" s="23">
        <f t="shared" si="3"/>
        <v>0</v>
      </c>
    </row>
    <row r="65" spans="1:13" ht="60" customHeight="1" x14ac:dyDescent="0.25">
      <c r="A65" s="2264"/>
      <c r="B65" s="2304"/>
      <c r="C65" s="97" t="s">
        <v>729</v>
      </c>
      <c r="D65" s="73"/>
      <c r="E65" s="73"/>
      <c r="F65" s="73">
        <v>39717600</v>
      </c>
      <c r="G65" s="73"/>
      <c r="H65" s="73"/>
      <c r="I65" s="73"/>
      <c r="J65" s="73"/>
      <c r="K65" s="3">
        <f t="shared" si="1"/>
        <v>39717600</v>
      </c>
      <c r="L65" s="27">
        <v>39717600</v>
      </c>
      <c r="M65" s="23">
        <f t="shared" si="3"/>
        <v>0</v>
      </c>
    </row>
    <row r="66" spans="1:13" ht="60" customHeight="1" x14ac:dyDescent="0.25">
      <c r="A66" s="2264"/>
      <c r="B66" s="2304"/>
      <c r="C66" s="97" t="s">
        <v>754</v>
      </c>
      <c r="D66" s="73"/>
      <c r="E66" s="73"/>
      <c r="F66" s="73">
        <v>43935000</v>
      </c>
      <c r="G66" s="73"/>
      <c r="H66" s="73"/>
      <c r="I66" s="73"/>
      <c r="J66" s="73"/>
      <c r="K66" s="3">
        <f t="shared" si="1"/>
        <v>43935000</v>
      </c>
      <c r="L66" s="27">
        <v>43935000</v>
      </c>
      <c r="M66" s="23">
        <f t="shared" si="3"/>
        <v>0</v>
      </c>
    </row>
    <row r="67" spans="1:13" ht="60" customHeight="1" x14ac:dyDescent="0.25">
      <c r="A67" s="2264"/>
      <c r="B67" s="2304"/>
      <c r="C67" s="97" t="s">
        <v>760</v>
      </c>
      <c r="D67" s="73"/>
      <c r="E67" s="73"/>
      <c r="F67" s="73"/>
      <c r="G67" s="73">
        <v>6127385</v>
      </c>
      <c r="H67" s="73"/>
      <c r="I67" s="73"/>
      <c r="J67" s="73"/>
      <c r="K67" s="3">
        <f t="shared" si="1"/>
        <v>6127385</v>
      </c>
      <c r="L67" s="27">
        <v>6127385</v>
      </c>
      <c r="M67" s="23">
        <f t="shared" si="3"/>
        <v>0</v>
      </c>
    </row>
    <row r="68" spans="1:13" ht="60" customHeight="1" x14ac:dyDescent="0.25">
      <c r="A68" s="2264"/>
      <c r="B68" s="2304"/>
      <c r="C68" s="97" t="s">
        <v>762</v>
      </c>
      <c r="D68" s="73"/>
      <c r="E68" s="73">
        <v>159718000</v>
      </c>
      <c r="F68" s="73"/>
      <c r="G68" s="73"/>
      <c r="H68" s="73"/>
      <c r="I68" s="73"/>
      <c r="J68" s="73"/>
      <c r="K68" s="3">
        <f t="shared" si="1"/>
        <v>159718000</v>
      </c>
      <c r="L68" s="27">
        <v>159718000</v>
      </c>
      <c r="M68" s="23">
        <f t="shared" si="3"/>
        <v>0</v>
      </c>
    </row>
    <row r="69" spans="1:13" ht="60" customHeight="1" x14ac:dyDescent="0.25">
      <c r="A69" s="2264"/>
      <c r="B69" s="2304"/>
      <c r="C69" s="97" t="s">
        <v>764</v>
      </c>
      <c r="D69" s="73"/>
      <c r="E69" s="73"/>
      <c r="F69" s="73">
        <v>32465000</v>
      </c>
      <c r="G69" s="73"/>
      <c r="H69" s="73"/>
      <c r="I69" s="73"/>
      <c r="J69" s="73"/>
      <c r="K69" s="3">
        <f t="shared" si="1"/>
        <v>32465000</v>
      </c>
      <c r="L69" s="27">
        <v>32465000</v>
      </c>
      <c r="M69" s="23">
        <f t="shared" si="3"/>
        <v>0</v>
      </c>
    </row>
    <row r="70" spans="1:13" ht="60" customHeight="1" x14ac:dyDescent="0.25">
      <c r="A70" s="2264"/>
      <c r="B70" s="2304"/>
      <c r="C70" s="97" t="s">
        <v>765</v>
      </c>
      <c r="D70" s="73"/>
      <c r="E70" s="73"/>
      <c r="F70" s="73">
        <v>3810000</v>
      </c>
      <c r="G70" s="73"/>
      <c r="H70" s="73"/>
      <c r="I70" s="73"/>
      <c r="J70" s="73"/>
      <c r="K70" s="3">
        <f t="shared" si="1"/>
        <v>3810000</v>
      </c>
      <c r="L70" s="27">
        <v>3810000</v>
      </c>
      <c r="M70" s="23">
        <f t="shared" si="3"/>
        <v>0</v>
      </c>
    </row>
    <row r="71" spans="1:13" ht="60" customHeight="1" x14ac:dyDescent="0.25">
      <c r="A71" s="2264"/>
      <c r="B71" s="2304"/>
      <c r="C71" s="97" t="s">
        <v>766</v>
      </c>
      <c r="D71" s="73"/>
      <c r="E71" s="73"/>
      <c r="F71" s="73">
        <v>65986000</v>
      </c>
      <c r="G71" s="73"/>
      <c r="H71" s="73"/>
      <c r="I71" s="73"/>
      <c r="J71" s="73"/>
      <c r="K71" s="3">
        <f t="shared" si="1"/>
        <v>65986000</v>
      </c>
      <c r="L71" s="27">
        <v>65986000</v>
      </c>
      <c r="M71" s="23">
        <f t="shared" si="3"/>
        <v>0</v>
      </c>
    </row>
    <row r="72" spans="1:13" ht="60" customHeight="1" x14ac:dyDescent="0.25">
      <c r="A72" s="2264"/>
      <c r="B72" s="2304"/>
      <c r="C72" s="97" t="s">
        <v>768</v>
      </c>
      <c r="D72" s="73"/>
      <c r="E72" s="73"/>
      <c r="F72" s="73">
        <v>32456000</v>
      </c>
      <c r="G72" s="73"/>
      <c r="H72" s="73"/>
      <c r="I72" s="73"/>
      <c r="J72" s="73"/>
      <c r="K72" s="3">
        <f t="shared" si="1"/>
        <v>32456000</v>
      </c>
      <c r="L72" s="27">
        <v>32456000</v>
      </c>
      <c r="M72" s="23">
        <f t="shared" si="3"/>
        <v>0</v>
      </c>
    </row>
    <row r="73" spans="1:13" ht="60" customHeight="1" x14ac:dyDescent="0.25">
      <c r="A73" s="2264"/>
      <c r="B73" s="2304"/>
      <c r="C73" s="97" t="s">
        <v>769</v>
      </c>
      <c r="D73" s="73"/>
      <c r="E73" s="73"/>
      <c r="F73" s="73">
        <v>48067000</v>
      </c>
      <c r="G73" s="73"/>
      <c r="H73" s="73"/>
      <c r="I73" s="73"/>
      <c r="J73" s="73"/>
      <c r="K73" s="3">
        <f t="shared" si="1"/>
        <v>48067000</v>
      </c>
      <c r="L73" s="27">
        <v>48067000</v>
      </c>
      <c r="M73" s="23">
        <f t="shared" si="3"/>
        <v>0</v>
      </c>
    </row>
    <row r="74" spans="1:13" ht="60" customHeight="1" x14ac:dyDescent="0.25">
      <c r="A74" s="2264"/>
      <c r="B74" s="2304"/>
      <c r="C74" s="97" t="s">
        <v>770</v>
      </c>
      <c r="D74" s="73"/>
      <c r="E74" s="73"/>
      <c r="F74" s="73">
        <v>92270100</v>
      </c>
      <c r="G74" s="73"/>
      <c r="H74" s="73"/>
      <c r="I74" s="73"/>
      <c r="J74" s="73"/>
      <c r="K74" s="3">
        <f t="shared" si="1"/>
        <v>92270100</v>
      </c>
      <c r="L74" s="27">
        <v>92270100</v>
      </c>
      <c r="M74" s="23">
        <f t="shared" si="3"/>
        <v>0</v>
      </c>
    </row>
    <row r="75" spans="1:13" ht="60" customHeight="1" x14ac:dyDescent="0.25">
      <c r="A75" s="2264"/>
      <c r="B75" s="2304"/>
      <c r="C75" s="97" t="s">
        <v>1066</v>
      </c>
      <c r="D75" s="73"/>
      <c r="E75" s="73">
        <v>30140000</v>
      </c>
      <c r="F75" s="73"/>
      <c r="G75" s="73"/>
      <c r="H75" s="73"/>
      <c r="I75" s="73"/>
      <c r="J75" s="73"/>
      <c r="K75" s="3">
        <f t="shared" si="1"/>
        <v>30140000</v>
      </c>
      <c r="L75" s="27">
        <v>30140000</v>
      </c>
      <c r="M75" s="23">
        <f t="shared" si="3"/>
        <v>0</v>
      </c>
    </row>
    <row r="76" spans="1:13" ht="60" customHeight="1" x14ac:dyDescent="0.25">
      <c r="A76" s="2264"/>
      <c r="B76" s="2304"/>
      <c r="C76" s="97" t="s">
        <v>1067</v>
      </c>
      <c r="D76" s="73"/>
      <c r="E76" s="73"/>
      <c r="F76" s="73">
        <v>37420000</v>
      </c>
      <c r="G76" s="73"/>
      <c r="H76" s="73"/>
      <c r="I76" s="73"/>
      <c r="J76" s="73"/>
      <c r="K76" s="3">
        <f t="shared" si="1"/>
        <v>37420000</v>
      </c>
      <c r="L76" s="27">
        <v>37420000</v>
      </c>
      <c r="M76" s="23">
        <f t="shared" si="3"/>
        <v>0</v>
      </c>
    </row>
    <row r="77" spans="1:13" s="96" customFormat="1" ht="60" customHeight="1" x14ac:dyDescent="0.25">
      <c r="A77" s="2264"/>
      <c r="B77" s="2304"/>
      <c r="C77" s="97" t="s">
        <v>800</v>
      </c>
      <c r="D77" s="73"/>
      <c r="E77" s="73"/>
      <c r="F77" s="73">
        <v>497699000</v>
      </c>
      <c r="G77" s="73"/>
      <c r="H77" s="73"/>
      <c r="I77" s="73"/>
      <c r="J77" s="73"/>
      <c r="K77" s="3">
        <f t="shared" si="1"/>
        <v>497699000</v>
      </c>
      <c r="L77" s="27">
        <v>497699000</v>
      </c>
      <c r="M77" s="23">
        <f t="shared" si="3"/>
        <v>0</v>
      </c>
    </row>
    <row r="78" spans="1:13" ht="60" customHeight="1" x14ac:dyDescent="0.25">
      <c r="A78" s="2264"/>
      <c r="B78" s="2304"/>
      <c r="C78" s="97" t="s">
        <v>805</v>
      </c>
      <c r="D78" s="73"/>
      <c r="E78" s="73">
        <v>26276950</v>
      </c>
      <c r="F78" s="73"/>
      <c r="G78" s="73"/>
      <c r="H78" s="73"/>
      <c r="I78" s="73"/>
      <c r="J78" s="73"/>
      <c r="K78" s="3">
        <f t="shared" si="1"/>
        <v>26276950</v>
      </c>
      <c r="L78" s="27">
        <v>26276950</v>
      </c>
      <c r="M78" s="23">
        <f t="shared" si="3"/>
        <v>0</v>
      </c>
    </row>
    <row r="79" spans="1:13" ht="60" customHeight="1" x14ac:dyDescent="0.25">
      <c r="A79" s="2264"/>
      <c r="B79" s="2304"/>
      <c r="C79" s="97" t="s">
        <v>816</v>
      </c>
      <c r="D79" s="73"/>
      <c r="E79" s="73"/>
      <c r="F79" s="73">
        <v>54936000</v>
      </c>
      <c r="G79" s="73"/>
      <c r="H79" s="73"/>
      <c r="I79" s="73"/>
      <c r="J79" s="73"/>
      <c r="K79" s="3">
        <f t="shared" ref="K79:K125" si="4">SUM(D79:J79)</f>
        <v>54936000</v>
      </c>
      <c r="L79" s="27">
        <v>54936000</v>
      </c>
      <c r="M79" s="23">
        <f t="shared" si="3"/>
        <v>0</v>
      </c>
    </row>
    <row r="80" spans="1:13" ht="83.25" customHeight="1" x14ac:dyDescent="0.25">
      <c r="A80" s="2264"/>
      <c r="B80" s="2304"/>
      <c r="C80" s="97" t="s">
        <v>1069</v>
      </c>
      <c r="D80" s="73"/>
      <c r="E80" s="73"/>
      <c r="F80" s="73">
        <v>2830000</v>
      </c>
      <c r="G80" s="73"/>
      <c r="H80" s="73"/>
      <c r="I80" s="73"/>
      <c r="J80" s="73"/>
      <c r="K80" s="3">
        <f t="shared" si="4"/>
        <v>2830000</v>
      </c>
      <c r="L80" s="27">
        <v>2830000</v>
      </c>
      <c r="M80" s="23">
        <f t="shared" si="3"/>
        <v>0</v>
      </c>
    </row>
    <row r="81" spans="1:13" ht="60" customHeight="1" x14ac:dyDescent="0.25">
      <c r="A81" s="2264"/>
      <c r="B81" s="2304"/>
      <c r="C81" s="97" t="s">
        <v>1070</v>
      </c>
      <c r="D81" s="73"/>
      <c r="E81" s="73"/>
      <c r="F81" s="73"/>
      <c r="G81" s="73">
        <v>30750000</v>
      </c>
      <c r="H81" s="73"/>
      <c r="I81" s="73"/>
      <c r="J81" s="73"/>
      <c r="K81" s="3">
        <f t="shared" si="4"/>
        <v>30750000</v>
      </c>
      <c r="L81" s="27">
        <v>30750000</v>
      </c>
      <c r="M81" s="23">
        <f t="shared" si="3"/>
        <v>0</v>
      </c>
    </row>
    <row r="82" spans="1:13" ht="79.5" customHeight="1" x14ac:dyDescent="0.25">
      <c r="A82" s="2264"/>
      <c r="B82" s="2304"/>
      <c r="C82" s="97" t="s">
        <v>1064</v>
      </c>
      <c r="D82" s="73"/>
      <c r="E82" s="73"/>
      <c r="F82" s="73"/>
      <c r="G82" s="73">
        <v>70725000</v>
      </c>
      <c r="H82" s="73"/>
      <c r="I82" s="73"/>
      <c r="J82" s="73"/>
      <c r="K82" s="3">
        <f t="shared" si="4"/>
        <v>70725000</v>
      </c>
      <c r="L82" s="27">
        <v>70725000</v>
      </c>
      <c r="M82" s="23">
        <f t="shared" si="3"/>
        <v>0</v>
      </c>
    </row>
    <row r="83" spans="1:13" ht="60" customHeight="1" x14ac:dyDescent="0.25">
      <c r="A83" s="2264"/>
      <c r="B83" s="2304"/>
      <c r="C83" s="97" t="s">
        <v>1088</v>
      </c>
      <c r="D83" s="73"/>
      <c r="E83" s="73"/>
      <c r="F83" s="73"/>
      <c r="G83" s="73">
        <v>24539726.899999999</v>
      </c>
      <c r="H83" s="73"/>
      <c r="I83" s="73"/>
      <c r="J83" s="73"/>
      <c r="K83" s="3">
        <f t="shared" si="4"/>
        <v>24539726.899999999</v>
      </c>
      <c r="L83" s="27">
        <v>24539726.899999999</v>
      </c>
      <c r="M83" s="23">
        <f t="shared" si="3"/>
        <v>0</v>
      </c>
    </row>
    <row r="84" spans="1:13" ht="60" customHeight="1" x14ac:dyDescent="0.25">
      <c r="A84" s="2264"/>
      <c r="B84" s="2304"/>
      <c r="C84" s="97" t="s">
        <v>1052</v>
      </c>
      <c r="D84" s="73"/>
      <c r="E84" s="73"/>
      <c r="F84" s="73">
        <v>29510800</v>
      </c>
      <c r="G84" s="73"/>
      <c r="H84" s="73"/>
      <c r="I84" s="73"/>
      <c r="J84" s="73"/>
      <c r="K84" s="3">
        <f t="shared" si="4"/>
        <v>29510800</v>
      </c>
      <c r="L84" s="27">
        <v>29510800</v>
      </c>
      <c r="M84" s="23">
        <f t="shared" si="3"/>
        <v>0</v>
      </c>
    </row>
    <row r="85" spans="1:13" ht="60" customHeight="1" x14ac:dyDescent="0.25">
      <c r="A85" s="2265"/>
      <c r="B85" s="2305"/>
      <c r="C85" s="97" t="s">
        <v>820</v>
      </c>
      <c r="D85" s="73"/>
      <c r="E85" s="73"/>
      <c r="F85" s="73"/>
      <c r="G85" s="73">
        <v>3000000</v>
      </c>
      <c r="H85" s="73"/>
      <c r="I85" s="73"/>
      <c r="J85" s="73"/>
      <c r="K85" s="3">
        <f t="shared" si="4"/>
        <v>3000000</v>
      </c>
      <c r="L85" s="27">
        <v>3000000</v>
      </c>
      <c r="M85" s="23">
        <f t="shared" si="3"/>
        <v>0</v>
      </c>
    </row>
    <row r="86" spans="1:13" s="96" customFormat="1" ht="80.25" customHeight="1" x14ac:dyDescent="0.25">
      <c r="A86" s="2263" t="s">
        <v>1183</v>
      </c>
      <c r="B86" s="2303" t="s">
        <v>1019</v>
      </c>
      <c r="C86" s="4" t="s">
        <v>829</v>
      </c>
      <c r="D86" s="73"/>
      <c r="E86" s="73"/>
      <c r="F86" s="73">
        <v>6765000</v>
      </c>
      <c r="G86" s="73"/>
      <c r="H86" s="73"/>
      <c r="I86" s="73"/>
      <c r="J86" s="73"/>
      <c r="K86" s="3">
        <f t="shared" si="4"/>
        <v>6765000</v>
      </c>
      <c r="L86" s="27">
        <v>6765000</v>
      </c>
      <c r="M86" s="23">
        <f>K86-L86</f>
        <v>0</v>
      </c>
    </row>
    <row r="87" spans="1:13" ht="75.75" customHeight="1" x14ac:dyDescent="0.25">
      <c r="A87" s="2264"/>
      <c r="B87" s="2304"/>
      <c r="C87" s="4" t="s">
        <v>836</v>
      </c>
      <c r="D87" s="73"/>
      <c r="E87" s="73"/>
      <c r="F87" s="73">
        <v>8065000</v>
      </c>
      <c r="G87" s="73"/>
      <c r="H87" s="73"/>
      <c r="I87" s="73"/>
      <c r="J87" s="73"/>
      <c r="K87" s="3">
        <f t="shared" si="4"/>
        <v>8065000</v>
      </c>
      <c r="L87" s="27">
        <v>8065000</v>
      </c>
      <c r="M87" s="23">
        <f t="shared" ref="M87:M112" si="5">K87-L87</f>
        <v>0</v>
      </c>
    </row>
    <row r="88" spans="1:13" s="96" customFormat="1" ht="104.25" customHeight="1" x14ac:dyDescent="0.25">
      <c r="A88" s="2264"/>
      <c r="B88" s="2304"/>
      <c r="C88" s="4" t="s">
        <v>1172</v>
      </c>
      <c r="D88" s="73"/>
      <c r="E88" s="73"/>
      <c r="F88" s="73">
        <v>41030000</v>
      </c>
      <c r="G88" s="73"/>
      <c r="H88" s="73"/>
      <c r="I88" s="73"/>
      <c r="J88" s="73"/>
      <c r="K88" s="3">
        <f t="shared" si="4"/>
        <v>41030000</v>
      </c>
      <c r="L88" s="27">
        <v>41030000</v>
      </c>
      <c r="M88" s="23">
        <f t="shared" si="5"/>
        <v>0</v>
      </c>
    </row>
    <row r="89" spans="1:13" s="96" customFormat="1" ht="100.5" customHeight="1" x14ac:dyDescent="0.25">
      <c r="A89" s="2264"/>
      <c r="B89" s="2304"/>
      <c r="C89" s="4" t="s">
        <v>843</v>
      </c>
      <c r="D89" s="73"/>
      <c r="E89" s="73"/>
      <c r="F89" s="73"/>
      <c r="G89" s="73">
        <v>300665000</v>
      </c>
      <c r="H89" s="73"/>
      <c r="I89" s="73"/>
      <c r="J89" s="73"/>
      <c r="K89" s="3">
        <f t="shared" si="4"/>
        <v>300665000</v>
      </c>
      <c r="L89" s="27">
        <v>300665000</v>
      </c>
      <c r="M89" s="23">
        <f t="shared" si="5"/>
        <v>0</v>
      </c>
    </row>
    <row r="90" spans="1:13" s="96" customFormat="1" ht="60" customHeight="1" x14ac:dyDescent="0.25">
      <c r="A90" s="2264"/>
      <c r="B90" s="2304"/>
      <c r="C90" s="4" t="s">
        <v>1027</v>
      </c>
      <c r="D90" s="73"/>
      <c r="E90" s="73"/>
      <c r="F90" s="73"/>
      <c r="G90" s="73">
        <v>3080000</v>
      </c>
      <c r="H90" s="73"/>
      <c r="I90" s="73"/>
      <c r="J90" s="73"/>
      <c r="K90" s="3">
        <f t="shared" si="4"/>
        <v>3080000</v>
      </c>
      <c r="L90" s="27">
        <v>3080000</v>
      </c>
      <c r="M90" s="23">
        <f t="shared" si="5"/>
        <v>0</v>
      </c>
    </row>
    <row r="91" spans="1:13" s="96" customFormat="1" ht="60" customHeight="1" x14ac:dyDescent="0.25">
      <c r="A91" s="2264"/>
      <c r="B91" s="2304"/>
      <c r="C91" s="4" t="s">
        <v>854</v>
      </c>
      <c r="D91" s="73"/>
      <c r="E91" s="73"/>
      <c r="F91" s="73"/>
      <c r="G91" s="27">
        <v>5048000</v>
      </c>
      <c r="H91" s="73"/>
      <c r="I91" s="73"/>
      <c r="J91" s="73"/>
      <c r="K91" s="3">
        <f t="shared" si="4"/>
        <v>5048000</v>
      </c>
      <c r="L91" s="27">
        <v>5048000</v>
      </c>
      <c r="M91" s="23">
        <f t="shared" si="5"/>
        <v>0</v>
      </c>
    </row>
    <row r="92" spans="1:13" s="96" customFormat="1" ht="60" customHeight="1" x14ac:dyDescent="0.25">
      <c r="A92" s="2264"/>
      <c r="B92" s="2304"/>
      <c r="C92" s="4" t="s">
        <v>910</v>
      </c>
      <c r="D92" s="73"/>
      <c r="E92" s="73"/>
      <c r="F92" s="73"/>
      <c r="G92" s="27">
        <v>249750000</v>
      </c>
      <c r="H92" s="73"/>
      <c r="I92" s="73"/>
      <c r="J92" s="73"/>
      <c r="K92" s="3">
        <f t="shared" si="4"/>
        <v>249750000</v>
      </c>
      <c r="L92" s="27">
        <v>249750000</v>
      </c>
      <c r="M92" s="23">
        <f t="shared" si="5"/>
        <v>0</v>
      </c>
    </row>
    <row r="93" spans="1:13" s="96" customFormat="1" ht="60" customHeight="1" x14ac:dyDescent="0.25">
      <c r="A93" s="2264"/>
      <c r="B93" s="2304"/>
      <c r="C93" s="4" t="s">
        <v>871</v>
      </c>
      <c r="D93" s="73"/>
      <c r="E93" s="73"/>
      <c r="F93" s="73"/>
      <c r="G93" s="27">
        <v>18365000</v>
      </c>
      <c r="H93" s="73"/>
      <c r="I93" s="73"/>
      <c r="J93" s="73"/>
      <c r="K93" s="3">
        <f t="shared" si="4"/>
        <v>18365000</v>
      </c>
      <c r="L93" s="27">
        <v>18365000</v>
      </c>
      <c r="M93" s="23">
        <f t="shared" si="5"/>
        <v>0</v>
      </c>
    </row>
    <row r="94" spans="1:13" s="96" customFormat="1" ht="60" customHeight="1" x14ac:dyDescent="0.25">
      <c r="A94" s="2264"/>
      <c r="B94" s="2304"/>
      <c r="C94" s="4" t="s">
        <v>881</v>
      </c>
      <c r="D94" s="73"/>
      <c r="E94" s="73"/>
      <c r="F94" s="73"/>
      <c r="G94" s="27">
        <v>20480000</v>
      </c>
      <c r="H94" s="73"/>
      <c r="I94" s="73"/>
      <c r="J94" s="73"/>
      <c r="K94" s="3">
        <f t="shared" si="4"/>
        <v>20480000</v>
      </c>
      <c r="L94" s="27">
        <v>20480000</v>
      </c>
      <c r="M94" s="23">
        <f t="shared" si="5"/>
        <v>0</v>
      </c>
    </row>
    <row r="95" spans="1:13" s="96" customFormat="1" ht="60" customHeight="1" x14ac:dyDescent="0.25">
      <c r="A95" s="2264"/>
      <c r="B95" s="2304"/>
      <c r="C95" s="4" t="s">
        <v>1028</v>
      </c>
      <c r="D95" s="73"/>
      <c r="E95" s="73"/>
      <c r="F95" s="27">
        <v>23625000</v>
      </c>
      <c r="G95" s="73"/>
      <c r="H95" s="73"/>
      <c r="I95" s="73"/>
      <c r="J95" s="73"/>
      <c r="K95" s="3">
        <f t="shared" si="4"/>
        <v>23625000</v>
      </c>
      <c r="L95" s="27">
        <v>23625000</v>
      </c>
      <c r="M95" s="23">
        <f t="shared" si="5"/>
        <v>0</v>
      </c>
    </row>
    <row r="96" spans="1:13" s="96" customFormat="1" ht="60" customHeight="1" x14ac:dyDescent="0.25">
      <c r="A96" s="2264"/>
      <c r="B96" s="2304"/>
      <c r="C96" s="4" t="s">
        <v>885</v>
      </c>
      <c r="D96" s="73"/>
      <c r="E96" s="73"/>
      <c r="F96" s="73"/>
      <c r="G96" s="73"/>
      <c r="H96" s="27">
        <v>150000000</v>
      </c>
      <c r="I96" s="73"/>
      <c r="J96" s="73"/>
      <c r="K96" s="3">
        <f t="shared" si="4"/>
        <v>150000000</v>
      </c>
      <c r="L96" s="27">
        <v>150000000</v>
      </c>
      <c r="M96" s="23">
        <f t="shared" si="5"/>
        <v>0</v>
      </c>
    </row>
    <row r="97" spans="1:13" s="96" customFormat="1" ht="60" customHeight="1" x14ac:dyDescent="0.25">
      <c r="A97" s="2264"/>
      <c r="B97" s="2304"/>
      <c r="C97" s="4" t="s">
        <v>893</v>
      </c>
      <c r="D97" s="73"/>
      <c r="E97" s="73"/>
      <c r="F97" s="73"/>
      <c r="G97" s="73"/>
      <c r="H97" s="73"/>
      <c r="I97" s="27">
        <v>250000000</v>
      </c>
      <c r="J97" s="73"/>
      <c r="K97" s="3">
        <f t="shared" si="4"/>
        <v>250000000</v>
      </c>
      <c r="L97" s="27">
        <v>250000000</v>
      </c>
      <c r="M97" s="23">
        <f t="shared" si="5"/>
        <v>0</v>
      </c>
    </row>
    <row r="98" spans="1:13" s="96" customFormat="1" ht="60" customHeight="1" x14ac:dyDescent="0.25">
      <c r="A98" s="2264"/>
      <c r="B98" s="2304"/>
      <c r="C98" s="4" t="s">
        <v>903</v>
      </c>
      <c r="D98" s="73"/>
      <c r="E98" s="73"/>
      <c r="F98" s="98"/>
      <c r="G98" s="27">
        <v>134875000</v>
      </c>
      <c r="H98" s="73"/>
      <c r="I98" s="73"/>
      <c r="J98" s="73"/>
      <c r="K98" s="3">
        <f t="shared" si="4"/>
        <v>134875000</v>
      </c>
      <c r="L98" s="27">
        <v>134875000</v>
      </c>
      <c r="M98" s="23">
        <f t="shared" si="5"/>
        <v>0</v>
      </c>
    </row>
    <row r="99" spans="1:13" ht="81" customHeight="1" x14ac:dyDescent="0.25">
      <c r="A99" s="2264"/>
      <c r="B99" s="2304"/>
      <c r="C99" s="4" t="s">
        <v>909</v>
      </c>
      <c r="D99" s="73"/>
      <c r="E99" s="73"/>
      <c r="F99" s="73"/>
      <c r="G99" s="27">
        <v>72575000</v>
      </c>
      <c r="H99" s="73"/>
      <c r="I99" s="73"/>
      <c r="J99" s="73"/>
      <c r="K99" s="3">
        <f t="shared" si="4"/>
        <v>72575000</v>
      </c>
      <c r="L99" s="27">
        <v>72575000</v>
      </c>
      <c r="M99" s="23">
        <f t="shared" si="5"/>
        <v>0</v>
      </c>
    </row>
    <row r="100" spans="1:13" ht="81" customHeight="1" x14ac:dyDescent="0.25">
      <c r="A100" s="2264"/>
      <c r="B100" s="2304"/>
      <c r="C100" s="4" t="e">
        <f>#REF!</f>
        <v>#REF!</v>
      </c>
      <c r="D100" s="73"/>
      <c r="E100" s="73"/>
      <c r="F100" s="73"/>
      <c r="G100" s="27" t="e">
        <f>#REF!</f>
        <v>#REF!</v>
      </c>
      <c r="H100" s="73"/>
      <c r="I100" s="73"/>
      <c r="J100" s="73"/>
      <c r="K100" s="3" t="e">
        <f t="shared" si="4"/>
        <v>#REF!</v>
      </c>
      <c r="L100" s="27"/>
      <c r="M100" s="23"/>
    </row>
    <row r="101" spans="1:13" ht="60" customHeight="1" x14ac:dyDescent="0.25">
      <c r="A101" s="2264"/>
      <c r="B101" s="2304"/>
      <c r="C101" s="4" t="s">
        <v>1031</v>
      </c>
      <c r="D101" s="73"/>
      <c r="E101" s="73"/>
      <c r="F101" s="73"/>
      <c r="G101" s="112">
        <v>29999000</v>
      </c>
      <c r="H101" s="98"/>
      <c r="I101" s="73"/>
      <c r="J101" s="73"/>
      <c r="K101" s="3">
        <f t="shared" si="4"/>
        <v>29999000</v>
      </c>
      <c r="L101" s="27">
        <v>29999000</v>
      </c>
      <c r="M101" s="23">
        <f t="shared" si="5"/>
        <v>0</v>
      </c>
    </row>
    <row r="102" spans="1:13" ht="60" customHeight="1" x14ac:dyDescent="0.25">
      <c r="A102" s="2264"/>
      <c r="B102" s="2304"/>
      <c r="C102" s="4" t="e">
        <f>#REF!</f>
        <v>#REF!</v>
      </c>
      <c r="D102" s="73"/>
      <c r="E102" s="73"/>
      <c r="F102" s="73"/>
      <c r="G102" s="27" t="e">
        <f>#REF!</f>
        <v>#REF!</v>
      </c>
      <c r="H102" s="98"/>
      <c r="I102" s="73"/>
      <c r="J102" s="73"/>
      <c r="K102" s="3"/>
      <c r="L102" s="27"/>
      <c r="M102" s="23"/>
    </row>
    <row r="103" spans="1:13" ht="60" customHeight="1" x14ac:dyDescent="0.25">
      <c r="A103" s="2264"/>
      <c r="B103" s="2304"/>
      <c r="C103" s="4" t="s">
        <v>902</v>
      </c>
      <c r="D103" s="73"/>
      <c r="E103" s="73"/>
      <c r="F103" s="73"/>
      <c r="G103" s="73"/>
      <c r="H103" s="73"/>
      <c r="I103" s="27">
        <v>35000000</v>
      </c>
      <c r="J103" s="73"/>
      <c r="K103" s="3">
        <f t="shared" si="4"/>
        <v>35000000</v>
      </c>
      <c r="L103" s="27">
        <v>35000000</v>
      </c>
      <c r="M103" s="23">
        <f t="shared" si="5"/>
        <v>0</v>
      </c>
    </row>
    <row r="104" spans="1:13" ht="60" customHeight="1" x14ac:dyDescent="0.25">
      <c r="A104" s="2264"/>
      <c r="B104" s="2304"/>
      <c r="C104" s="4" t="s">
        <v>912</v>
      </c>
      <c r="D104" s="73"/>
      <c r="E104" s="73"/>
      <c r="F104" s="73"/>
      <c r="G104" s="27">
        <v>28570000</v>
      </c>
      <c r="H104" s="73"/>
      <c r="I104" s="73"/>
      <c r="J104" s="73"/>
      <c r="K104" s="3">
        <f t="shared" si="4"/>
        <v>28570000</v>
      </c>
      <c r="L104" s="27">
        <v>28570000</v>
      </c>
      <c r="M104" s="23">
        <f t="shared" si="5"/>
        <v>0</v>
      </c>
    </row>
    <row r="105" spans="1:13" ht="60" customHeight="1" x14ac:dyDescent="0.25">
      <c r="A105" s="2264"/>
      <c r="B105" s="2304"/>
      <c r="C105" s="4" t="s">
        <v>1047</v>
      </c>
      <c r="D105" s="73"/>
      <c r="E105" s="73"/>
      <c r="F105" s="27">
        <v>1280000</v>
      </c>
      <c r="G105" s="73"/>
      <c r="H105" s="73"/>
      <c r="I105" s="73"/>
      <c r="J105" s="73"/>
      <c r="K105" s="3">
        <f t="shared" si="4"/>
        <v>1280000</v>
      </c>
      <c r="L105" s="27">
        <v>1280000</v>
      </c>
      <c r="M105" s="23">
        <f t="shared" si="5"/>
        <v>0</v>
      </c>
    </row>
    <row r="106" spans="1:13" ht="60" customHeight="1" x14ac:dyDescent="0.25">
      <c r="A106" s="2264"/>
      <c r="B106" s="2304"/>
      <c r="C106" s="4" t="s">
        <v>926</v>
      </c>
      <c r="D106" s="73"/>
      <c r="E106" s="73"/>
      <c r="F106" s="27">
        <v>4310000</v>
      </c>
      <c r="G106" s="73"/>
      <c r="H106" s="73"/>
      <c r="I106" s="73"/>
      <c r="J106" s="73"/>
      <c r="K106" s="3">
        <f t="shared" si="4"/>
        <v>4310000</v>
      </c>
      <c r="L106" s="27">
        <v>4310000</v>
      </c>
      <c r="M106" s="23">
        <f t="shared" si="5"/>
        <v>0</v>
      </c>
    </row>
    <row r="107" spans="1:13" ht="60" customHeight="1" x14ac:dyDescent="0.25">
      <c r="A107" s="2264"/>
      <c r="B107" s="2304"/>
      <c r="C107" s="4" t="s">
        <v>952</v>
      </c>
      <c r="D107" s="73"/>
      <c r="E107" s="73"/>
      <c r="F107" s="73"/>
      <c r="G107" s="27">
        <v>64783647</v>
      </c>
      <c r="H107" s="73"/>
      <c r="I107" s="73"/>
      <c r="J107" s="73"/>
      <c r="K107" s="3">
        <f t="shared" si="4"/>
        <v>64783647</v>
      </c>
      <c r="L107" s="27">
        <v>64783647</v>
      </c>
      <c r="M107" s="23">
        <f t="shared" si="5"/>
        <v>0</v>
      </c>
    </row>
    <row r="108" spans="1:13" ht="60" customHeight="1" x14ac:dyDescent="0.25">
      <c r="A108" s="2264"/>
      <c r="B108" s="2304"/>
      <c r="C108" s="4" t="s">
        <v>955</v>
      </c>
      <c r="D108" s="73"/>
      <c r="E108" s="73"/>
      <c r="F108" s="73"/>
      <c r="G108" s="27">
        <v>8790000</v>
      </c>
      <c r="H108" s="73"/>
      <c r="I108" s="73"/>
      <c r="J108" s="73"/>
      <c r="K108" s="3">
        <f t="shared" si="4"/>
        <v>8790000</v>
      </c>
      <c r="L108" s="27">
        <v>8790000</v>
      </c>
      <c r="M108" s="23">
        <f t="shared" si="5"/>
        <v>0</v>
      </c>
    </row>
    <row r="109" spans="1:13" ht="84" customHeight="1" x14ac:dyDescent="0.25">
      <c r="A109" s="2264"/>
      <c r="B109" s="2304"/>
      <c r="C109" s="4" t="s">
        <v>963</v>
      </c>
      <c r="D109" s="73"/>
      <c r="E109" s="73"/>
      <c r="F109" s="73"/>
      <c r="G109" s="27">
        <v>22215000</v>
      </c>
      <c r="H109" s="73"/>
      <c r="I109" s="73"/>
      <c r="J109" s="73"/>
      <c r="K109" s="3">
        <f t="shared" si="4"/>
        <v>22215000</v>
      </c>
      <c r="L109" s="27">
        <v>22215000</v>
      </c>
      <c r="M109" s="23">
        <f t="shared" si="5"/>
        <v>0</v>
      </c>
    </row>
    <row r="110" spans="1:13" ht="60" customHeight="1" x14ac:dyDescent="0.25">
      <c r="A110" s="2264"/>
      <c r="B110" s="2304"/>
      <c r="C110" s="4" t="s">
        <v>967</v>
      </c>
      <c r="D110" s="73"/>
      <c r="E110" s="73"/>
      <c r="F110" s="73"/>
      <c r="G110" s="27">
        <v>4880000</v>
      </c>
      <c r="H110" s="73"/>
      <c r="I110" s="73"/>
      <c r="J110" s="73"/>
      <c r="K110" s="3">
        <f t="shared" si="4"/>
        <v>4880000</v>
      </c>
      <c r="L110" s="27">
        <v>4880000</v>
      </c>
      <c r="M110" s="23">
        <f t="shared" si="5"/>
        <v>0</v>
      </c>
    </row>
    <row r="111" spans="1:13" ht="60" customHeight="1" x14ac:dyDescent="0.25">
      <c r="A111" s="2264"/>
      <c r="B111" s="2304"/>
      <c r="C111" s="4" t="s">
        <v>969</v>
      </c>
      <c r="D111" s="73"/>
      <c r="E111" s="73"/>
      <c r="F111" s="112">
        <v>2215000</v>
      </c>
      <c r="G111" s="73"/>
      <c r="H111" s="73"/>
      <c r="I111" s="73"/>
      <c r="J111" s="73"/>
      <c r="K111" s="3">
        <f t="shared" si="4"/>
        <v>2215000</v>
      </c>
      <c r="L111" s="27">
        <v>2215000</v>
      </c>
      <c r="M111" s="23">
        <f t="shared" si="5"/>
        <v>0</v>
      </c>
    </row>
    <row r="112" spans="1:13" ht="60" customHeight="1" x14ac:dyDescent="0.25">
      <c r="A112" s="2265"/>
      <c r="B112" s="2305"/>
      <c r="C112" s="4" t="s">
        <v>1068</v>
      </c>
      <c r="D112" s="73"/>
      <c r="E112" s="73"/>
      <c r="F112" s="112">
        <v>30459000</v>
      </c>
      <c r="G112" s="73"/>
      <c r="H112" s="73"/>
      <c r="I112" s="73"/>
      <c r="J112" s="73"/>
      <c r="K112" s="3">
        <f t="shared" si="4"/>
        <v>30459000</v>
      </c>
      <c r="L112" s="27">
        <v>30459000</v>
      </c>
      <c r="M112" s="23">
        <f t="shared" si="5"/>
        <v>0</v>
      </c>
    </row>
    <row r="113" spans="1:13" s="96" customFormat="1" ht="45" x14ac:dyDescent="0.25">
      <c r="A113" s="2283" t="s">
        <v>1184</v>
      </c>
      <c r="B113" s="2286" t="s">
        <v>1021</v>
      </c>
      <c r="C113" s="4" t="s">
        <v>1072</v>
      </c>
      <c r="D113" s="73"/>
      <c r="E113" s="73"/>
      <c r="F113" s="112">
        <v>27128000</v>
      </c>
      <c r="G113" s="73"/>
      <c r="H113" s="73"/>
      <c r="I113" s="73"/>
      <c r="J113" s="73"/>
      <c r="K113" s="3">
        <f t="shared" si="4"/>
        <v>27128000</v>
      </c>
      <c r="L113" s="27">
        <v>27128000</v>
      </c>
      <c r="M113" s="23">
        <f>K113-L113</f>
        <v>0</v>
      </c>
    </row>
    <row r="114" spans="1:13" ht="60" x14ac:dyDescent="0.25">
      <c r="A114" s="2284"/>
      <c r="B114" s="2287"/>
      <c r="C114" s="4" t="s">
        <v>494</v>
      </c>
      <c r="D114" s="73"/>
      <c r="E114" s="73"/>
      <c r="F114" s="112">
        <v>26425000</v>
      </c>
      <c r="G114" s="73"/>
      <c r="H114" s="73"/>
      <c r="I114" s="73"/>
      <c r="J114" s="73"/>
      <c r="K114" s="3">
        <f t="shared" si="4"/>
        <v>26425000</v>
      </c>
      <c r="L114" s="27">
        <v>26425000</v>
      </c>
      <c r="M114" s="23">
        <f>K114-L114</f>
        <v>0</v>
      </c>
    </row>
    <row r="115" spans="1:13" s="96" customFormat="1" ht="59.25" customHeight="1" x14ac:dyDescent="0.25">
      <c r="A115" s="2284"/>
      <c r="B115" s="2287"/>
      <c r="C115" s="4" t="s">
        <v>1029</v>
      </c>
      <c r="D115" s="73"/>
      <c r="E115" s="73"/>
      <c r="F115" s="73"/>
      <c r="G115" s="27">
        <v>20715000</v>
      </c>
      <c r="H115" s="73"/>
      <c r="I115" s="73"/>
      <c r="J115" s="73"/>
      <c r="K115" s="3">
        <f t="shared" si="4"/>
        <v>20715000</v>
      </c>
      <c r="L115" s="27">
        <v>20715000</v>
      </c>
      <c r="M115" s="23">
        <f t="shared" ref="M115:M125" si="6">K115-L115</f>
        <v>0</v>
      </c>
    </row>
    <row r="116" spans="1:13" ht="42.75" customHeight="1" x14ac:dyDescent="0.25">
      <c r="A116" s="2284"/>
      <c r="B116" s="2287"/>
      <c r="C116" s="4" t="s">
        <v>1089</v>
      </c>
      <c r="D116" s="73"/>
      <c r="E116" s="27">
        <v>51210000</v>
      </c>
      <c r="F116" s="73"/>
      <c r="G116" s="73"/>
      <c r="H116" s="73"/>
      <c r="I116" s="73"/>
      <c r="J116" s="73"/>
      <c r="K116" s="3">
        <f t="shared" si="4"/>
        <v>51210000</v>
      </c>
      <c r="L116" s="27">
        <v>51210000</v>
      </c>
      <c r="M116" s="23">
        <f t="shared" si="6"/>
        <v>0</v>
      </c>
    </row>
    <row r="117" spans="1:13" ht="63.75" customHeight="1" x14ac:dyDescent="0.25">
      <c r="A117" s="2284"/>
      <c r="B117" s="2287"/>
      <c r="C117" s="4" t="s">
        <v>414</v>
      </c>
      <c r="D117" s="73"/>
      <c r="E117" s="73"/>
      <c r="F117" s="73"/>
      <c r="G117" s="27">
        <v>1655000</v>
      </c>
      <c r="H117" s="73"/>
      <c r="I117" s="73"/>
      <c r="J117" s="73"/>
      <c r="K117" s="3">
        <f t="shared" si="4"/>
        <v>1655000</v>
      </c>
      <c r="L117" s="27">
        <v>1655000</v>
      </c>
      <c r="M117" s="23">
        <f t="shared" si="6"/>
        <v>0</v>
      </c>
    </row>
    <row r="118" spans="1:13" ht="45" x14ac:dyDescent="0.25">
      <c r="A118" s="2284"/>
      <c r="B118" s="2287"/>
      <c r="C118" s="4" t="s">
        <v>427</v>
      </c>
      <c r="D118" s="73"/>
      <c r="E118" s="73"/>
      <c r="F118" s="73"/>
      <c r="G118" s="112">
        <v>1235000</v>
      </c>
      <c r="H118" s="73"/>
      <c r="I118" s="73"/>
      <c r="J118" s="73"/>
      <c r="K118" s="3">
        <f t="shared" si="4"/>
        <v>1235000</v>
      </c>
      <c r="L118" s="27">
        <v>1235000</v>
      </c>
      <c r="M118" s="23">
        <f t="shared" si="6"/>
        <v>0</v>
      </c>
    </row>
    <row r="119" spans="1:13" ht="33.75" customHeight="1" x14ac:dyDescent="0.25">
      <c r="A119" s="2284"/>
      <c r="B119" s="2287"/>
      <c r="C119" s="4" t="s">
        <v>461</v>
      </c>
      <c r="D119" s="73"/>
      <c r="E119" s="73"/>
      <c r="F119" s="112">
        <v>43110000</v>
      </c>
      <c r="G119" s="73"/>
      <c r="H119" s="73"/>
      <c r="I119" s="73"/>
      <c r="J119" s="73"/>
      <c r="K119" s="3">
        <f t="shared" si="4"/>
        <v>43110000</v>
      </c>
      <c r="L119" s="27">
        <v>43110000</v>
      </c>
      <c r="M119" s="23">
        <f t="shared" si="6"/>
        <v>0</v>
      </c>
    </row>
    <row r="120" spans="1:13" ht="54" customHeight="1" x14ac:dyDescent="0.25">
      <c r="A120" s="2284"/>
      <c r="B120" s="2287"/>
      <c r="C120" s="4" t="s">
        <v>431</v>
      </c>
      <c r="D120" s="73"/>
      <c r="E120" s="73"/>
      <c r="F120" s="112">
        <v>19120000</v>
      </c>
      <c r="G120" s="73"/>
      <c r="H120" s="73"/>
      <c r="I120" s="73"/>
      <c r="J120" s="73"/>
      <c r="K120" s="3">
        <f t="shared" si="4"/>
        <v>19120000</v>
      </c>
      <c r="L120" s="27">
        <v>19120000</v>
      </c>
      <c r="M120" s="23">
        <f t="shared" si="6"/>
        <v>0</v>
      </c>
    </row>
    <row r="121" spans="1:13" ht="66.75" customHeight="1" x14ac:dyDescent="0.25">
      <c r="A121" s="2284"/>
      <c r="B121" s="2287"/>
      <c r="C121" s="4" t="s">
        <v>1171</v>
      </c>
      <c r="D121" s="73"/>
      <c r="E121" s="73"/>
      <c r="F121" s="73"/>
      <c r="G121" s="112">
        <v>4090000</v>
      </c>
      <c r="H121" s="73"/>
      <c r="I121" s="73"/>
      <c r="J121" s="73"/>
      <c r="K121" s="3">
        <f t="shared" si="4"/>
        <v>4090000</v>
      </c>
      <c r="L121" s="27">
        <v>4090000</v>
      </c>
      <c r="M121" s="23">
        <f t="shared" si="6"/>
        <v>0</v>
      </c>
    </row>
    <row r="122" spans="1:13" ht="61.5" customHeight="1" x14ac:dyDescent="0.25">
      <c r="A122" s="2284"/>
      <c r="B122" s="2287"/>
      <c r="C122" s="4" t="s">
        <v>1073</v>
      </c>
      <c r="D122" s="73"/>
      <c r="E122" s="73"/>
      <c r="F122" s="73"/>
      <c r="G122" s="112">
        <v>11080000</v>
      </c>
      <c r="H122" s="73"/>
      <c r="I122" s="73"/>
      <c r="J122" s="73"/>
      <c r="K122" s="3">
        <f t="shared" si="4"/>
        <v>11080000</v>
      </c>
      <c r="L122" s="27">
        <v>11080000</v>
      </c>
      <c r="M122" s="23">
        <f t="shared" si="6"/>
        <v>0</v>
      </c>
    </row>
    <row r="123" spans="1:13" ht="30" x14ac:dyDescent="0.25">
      <c r="A123" s="2284"/>
      <c r="B123" s="2287"/>
      <c r="C123" s="4" t="s">
        <v>1113</v>
      </c>
      <c r="D123" s="73"/>
      <c r="E123" s="73"/>
      <c r="F123" s="73"/>
      <c r="G123" s="112">
        <v>9792000</v>
      </c>
      <c r="H123" s="73"/>
      <c r="I123" s="73"/>
      <c r="J123" s="73"/>
      <c r="K123" s="3">
        <f t="shared" si="4"/>
        <v>9792000</v>
      </c>
      <c r="L123" s="27">
        <v>9792000</v>
      </c>
      <c r="M123" s="23">
        <f t="shared" si="6"/>
        <v>0</v>
      </c>
    </row>
    <row r="124" spans="1:13" ht="30" x14ac:dyDescent="0.25">
      <c r="A124" s="2284"/>
      <c r="B124" s="2287"/>
      <c r="C124" s="4" t="s">
        <v>1112</v>
      </c>
      <c r="D124" s="73"/>
      <c r="E124" s="73"/>
      <c r="F124" s="27">
        <v>30000000</v>
      </c>
      <c r="G124" s="73"/>
      <c r="H124" s="73"/>
      <c r="I124" s="73"/>
      <c r="J124" s="73"/>
      <c r="K124" s="3">
        <f t="shared" si="4"/>
        <v>30000000</v>
      </c>
      <c r="L124" s="27">
        <v>30000000</v>
      </c>
      <c r="M124" s="23">
        <f t="shared" si="6"/>
        <v>0</v>
      </c>
    </row>
    <row r="125" spans="1:13" ht="75" x14ac:dyDescent="0.25">
      <c r="A125" s="2284"/>
      <c r="B125" s="2287"/>
      <c r="C125" s="4" t="s">
        <v>468</v>
      </c>
      <c r="D125" s="73"/>
      <c r="E125" s="73"/>
      <c r="F125" s="73"/>
      <c r="G125" s="112">
        <v>1205000</v>
      </c>
      <c r="H125" s="73"/>
      <c r="I125" s="73"/>
      <c r="J125" s="73"/>
      <c r="K125" s="3">
        <f t="shared" si="4"/>
        <v>1205000</v>
      </c>
      <c r="L125" s="27">
        <v>1205000</v>
      </c>
      <c r="M125" s="23">
        <f t="shared" si="6"/>
        <v>0</v>
      </c>
    </row>
    <row r="126" spans="1:13" ht="52.5" customHeight="1" x14ac:dyDescent="0.25">
      <c r="A126" s="2285"/>
      <c r="B126" s="2288"/>
      <c r="C126" s="4" t="e">
        <f>#REF!</f>
        <v>#REF!</v>
      </c>
      <c r="D126" s="73"/>
      <c r="E126" s="73" t="e">
        <f>#REF!</f>
        <v>#REF!</v>
      </c>
      <c r="F126" s="73"/>
      <c r="G126" s="112"/>
      <c r="H126" s="73"/>
      <c r="I126" s="73"/>
      <c r="J126" s="73"/>
      <c r="K126" s="3"/>
      <c r="L126" s="27"/>
      <c r="M126" s="23"/>
    </row>
    <row r="127" spans="1:13" s="77" customFormat="1" ht="36" customHeight="1" x14ac:dyDescent="0.25">
      <c r="A127" s="2246" t="s">
        <v>1215</v>
      </c>
      <c r="B127" s="2246"/>
      <c r="C127" s="2246"/>
      <c r="D127" s="110">
        <f>SUM(D13:D125)</f>
        <v>142345740.5</v>
      </c>
      <c r="E127" s="110" t="e">
        <f>SUM(E13:E126)</f>
        <v>#REF!</v>
      </c>
      <c r="F127" s="110">
        <f t="shared" ref="F127:J127" si="7">SUM(F13:F125)</f>
        <v>3878246119</v>
      </c>
      <c r="G127" s="110" t="e">
        <f t="shared" si="7"/>
        <v>#REF!</v>
      </c>
      <c r="H127" s="110">
        <f t="shared" si="7"/>
        <v>150000000</v>
      </c>
      <c r="I127" s="110">
        <f t="shared" si="7"/>
        <v>303000000</v>
      </c>
      <c r="J127" s="110">
        <f t="shared" si="7"/>
        <v>72000</v>
      </c>
      <c r="K127" s="111" t="e">
        <f>SUM(D127:J127)</f>
        <v>#REF!</v>
      </c>
      <c r="L127" s="6"/>
    </row>
    <row r="128" spans="1:13" ht="15.75" x14ac:dyDescent="0.25">
      <c r="C128" s="32" t="s">
        <v>515</v>
      </c>
      <c r="D128" s="101" t="e">
        <f>#REF!</f>
        <v>#REF!</v>
      </c>
      <c r="E128" s="3"/>
      <c r="F128" s="3"/>
      <c r="G128" s="3"/>
      <c r="H128" s="3"/>
      <c r="I128" s="3"/>
      <c r="J128" s="3"/>
      <c r="K128" s="3" t="e">
        <f>SUM(D128:J128)</f>
        <v>#REF!</v>
      </c>
      <c r="L128" s="102"/>
      <c r="M128" s="102"/>
    </row>
    <row r="129" spans="1:12" ht="15.75" x14ac:dyDescent="0.25">
      <c r="A129" s="7"/>
      <c r="B129" s="7"/>
      <c r="C129" s="7"/>
      <c r="D129" s="103"/>
      <c r="E129" s="103"/>
      <c r="F129" s="103"/>
      <c r="G129" s="103"/>
      <c r="H129" s="103"/>
      <c r="I129" s="103"/>
      <c r="J129" s="103"/>
      <c r="K129" s="71"/>
    </row>
    <row r="130" spans="1:12" ht="15.75" x14ac:dyDescent="0.25">
      <c r="A130" s="7"/>
      <c r="B130" s="7"/>
      <c r="C130" s="7"/>
      <c r="D130" s="100"/>
      <c r="E130" s="103"/>
      <c r="F130" s="104"/>
      <c r="G130" s="103"/>
      <c r="H130" s="71"/>
      <c r="I130" s="71"/>
      <c r="J130" s="71"/>
      <c r="K130" s="71"/>
      <c r="L130" s="7"/>
    </row>
    <row r="131" spans="1:12" ht="15.75" x14ac:dyDescent="0.25">
      <c r="A131" s="7"/>
      <c r="B131" s="7"/>
      <c r="C131" s="7"/>
      <c r="D131" s="71"/>
      <c r="E131" s="103"/>
      <c r="F131" s="104"/>
      <c r="G131" s="103"/>
      <c r="H131" s="71"/>
      <c r="I131" s="71"/>
      <c r="J131" s="71"/>
      <c r="K131" s="71"/>
      <c r="L131" s="7"/>
    </row>
    <row r="132" spans="1:12" ht="15.75" x14ac:dyDescent="0.25">
      <c r="A132" s="7"/>
      <c r="B132" s="7"/>
      <c r="C132" s="7"/>
      <c r="D132" s="71"/>
      <c r="E132" s="71"/>
      <c r="F132" s="71"/>
      <c r="G132" s="71"/>
      <c r="H132" s="71" t="s">
        <v>1216</v>
      </c>
      <c r="I132" s="71"/>
      <c r="J132" s="71"/>
      <c r="K132" s="71"/>
      <c r="L132" s="7"/>
    </row>
    <row r="133" spans="1:12" ht="15.75" x14ac:dyDescent="0.25">
      <c r="A133" s="7"/>
      <c r="B133" s="1909" t="s">
        <v>1151</v>
      </c>
      <c r="C133" s="1909"/>
      <c r="D133" s="1909"/>
      <c r="E133" s="71"/>
      <c r="F133" s="71"/>
      <c r="G133" s="71"/>
      <c r="H133" s="71" t="s">
        <v>1023</v>
      </c>
      <c r="I133" s="71"/>
      <c r="J133" s="71"/>
      <c r="K133" s="71"/>
      <c r="L133" s="7"/>
    </row>
    <row r="134" spans="1:12" ht="15.75" x14ac:dyDescent="0.25">
      <c r="A134" s="7"/>
      <c r="B134" s="1909" t="s">
        <v>1219</v>
      </c>
      <c r="C134" s="1909"/>
      <c r="D134" s="1909"/>
      <c r="E134" s="71"/>
      <c r="F134" s="71"/>
      <c r="G134" s="71"/>
      <c r="H134" s="71" t="s">
        <v>1217</v>
      </c>
      <c r="I134" s="71"/>
      <c r="J134" s="71"/>
      <c r="K134" s="71"/>
      <c r="L134" s="7"/>
    </row>
    <row r="135" spans="1:12" ht="15.75" x14ac:dyDescent="0.25">
      <c r="A135" s="7"/>
      <c r="B135" s="7"/>
      <c r="C135" s="7"/>
      <c r="D135" s="71"/>
      <c r="E135" s="71"/>
      <c r="F135" s="71"/>
      <c r="G135" s="71"/>
      <c r="H135" s="71"/>
      <c r="I135" s="71"/>
      <c r="J135" s="71"/>
      <c r="K135" s="71"/>
      <c r="L135" s="7"/>
    </row>
    <row r="136" spans="1:12" ht="15.75" x14ac:dyDescent="0.25">
      <c r="A136" s="7"/>
      <c r="B136" s="7"/>
      <c r="C136" s="7"/>
      <c r="D136" s="71"/>
      <c r="E136" s="71"/>
      <c r="F136" s="71"/>
      <c r="G136" s="71"/>
      <c r="H136" s="71"/>
      <c r="I136" s="71"/>
      <c r="J136" s="71"/>
      <c r="K136" s="71"/>
      <c r="L136" s="7"/>
    </row>
    <row r="137" spans="1:12" ht="16.5" x14ac:dyDescent="0.3">
      <c r="A137" s="7"/>
      <c r="B137" s="7"/>
      <c r="C137" s="7"/>
      <c r="D137" s="71"/>
      <c r="E137" s="71"/>
      <c r="F137" s="109"/>
      <c r="G137" s="71"/>
      <c r="H137" s="71"/>
      <c r="I137" s="71"/>
      <c r="J137" s="71"/>
      <c r="K137" s="71"/>
      <c r="L137" s="7"/>
    </row>
    <row r="138" spans="1:12" ht="15.75" x14ac:dyDescent="0.25">
      <c r="A138" s="7"/>
      <c r="B138" s="1909" t="s">
        <v>1024</v>
      </c>
      <c r="C138" s="1909"/>
      <c r="D138" s="1909"/>
      <c r="E138" s="71"/>
      <c r="F138" s="71"/>
      <c r="G138" s="71"/>
      <c r="H138" s="71" t="s">
        <v>1025</v>
      </c>
      <c r="I138" s="71"/>
      <c r="J138" s="71"/>
      <c r="K138" s="71"/>
      <c r="L138" s="7"/>
    </row>
    <row r="140" spans="1:12" x14ac:dyDescent="0.25">
      <c r="H140" s="3"/>
    </row>
    <row r="141" spans="1:12" x14ac:dyDescent="0.25">
      <c r="H141" s="3"/>
    </row>
  </sheetData>
  <mergeCells count="24">
    <mergeCell ref="B44:B85"/>
    <mergeCell ref="A44:A85"/>
    <mergeCell ref="B13:B43"/>
    <mergeCell ref="A13:A43"/>
    <mergeCell ref="B86:B112"/>
    <mergeCell ref="A86:A112"/>
    <mergeCell ref="A1:J1"/>
    <mergeCell ref="A2:J2"/>
    <mergeCell ref="A9:A11"/>
    <mergeCell ref="B9:B11"/>
    <mergeCell ref="C9:C11"/>
    <mergeCell ref="D9:J9"/>
    <mergeCell ref="D10:D11"/>
    <mergeCell ref="E10:E11"/>
    <mergeCell ref="F10:F11"/>
    <mergeCell ref="G10:G11"/>
    <mergeCell ref="H10:I10"/>
    <mergeCell ref="J10:J11"/>
    <mergeCell ref="B134:D134"/>
    <mergeCell ref="B138:D138"/>
    <mergeCell ref="A127:C127"/>
    <mergeCell ref="B133:D133"/>
    <mergeCell ref="A113:A126"/>
    <mergeCell ref="B113:B126"/>
  </mergeCells>
  <pageMargins left="0.7" right="0.7" top="0.75" bottom="0.75" header="0.3" footer="0.3"/>
  <pageSetup paperSize="9" scale="60"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400"/>
  <sheetViews>
    <sheetView topLeftCell="A60" zoomScale="73" zoomScaleNormal="73" workbookViewId="0">
      <selection activeCell="L14" sqref="L14"/>
    </sheetView>
  </sheetViews>
  <sheetFormatPr defaultRowHeight="15" x14ac:dyDescent="0.25"/>
  <cols>
    <col min="1" max="1" width="26.5703125" customWidth="1"/>
    <col min="2" max="2" width="6.140625" customWidth="1"/>
    <col min="3" max="3" width="21.7109375" customWidth="1"/>
    <col min="4" max="4" width="20.7109375" customWidth="1"/>
    <col min="5" max="5" width="11.5703125" customWidth="1"/>
    <col min="6" max="6" width="17.7109375" customWidth="1"/>
    <col min="7" max="7" width="10" customWidth="1"/>
    <col min="8" max="8" width="10.42578125" customWidth="1"/>
    <col min="9" max="9" width="10" customWidth="1"/>
    <col min="10" max="10" width="10.5703125" customWidth="1"/>
    <col min="11" max="11" width="10.28515625" customWidth="1"/>
    <col min="12" max="12" width="15.42578125" bestFit="1" customWidth="1"/>
    <col min="13" max="13" width="10.28515625" bestFit="1" customWidth="1"/>
  </cols>
  <sheetData>
    <row r="1" spans="1:9" s="34" customFormat="1" ht="18.75" x14ac:dyDescent="0.3">
      <c r="A1" s="2289" t="s">
        <v>1122</v>
      </c>
      <c r="B1" s="2289"/>
      <c r="C1" s="2289"/>
      <c r="D1" s="2289"/>
      <c r="E1" s="2289"/>
      <c r="F1" s="2289"/>
      <c r="G1" s="2289"/>
      <c r="H1" s="2289"/>
      <c r="I1" s="2289"/>
    </row>
    <row r="2" spans="1:9" s="34" customFormat="1" ht="18.75" x14ac:dyDescent="0.3">
      <c r="A2" s="2289" t="s">
        <v>1063</v>
      </c>
      <c r="B2" s="2289"/>
      <c r="C2" s="2289"/>
      <c r="D2" s="2289"/>
      <c r="E2" s="2289"/>
      <c r="F2" s="2289"/>
      <c r="G2" s="2289"/>
      <c r="H2" s="2289"/>
      <c r="I2" s="2289"/>
    </row>
    <row r="3" spans="1:9" s="7" customFormat="1" ht="21.75" customHeight="1" x14ac:dyDescent="0.25">
      <c r="B3" s="6"/>
      <c r="C3" s="6"/>
    </row>
    <row r="4" spans="1:9" s="7" customFormat="1" ht="15.75" x14ac:dyDescent="0.25">
      <c r="A4" s="35" t="s">
        <v>977</v>
      </c>
      <c r="B4" s="78" t="s">
        <v>978</v>
      </c>
      <c r="C4" s="79"/>
    </row>
    <row r="5" spans="1:9" s="7" customFormat="1" ht="15.75" x14ac:dyDescent="0.25">
      <c r="A5" s="35" t="s">
        <v>979</v>
      </c>
      <c r="B5" s="78" t="s">
        <v>980</v>
      </c>
      <c r="C5" s="79"/>
    </row>
    <row r="6" spans="1:9" s="7" customFormat="1" ht="15.75" x14ac:dyDescent="0.25">
      <c r="A6" s="35" t="s">
        <v>981</v>
      </c>
      <c r="B6" s="78" t="s">
        <v>982</v>
      </c>
      <c r="C6" s="79"/>
    </row>
    <row r="7" spans="1:9" s="7" customFormat="1" ht="15.75" x14ac:dyDescent="0.25">
      <c r="A7" s="35" t="s">
        <v>983</v>
      </c>
      <c r="B7" s="78" t="s">
        <v>984</v>
      </c>
      <c r="C7" s="79"/>
    </row>
    <row r="8" spans="1:9" x14ac:dyDescent="0.25">
      <c r="B8" s="77"/>
      <c r="C8" s="77"/>
    </row>
    <row r="9" spans="1:9" ht="15.75" customHeight="1" x14ac:dyDescent="0.25">
      <c r="A9" s="2306" t="s">
        <v>1123</v>
      </c>
      <c r="B9" s="2308" t="s">
        <v>951</v>
      </c>
      <c r="C9" s="2310" t="s">
        <v>1124</v>
      </c>
      <c r="D9" s="2310" t="s">
        <v>1125</v>
      </c>
      <c r="E9" s="2312" t="s">
        <v>1126</v>
      </c>
      <c r="F9" s="2312" t="s">
        <v>1127</v>
      </c>
      <c r="G9" s="2314" t="s">
        <v>990</v>
      </c>
      <c r="H9" s="2315"/>
      <c r="I9" s="2316"/>
    </row>
    <row r="10" spans="1:9" ht="42.75" customHeight="1" x14ac:dyDescent="0.25">
      <c r="A10" s="2307"/>
      <c r="B10" s="2309"/>
      <c r="C10" s="2311"/>
      <c r="D10" s="2311"/>
      <c r="E10" s="2313"/>
      <c r="F10" s="2313"/>
      <c r="G10" s="28" t="s">
        <v>1083</v>
      </c>
      <c r="H10" s="28" t="s">
        <v>1084</v>
      </c>
      <c r="I10" s="28" t="s">
        <v>1085</v>
      </c>
    </row>
    <row r="11" spans="1:9" x14ac:dyDescent="0.25">
      <c r="A11" s="28" t="s">
        <v>998</v>
      </c>
      <c r="B11" s="28" t="s">
        <v>999</v>
      </c>
      <c r="C11" s="28" t="s">
        <v>1000</v>
      </c>
      <c r="D11" s="28" t="s">
        <v>1001</v>
      </c>
      <c r="E11" s="28" t="s">
        <v>1002</v>
      </c>
      <c r="F11" s="28" t="s">
        <v>1003</v>
      </c>
      <c r="G11" s="28" t="s">
        <v>1004</v>
      </c>
      <c r="H11" s="28" t="s">
        <v>1005</v>
      </c>
      <c r="I11" s="28" t="s">
        <v>1006</v>
      </c>
    </row>
    <row r="12" spans="1:9" ht="63" x14ac:dyDescent="0.25">
      <c r="A12" s="80" t="s">
        <v>1128</v>
      </c>
      <c r="B12" s="25">
        <v>1</v>
      </c>
      <c r="C12" s="81" t="s">
        <v>8</v>
      </c>
      <c r="D12" s="30" t="s">
        <v>1129</v>
      </c>
      <c r="E12" s="16" t="s">
        <v>1012</v>
      </c>
      <c r="F12" s="18" t="s">
        <v>1013</v>
      </c>
      <c r="G12" s="10">
        <v>1</v>
      </c>
      <c r="H12" s="10"/>
      <c r="I12" s="10"/>
    </row>
    <row r="13" spans="1:9" ht="63" x14ac:dyDescent="0.25">
      <c r="A13" s="84"/>
      <c r="B13" s="25">
        <v>2</v>
      </c>
      <c r="C13" s="81" t="s">
        <v>36</v>
      </c>
      <c r="D13" s="30" t="s">
        <v>1129</v>
      </c>
      <c r="E13" s="16" t="s">
        <v>1012</v>
      </c>
      <c r="F13" s="18" t="s">
        <v>1013</v>
      </c>
      <c r="G13" s="10">
        <v>12</v>
      </c>
      <c r="H13" s="10">
        <v>3</v>
      </c>
      <c r="I13" s="10"/>
    </row>
    <row r="14" spans="1:9" ht="75" x14ac:dyDescent="0.25">
      <c r="A14" s="84"/>
      <c r="B14" s="25">
        <v>3</v>
      </c>
      <c r="C14" s="81" t="s">
        <v>58</v>
      </c>
      <c r="D14" s="30" t="s">
        <v>1129</v>
      </c>
      <c r="E14" s="16" t="s">
        <v>1012</v>
      </c>
      <c r="F14" s="18" t="s">
        <v>1013</v>
      </c>
      <c r="G14" s="10">
        <v>13</v>
      </c>
      <c r="H14" s="10">
        <v>3</v>
      </c>
      <c r="I14" s="10"/>
    </row>
    <row r="15" spans="1:9" ht="63" x14ac:dyDescent="0.25">
      <c r="A15" s="84"/>
      <c r="B15" s="25">
        <v>4</v>
      </c>
      <c r="C15" s="81" t="s">
        <v>80</v>
      </c>
      <c r="D15" s="30" t="s">
        <v>1129</v>
      </c>
      <c r="E15" s="16" t="s">
        <v>1012</v>
      </c>
      <c r="F15" s="18" t="s">
        <v>1013</v>
      </c>
      <c r="G15" s="10">
        <v>3.5179999999999998</v>
      </c>
      <c r="H15" s="10">
        <v>3.3730000000000002</v>
      </c>
      <c r="I15" s="10"/>
    </row>
    <row r="16" spans="1:9" ht="75" x14ac:dyDescent="0.25">
      <c r="A16" s="84"/>
      <c r="B16" s="25">
        <v>5</v>
      </c>
      <c r="C16" s="81" t="s">
        <v>446</v>
      </c>
      <c r="D16" s="30" t="s">
        <v>1129</v>
      </c>
      <c r="E16" s="16" t="s">
        <v>1012</v>
      </c>
      <c r="F16" s="18" t="s">
        <v>1013</v>
      </c>
      <c r="G16" s="10">
        <v>20</v>
      </c>
      <c r="H16" s="10">
        <v>9</v>
      </c>
      <c r="I16" s="10"/>
    </row>
    <row r="17" spans="1:9" ht="63" x14ac:dyDescent="0.25">
      <c r="A17" s="84"/>
      <c r="B17" s="25">
        <v>6</v>
      </c>
      <c r="C17" s="81" t="s">
        <v>238</v>
      </c>
      <c r="D17" s="30" t="s">
        <v>1153</v>
      </c>
      <c r="E17" s="16" t="s">
        <v>1012</v>
      </c>
      <c r="F17" s="18" t="s">
        <v>1013</v>
      </c>
      <c r="G17" s="10">
        <v>8</v>
      </c>
      <c r="H17" s="10">
        <v>1</v>
      </c>
      <c r="I17" s="10"/>
    </row>
    <row r="18" spans="1:9" ht="63" x14ac:dyDescent="0.25">
      <c r="A18" s="84"/>
      <c r="B18" s="25">
        <v>7</v>
      </c>
      <c r="C18" s="81" t="s">
        <v>254</v>
      </c>
      <c r="D18" s="30" t="s">
        <v>1153</v>
      </c>
      <c r="E18" s="16" t="s">
        <v>1012</v>
      </c>
      <c r="F18" s="18" t="s">
        <v>1039</v>
      </c>
      <c r="G18" s="10">
        <v>8</v>
      </c>
      <c r="H18" s="10">
        <v>1</v>
      </c>
      <c r="I18" s="10"/>
    </row>
    <row r="19" spans="1:9" ht="63" x14ac:dyDescent="0.25">
      <c r="A19" s="84"/>
      <c r="B19" s="25">
        <v>8</v>
      </c>
      <c r="C19" s="81" t="s">
        <v>276</v>
      </c>
      <c r="D19" s="30" t="s">
        <v>1129</v>
      </c>
      <c r="E19" s="16" t="s">
        <v>1012</v>
      </c>
      <c r="F19" s="18" t="s">
        <v>1040</v>
      </c>
      <c r="G19" s="10">
        <v>3.5179999999999998</v>
      </c>
      <c r="H19" s="10">
        <v>3.3730000000000002</v>
      </c>
      <c r="I19" s="10"/>
    </row>
    <row r="20" spans="1:9" ht="63" x14ac:dyDescent="0.25">
      <c r="A20" s="84"/>
      <c r="B20" s="25">
        <v>9</v>
      </c>
      <c r="C20" s="81" t="s">
        <v>291</v>
      </c>
      <c r="D20" s="30" t="s">
        <v>1129</v>
      </c>
      <c r="E20" s="16" t="s">
        <v>1012</v>
      </c>
      <c r="F20" s="18" t="s">
        <v>1041</v>
      </c>
      <c r="G20" s="10">
        <v>9</v>
      </c>
      <c r="H20" s="10">
        <v>4</v>
      </c>
      <c r="I20" s="10"/>
    </row>
    <row r="21" spans="1:9" ht="59.25" customHeight="1" x14ac:dyDescent="0.25">
      <c r="A21" s="84"/>
      <c r="B21" s="25">
        <v>10</v>
      </c>
      <c r="C21" s="81" t="s">
        <v>1173</v>
      </c>
      <c r="D21" s="30" t="s">
        <v>1129</v>
      </c>
      <c r="E21" s="16" t="s">
        <v>1012</v>
      </c>
      <c r="F21" s="18" t="s">
        <v>1042</v>
      </c>
      <c r="G21" s="10">
        <v>3.5179999999999998</v>
      </c>
      <c r="H21" s="10">
        <v>3.3730000000000002</v>
      </c>
      <c r="I21" s="10"/>
    </row>
    <row r="22" spans="1:9" ht="63" x14ac:dyDescent="0.25">
      <c r="A22" s="84"/>
      <c r="B22" s="25">
        <v>11</v>
      </c>
      <c r="C22" s="81" t="s">
        <v>452</v>
      </c>
      <c r="D22" s="30" t="s">
        <v>1129</v>
      </c>
      <c r="E22" s="16" t="s">
        <v>1012</v>
      </c>
      <c r="F22" s="18" t="s">
        <v>1013</v>
      </c>
      <c r="G22" s="10">
        <v>3.5179999999999998</v>
      </c>
      <c r="H22" s="10">
        <v>3.3730000000000002</v>
      </c>
      <c r="I22" s="10"/>
    </row>
    <row r="23" spans="1:9" ht="63" x14ac:dyDescent="0.25">
      <c r="A23" s="84"/>
      <c r="B23" s="25">
        <v>12</v>
      </c>
      <c r="C23" s="81" t="s">
        <v>457</v>
      </c>
      <c r="D23" s="30" t="s">
        <v>1129</v>
      </c>
      <c r="E23" s="16" t="s">
        <v>1012</v>
      </c>
      <c r="F23" s="18" t="s">
        <v>1013</v>
      </c>
      <c r="G23" s="10">
        <v>20</v>
      </c>
      <c r="H23" s="10">
        <v>8</v>
      </c>
      <c r="I23" s="10"/>
    </row>
    <row r="24" spans="1:9" ht="63" x14ac:dyDescent="0.25">
      <c r="A24" s="84"/>
      <c r="B24" s="25">
        <v>13</v>
      </c>
      <c r="C24" s="81" t="s">
        <v>506</v>
      </c>
      <c r="D24" s="30" t="s">
        <v>1129</v>
      </c>
      <c r="E24" s="16" t="s">
        <v>1012</v>
      </c>
      <c r="F24" s="18" t="s">
        <v>1013</v>
      </c>
      <c r="G24" s="10">
        <v>1</v>
      </c>
      <c r="H24" s="10"/>
      <c r="I24" s="10"/>
    </row>
    <row r="25" spans="1:9" ht="63" x14ac:dyDescent="0.25">
      <c r="A25" s="84"/>
      <c r="B25" s="25">
        <v>14</v>
      </c>
      <c r="C25" s="81" t="s">
        <v>394</v>
      </c>
      <c r="D25" s="30" t="s">
        <v>1129</v>
      </c>
      <c r="E25" s="16" t="s">
        <v>1012</v>
      </c>
      <c r="F25" s="18" t="s">
        <v>1042</v>
      </c>
      <c r="G25" s="10">
        <v>20</v>
      </c>
      <c r="H25" s="10">
        <v>8</v>
      </c>
      <c r="I25" s="10"/>
    </row>
    <row r="26" spans="1:9" ht="63" x14ac:dyDescent="0.25">
      <c r="A26" s="84"/>
      <c r="B26" s="25">
        <v>15</v>
      </c>
      <c r="C26" s="81" t="s">
        <v>511</v>
      </c>
      <c r="D26" s="30" t="s">
        <v>1129</v>
      </c>
      <c r="E26" s="16" t="s">
        <v>1012</v>
      </c>
      <c r="F26" s="18" t="s">
        <v>1043</v>
      </c>
      <c r="G26" s="10">
        <v>3.5179999999999998</v>
      </c>
      <c r="H26" s="10">
        <v>3.3730000000000002</v>
      </c>
      <c r="I26" s="10"/>
    </row>
    <row r="27" spans="1:9" ht="66" customHeight="1" x14ac:dyDescent="0.25">
      <c r="A27" s="84"/>
      <c r="B27" s="25">
        <v>16</v>
      </c>
      <c r="C27" s="81" t="s">
        <v>518</v>
      </c>
      <c r="D27" s="30" t="s">
        <v>1129</v>
      </c>
      <c r="E27" s="16" t="s">
        <v>1012</v>
      </c>
      <c r="F27" s="18" t="s">
        <v>1043</v>
      </c>
      <c r="G27" s="10">
        <v>3.5179999999999998</v>
      </c>
      <c r="H27" s="10">
        <v>3.3730000000000002</v>
      </c>
      <c r="I27" s="10"/>
    </row>
    <row r="28" spans="1:9" ht="69" customHeight="1" x14ac:dyDescent="0.25">
      <c r="A28" s="84"/>
      <c r="B28" s="25">
        <v>17</v>
      </c>
      <c r="C28" s="81" t="s">
        <v>519</v>
      </c>
      <c r="D28" s="30" t="s">
        <v>1153</v>
      </c>
      <c r="E28" s="16" t="s">
        <v>1012</v>
      </c>
      <c r="F28" s="18" t="s">
        <v>1043</v>
      </c>
      <c r="G28" s="10">
        <v>3.5179999999999998</v>
      </c>
      <c r="H28" s="10">
        <v>3.3730000000000002</v>
      </c>
      <c r="I28" s="10"/>
    </row>
    <row r="29" spans="1:9" ht="111" customHeight="1" x14ac:dyDescent="0.25">
      <c r="A29" s="84"/>
      <c r="B29" s="25">
        <v>18</v>
      </c>
      <c r="C29" s="81" t="s">
        <v>520</v>
      </c>
      <c r="D29" s="30" t="s">
        <v>1129</v>
      </c>
      <c r="E29" s="16" t="s">
        <v>1012</v>
      </c>
      <c r="F29" s="18" t="s">
        <v>1043</v>
      </c>
      <c r="G29" s="10">
        <v>3.5179999999999998</v>
      </c>
      <c r="H29" s="10">
        <v>3.3730000000000002</v>
      </c>
      <c r="I29" s="10"/>
    </row>
    <row r="30" spans="1:9" ht="63" x14ac:dyDescent="0.25">
      <c r="A30" s="84"/>
      <c r="B30" s="25">
        <v>19</v>
      </c>
      <c r="C30" s="81" t="s">
        <v>521</v>
      </c>
      <c r="D30" s="30" t="s">
        <v>1129</v>
      </c>
      <c r="E30" s="16" t="s">
        <v>1012</v>
      </c>
      <c r="F30" s="18" t="s">
        <v>1043</v>
      </c>
      <c r="G30" s="10">
        <v>3.5179999999999998</v>
      </c>
      <c r="H30" s="10">
        <v>3.3730000000000002</v>
      </c>
      <c r="I30" s="10"/>
    </row>
    <row r="31" spans="1:9" ht="63" x14ac:dyDescent="0.25">
      <c r="A31" s="84"/>
      <c r="B31" s="25">
        <v>20</v>
      </c>
      <c r="C31" s="81" t="s">
        <v>1113</v>
      </c>
      <c r="D31" s="30" t="s">
        <v>1131</v>
      </c>
      <c r="E31" s="16" t="s">
        <v>1012</v>
      </c>
      <c r="F31" s="10" t="s">
        <v>1016</v>
      </c>
      <c r="G31" s="82">
        <v>5</v>
      </c>
      <c r="H31" s="82"/>
      <c r="I31" s="1"/>
    </row>
    <row r="32" spans="1:9" ht="63" x14ac:dyDescent="0.25">
      <c r="A32" s="84"/>
      <c r="B32" s="25">
        <v>21</v>
      </c>
      <c r="C32" s="81" t="s">
        <v>1112</v>
      </c>
      <c r="D32" s="30" t="s">
        <v>1130</v>
      </c>
      <c r="E32" s="16" t="s">
        <v>1012</v>
      </c>
      <c r="F32" s="10" t="s">
        <v>1016</v>
      </c>
      <c r="G32" s="82">
        <v>5</v>
      </c>
      <c r="H32" s="82">
        <v>3</v>
      </c>
      <c r="I32" s="1"/>
    </row>
    <row r="33" spans="1:9" ht="114" customHeight="1" x14ac:dyDescent="0.25">
      <c r="A33" s="84"/>
      <c r="B33" s="25">
        <v>22</v>
      </c>
      <c r="C33" s="81" t="s">
        <v>468</v>
      </c>
      <c r="D33" s="30" t="s">
        <v>1130</v>
      </c>
      <c r="E33" s="16" t="s">
        <v>1012</v>
      </c>
      <c r="F33" s="10" t="s">
        <v>1016</v>
      </c>
      <c r="G33" s="82">
        <v>5</v>
      </c>
      <c r="H33" s="82">
        <v>3</v>
      </c>
      <c r="I33" s="1"/>
    </row>
    <row r="34" spans="1:9" ht="114" customHeight="1" x14ac:dyDescent="0.25">
      <c r="A34" s="84"/>
      <c r="B34" s="25">
        <v>23</v>
      </c>
      <c r="C34" s="81" t="e">
        <f>#REF!</f>
        <v>#REF!</v>
      </c>
      <c r="D34" s="30" t="s">
        <v>1130</v>
      </c>
      <c r="E34" s="16" t="s">
        <v>1012</v>
      </c>
      <c r="F34" s="10" t="s">
        <v>250</v>
      </c>
      <c r="G34" s="82">
        <v>171</v>
      </c>
      <c r="H34" s="82"/>
      <c r="I34" s="1"/>
    </row>
    <row r="35" spans="1:9" x14ac:dyDescent="0.25">
      <c r="A35" s="80"/>
      <c r="B35" s="25"/>
      <c r="C35" s="81"/>
      <c r="D35" s="30"/>
      <c r="E35" s="31"/>
      <c r="F35" s="25"/>
      <c r="G35" s="82"/>
      <c r="H35" s="82"/>
      <c r="I35" s="1"/>
    </row>
    <row r="36" spans="1:9" ht="63" x14ac:dyDescent="0.25">
      <c r="A36" s="80" t="s">
        <v>1132</v>
      </c>
      <c r="B36" s="25">
        <v>1</v>
      </c>
      <c r="C36" s="81" t="s">
        <v>8</v>
      </c>
      <c r="D36" s="30" t="s">
        <v>1129</v>
      </c>
      <c r="E36" s="16" t="s">
        <v>1012</v>
      </c>
      <c r="F36" s="18" t="s">
        <v>1013</v>
      </c>
      <c r="G36" s="10">
        <v>1</v>
      </c>
      <c r="H36" s="10"/>
      <c r="I36" s="10"/>
    </row>
    <row r="37" spans="1:9" ht="63" x14ac:dyDescent="0.25">
      <c r="A37" s="89"/>
      <c r="B37" s="25">
        <v>2</v>
      </c>
      <c r="C37" s="81" t="s">
        <v>36</v>
      </c>
      <c r="D37" s="30" t="s">
        <v>1129</v>
      </c>
      <c r="E37" s="16" t="s">
        <v>1012</v>
      </c>
      <c r="F37" s="18" t="s">
        <v>1013</v>
      </c>
      <c r="G37" s="10">
        <v>12</v>
      </c>
      <c r="H37" s="10">
        <v>3</v>
      </c>
      <c r="I37" s="10"/>
    </row>
    <row r="38" spans="1:9" ht="75" x14ac:dyDescent="0.25">
      <c r="A38" s="89"/>
      <c r="B38" s="25">
        <v>3</v>
      </c>
      <c r="C38" s="81" t="s">
        <v>58</v>
      </c>
      <c r="D38" s="30" t="s">
        <v>1129</v>
      </c>
      <c r="E38" s="16" t="s">
        <v>1012</v>
      </c>
      <c r="F38" s="18" t="s">
        <v>1013</v>
      </c>
      <c r="G38" s="10">
        <v>13</v>
      </c>
      <c r="H38" s="10">
        <v>3</v>
      </c>
      <c r="I38" s="10"/>
    </row>
    <row r="39" spans="1:9" ht="63" x14ac:dyDescent="0.25">
      <c r="A39" s="89"/>
      <c r="B39" s="25">
        <v>4</v>
      </c>
      <c r="C39" s="81" t="s">
        <v>80</v>
      </c>
      <c r="D39" s="30" t="s">
        <v>1129</v>
      </c>
      <c r="E39" s="16" t="s">
        <v>1012</v>
      </c>
      <c r="F39" s="18" t="s">
        <v>1013</v>
      </c>
      <c r="G39" s="10">
        <v>3.5179999999999998</v>
      </c>
      <c r="H39" s="10">
        <v>3.3730000000000002</v>
      </c>
      <c r="I39" s="10"/>
    </row>
    <row r="40" spans="1:9" ht="75" x14ac:dyDescent="0.25">
      <c r="A40" s="89"/>
      <c r="B40" s="25">
        <v>5</v>
      </c>
      <c r="C40" s="81" t="s">
        <v>446</v>
      </c>
      <c r="D40" s="30" t="s">
        <v>1129</v>
      </c>
      <c r="E40" s="16" t="s">
        <v>1012</v>
      </c>
      <c r="F40" s="18" t="s">
        <v>1013</v>
      </c>
      <c r="G40" s="10">
        <v>20</v>
      </c>
      <c r="H40" s="10">
        <v>9</v>
      </c>
      <c r="I40" s="10"/>
    </row>
    <row r="41" spans="1:9" ht="63" x14ac:dyDescent="0.25">
      <c r="A41" s="89"/>
      <c r="B41" s="25">
        <v>6</v>
      </c>
      <c r="C41" s="81" t="s">
        <v>238</v>
      </c>
      <c r="D41" s="30" t="s">
        <v>1153</v>
      </c>
      <c r="E41" s="16" t="s">
        <v>1012</v>
      </c>
      <c r="F41" s="18" t="s">
        <v>1013</v>
      </c>
      <c r="G41" s="10">
        <v>8</v>
      </c>
      <c r="H41" s="10">
        <v>1</v>
      </c>
      <c r="I41" s="10"/>
    </row>
    <row r="42" spans="1:9" ht="63" x14ac:dyDescent="0.25">
      <c r="A42" s="89"/>
      <c r="B42" s="25">
        <v>7</v>
      </c>
      <c r="C42" s="81" t="s">
        <v>254</v>
      </c>
      <c r="D42" s="30" t="s">
        <v>1153</v>
      </c>
      <c r="E42" s="16" t="s">
        <v>1012</v>
      </c>
      <c r="F42" s="18" t="s">
        <v>1039</v>
      </c>
      <c r="G42" s="10">
        <v>8</v>
      </c>
      <c r="H42" s="10">
        <v>1</v>
      </c>
      <c r="I42" s="10"/>
    </row>
    <row r="43" spans="1:9" ht="63" x14ac:dyDescent="0.25">
      <c r="A43" s="89"/>
      <c r="B43" s="25">
        <v>8</v>
      </c>
      <c r="C43" s="81" t="s">
        <v>276</v>
      </c>
      <c r="D43" s="30" t="s">
        <v>1129</v>
      </c>
      <c r="E43" s="16" t="s">
        <v>1012</v>
      </c>
      <c r="F43" s="18" t="s">
        <v>1040</v>
      </c>
      <c r="G43" s="10">
        <v>3.5179999999999998</v>
      </c>
      <c r="H43" s="10">
        <v>3.3730000000000002</v>
      </c>
      <c r="I43" s="10"/>
    </row>
    <row r="44" spans="1:9" ht="63" x14ac:dyDescent="0.25">
      <c r="A44" s="89"/>
      <c r="B44" s="25">
        <v>9</v>
      </c>
      <c r="C44" s="81" t="s">
        <v>291</v>
      </c>
      <c r="D44" s="30" t="s">
        <v>1129</v>
      </c>
      <c r="E44" s="16" t="s">
        <v>1012</v>
      </c>
      <c r="F44" s="18" t="s">
        <v>1041</v>
      </c>
      <c r="G44" s="10">
        <v>9</v>
      </c>
      <c r="H44" s="10">
        <v>4</v>
      </c>
      <c r="I44" s="10"/>
    </row>
    <row r="45" spans="1:9" ht="59.25" customHeight="1" x14ac:dyDescent="0.25">
      <c r="A45" s="84"/>
      <c r="B45" s="25">
        <v>10</v>
      </c>
      <c r="C45" s="81" t="s">
        <v>1173</v>
      </c>
      <c r="D45" s="30" t="s">
        <v>1129</v>
      </c>
      <c r="E45" s="16" t="s">
        <v>1012</v>
      </c>
      <c r="F45" s="18" t="s">
        <v>1042</v>
      </c>
      <c r="G45" s="10">
        <v>3.5179999999999998</v>
      </c>
      <c r="H45" s="10">
        <v>3.3730000000000002</v>
      </c>
      <c r="I45" s="10"/>
    </row>
    <row r="46" spans="1:9" ht="63" x14ac:dyDescent="0.25">
      <c r="A46" s="89"/>
      <c r="B46" s="25">
        <v>11</v>
      </c>
      <c r="C46" s="81" t="s">
        <v>452</v>
      </c>
      <c r="D46" s="30" t="s">
        <v>1129</v>
      </c>
      <c r="E46" s="16" t="s">
        <v>1012</v>
      </c>
      <c r="F46" s="18" t="s">
        <v>1013</v>
      </c>
      <c r="G46" s="10">
        <v>3.5179999999999998</v>
      </c>
      <c r="H46" s="10">
        <v>3.3730000000000002</v>
      </c>
      <c r="I46" s="10"/>
    </row>
    <row r="47" spans="1:9" ht="63" x14ac:dyDescent="0.25">
      <c r="A47" s="89"/>
      <c r="B47" s="25">
        <v>12</v>
      </c>
      <c r="C47" s="81" t="s">
        <v>457</v>
      </c>
      <c r="D47" s="30" t="s">
        <v>1129</v>
      </c>
      <c r="E47" s="16" t="s">
        <v>1012</v>
      </c>
      <c r="F47" s="18" t="s">
        <v>1013</v>
      </c>
      <c r="G47" s="10">
        <v>20</v>
      </c>
      <c r="H47" s="10">
        <v>8</v>
      </c>
      <c r="I47" s="10"/>
    </row>
    <row r="48" spans="1:9" ht="63" x14ac:dyDescent="0.25">
      <c r="A48" s="89"/>
      <c r="B48" s="25">
        <v>13</v>
      </c>
      <c r="C48" s="81" t="s">
        <v>506</v>
      </c>
      <c r="D48" s="30" t="s">
        <v>1129</v>
      </c>
      <c r="E48" s="16" t="s">
        <v>1012</v>
      </c>
      <c r="F48" s="18" t="s">
        <v>1013</v>
      </c>
      <c r="G48" s="10">
        <v>1</v>
      </c>
      <c r="H48" s="10"/>
      <c r="I48" s="10"/>
    </row>
    <row r="49" spans="1:9" ht="63" x14ac:dyDescent="0.25">
      <c r="A49" s="89"/>
      <c r="B49" s="25">
        <v>14</v>
      </c>
      <c r="C49" s="81" t="s">
        <v>394</v>
      </c>
      <c r="D49" s="30" t="s">
        <v>1129</v>
      </c>
      <c r="E49" s="16" t="s">
        <v>1012</v>
      </c>
      <c r="F49" s="18" t="s">
        <v>1042</v>
      </c>
      <c r="G49" s="10">
        <v>20</v>
      </c>
      <c r="H49" s="10">
        <v>8</v>
      </c>
      <c r="I49" s="10"/>
    </row>
    <row r="50" spans="1:9" ht="63" x14ac:dyDescent="0.25">
      <c r="A50" s="89"/>
      <c r="B50" s="25">
        <v>15</v>
      </c>
      <c r="C50" s="81" t="s">
        <v>511</v>
      </c>
      <c r="D50" s="30" t="s">
        <v>1129</v>
      </c>
      <c r="E50" s="16" t="s">
        <v>1012</v>
      </c>
      <c r="F50" s="18" t="s">
        <v>1043</v>
      </c>
      <c r="G50" s="10">
        <v>3.5179999999999998</v>
      </c>
      <c r="H50" s="10">
        <v>3.3730000000000002</v>
      </c>
      <c r="I50" s="10"/>
    </row>
    <row r="51" spans="1:9" ht="63" x14ac:dyDescent="0.25">
      <c r="A51" s="89"/>
      <c r="B51" s="25">
        <v>16</v>
      </c>
      <c r="C51" s="81" t="s">
        <v>518</v>
      </c>
      <c r="D51" s="30" t="s">
        <v>1129</v>
      </c>
      <c r="E51" s="16" t="s">
        <v>1012</v>
      </c>
      <c r="F51" s="18" t="s">
        <v>1043</v>
      </c>
      <c r="G51" s="10">
        <v>3.5179999999999998</v>
      </c>
      <c r="H51" s="10">
        <v>3.3730000000000002</v>
      </c>
      <c r="I51" s="10"/>
    </row>
    <row r="52" spans="1:9" ht="63" x14ac:dyDescent="0.25">
      <c r="A52" s="89"/>
      <c r="B52" s="25">
        <v>17</v>
      </c>
      <c r="C52" s="81" t="s">
        <v>519</v>
      </c>
      <c r="D52" s="30" t="s">
        <v>1153</v>
      </c>
      <c r="E52" s="16" t="s">
        <v>1012</v>
      </c>
      <c r="F52" s="18" t="s">
        <v>1043</v>
      </c>
      <c r="G52" s="10">
        <v>3.5179999999999998</v>
      </c>
      <c r="H52" s="10">
        <v>3.3730000000000002</v>
      </c>
      <c r="I52" s="10"/>
    </row>
    <row r="53" spans="1:9" ht="63" x14ac:dyDescent="0.25">
      <c r="A53" s="89"/>
      <c r="B53" s="25">
        <v>18</v>
      </c>
      <c r="C53" s="81" t="s">
        <v>520</v>
      </c>
      <c r="D53" s="30" t="s">
        <v>1129</v>
      </c>
      <c r="E53" s="16" t="s">
        <v>1012</v>
      </c>
      <c r="F53" s="18" t="s">
        <v>1043</v>
      </c>
      <c r="G53" s="10">
        <v>3.5179999999999998</v>
      </c>
      <c r="H53" s="10">
        <v>3.3730000000000002</v>
      </c>
      <c r="I53" s="10"/>
    </row>
    <row r="54" spans="1:9" ht="63" x14ac:dyDescent="0.25">
      <c r="A54" s="89"/>
      <c r="B54" s="25">
        <v>19</v>
      </c>
      <c r="C54" s="81" t="s">
        <v>521</v>
      </c>
      <c r="D54" s="30" t="s">
        <v>1129</v>
      </c>
      <c r="E54" s="16" t="s">
        <v>1012</v>
      </c>
      <c r="F54" s="18" t="s">
        <v>1043</v>
      </c>
      <c r="G54" s="10">
        <v>3.5179999999999998</v>
      </c>
      <c r="H54" s="10">
        <v>3.3730000000000002</v>
      </c>
      <c r="I54" s="10"/>
    </row>
    <row r="55" spans="1:9" ht="63" x14ac:dyDescent="0.25">
      <c r="A55" s="89"/>
      <c r="B55" s="25">
        <v>20</v>
      </c>
      <c r="C55" s="81" t="s">
        <v>1113</v>
      </c>
      <c r="D55" s="30" t="s">
        <v>1131</v>
      </c>
      <c r="E55" s="16" t="s">
        <v>1012</v>
      </c>
      <c r="F55" s="10" t="s">
        <v>1016</v>
      </c>
      <c r="G55" s="82">
        <v>5</v>
      </c>
      <c r="H55" s="82"/>
      <c r="I55" s="1"/>
    </row>
    <row r="56" spans="1:9" ht="63" x14ac:dyDescent="0.25">
      <c r="A56" s="89"/>
      <c r="B56" s="25">
        <v>21</v>
      </c>
      <c r="C56" s="81" t="s">
        <v>1112</v>
      </c>
      <c r="D56" s="30" t="s">
        <v>1130</v>
      </c>
      <c r="E56" s="16" t="s">
        <v>1012</v>
      </c>
      <c r="F56" s="10" t="s">
        <v>1016</v>
      </c>
      <c r="G56" s="82">
        <v>5</v>
      </c>
      <c r="H56" s="82">
        <v>3</v>
      </c>
      <c r="I56" s="1"/>
    </row>
    <row r="57" spans="1:9" ht="125.25" customHeight="1" x14ac:dyDescent="0.25">
      <c r="A57" s="89"/>
      <c r="B57" s="25">
        <v>22</v>
      </c>
      <c r="C57" s="81" t="s">
        <v>468</v>
      </c>
      <c r="D57" s="30" t="s">
        <v>1130</v>
      </c>
      <c r="E57" s="16" t="s">
        <v>1012</v>
      </c>
      <c r="F57" s="10" t="s">
        <v>1016</v>
      </c>
      <c r="G57" s="82">
        <v>5</v>
      </c>
      <c r="H57" s="82">
        <v>3</v>
      </c>
      <c r="I57" s="1"/>
    </row>
    <row r="58" spans="1:9" ht="15.75" x14ac:dyDescent="0.25">
      <c r="A58" s="89"/>
      <c r="B58" s="25"/>
      <c r="C58" s="81"/>
      <c r="D58" s="30"/>
      <c r="E58" s="16"/>
      <c r="F58" s="10"/>
      <c r="G58" s="82"/>
      <c r="H58" s="82"/>
      <c r="I58" s="1"/>
    </row>
    <row r="59" spans="1:9" ht="15.75" x14ac:dyDescent="0.25">
      <c r="A59" s="89"/>
      <c r="B59" s="25"/>
      <c r="C59" s="81"/>
      <c r="D59" s="30"/>
      <c r="E59" s="16"/>
      <c r="F59" s="10"/>
      <c r="G59" s="82"/>
      <c r="H59" s="82"/>
      <c r="I59" s="1"/>
    </row>
    <row r="60" spans="1:9" ht="61.5" customHeight="1" x14ac:dyDescent="0.25">
      <c r="A60" s="80" t="s">
        <v>1134</v>
      </c>
      <c r="B60" s="25">
        <v>1</v>
      </c>
      <c r="C60" s="81" t="s">
        <v>8</v>
      </c>
      <c r="D60" s="30" t="s">
        <v>1129</v>
      </c>
      <c r="E60" s="16" t="s">
        <v>1012</v>
      </c>
      <c r="F60" s="18" t="s">
        <v>1013</v>
      </c>
      <c r="G60" s="10">
        <v>1</v>
      </c>
      <c r="H60" s="10"/>
      <c r="I60" s="1"/>
    </row>
    <row r="61" spans="1:9" ht="63" x14ac:dyDescent="0.25">
      <c r="A61" s="89"/>
      <c r="B61" s="25">
        <v>2</v>
      </c>
      <c r="C61" s="81" t="s">
        <v>36</v>
      </c>
      <c r="D61" s="30" t="s">
        <v>1129</v>
      </c>
      <c r="E61" s="16" t="s">
        <v>1012</v>
      </c>
      <c r="F61" s="18" t="s">
        <v>1013</v>
      </c>
      <c r="G61" s="10">
        <v>12</v>
      </c>
      <c r="H61" s="10">
        <v>3</v>
      </c>
      <c r="I61" s="1"/>
    </row>
    <row r="62" spans="1:9" ht="75" x14ac:dyDescent="0.25">
      <c r="A62" s="89"/>
      <c r="B62" s="25">
        <v>3</v>
      </c>
      <c r="C62" s="81" t="s">
        <v>58</v>
      </c>
      <c r="D62" s="30" t="s">
        <v>1129</v>
      </c>
      <c r="E62" s="16" t="s">
        <v>1012</v>
      </c>
      <c r="F62" s="18" t="s">
        <v>1013</v>
      </c>
      <c r="G62" s="10">
        <v>13</v>
      </c>
      <c r="H62" s="10">
        <v>3</v>
      </c>
      <c r="I62" s="1"/>
    </row>
    <row r="63" spans="1:9" ht="63" x14ac:dyDescent="0.25">
      <c r="A63" s="89"/>
      <c r="B63" s="25">
        <v>4</v>
      </c>
      <c r="C63" s="81" t="s">
        <v>80</v>
      </c>
      <c r="D63" s="30" t="s">
        <v>1129</v>
      </c>
      <c r="E63" s="16" t="s">
        <v>1012</v>
      </c>
      <c r="F63" s="18" t="s">
        <v>1013</v>
      </c>
      <c r="G63" s="10">
        <v>3.5179999999999998</v>
      </c>
      <c r="H63" s="10">
        <v>3.3730000000000002</v>
      </c>
      <c r="I63" s="1"/>
    </row>
    <row r="64" spans="1:9" ht="75" x14ac:dyDescent="0.25">
      <c r="A64" s="89"/>
      <c r="B64" s="25">
        <v>5</v>
      </c>
      <c r="C64" s="81" t="s">
        <v>446</v>
      </c>
      <c r="D64" s="30" t="s">
        <v>1129</v>
      </c>
      <c r="E64" s="16" t="s">
        <v>1012</v>
      </c>
      <c r="F64" s="18" t="s">
        <v>1013</v>
      </c>
      <c r="G64" s="10">
        <v>20</v>
      </c>
      <c r="H64" s="10">
        <v>9</v>
      </c>
      <c r="I64" s="1"/>
    </row>
    <row r="65" spans="1:9" ht="63" x14ac:dyDescent="0.25">
      <c r="A65" s="89"/>
      <c r="B65" s="25">
        <v>6</v>
      </c>
      <c r="C65" s="81" t="s">
        <v>238</v>
      </c>
      <c r="D65" s="30" t="s">
        <v>1153</v>
      </c>
      <c r="E65" s="16" t="s">
        <v>1012</v>
      </c>
      <c r="F65" s="18" t="s">
        <v>1013</v>
      </c>
      <c r="G65" s="10">
        <v>8</v>
      </c>
      <c r="H65" s="10">
        <v>1</v>
      </c>
      <c r="I65" s="1"/>
    </row>
    <row r="66" spans="1:9" ht="63" x14ac:dyDescent="0.25">
      <c r="A66" s="89"/>
      <c r="B66" s="25">
        <v>7</v>
      </c>
      <c r="C66" s="81" t="s">
        <v>254</v>
      </c>
      <c r="D66" s="30" t="s">
        <v>1153</v>
      </c>
      <c r="E66" s="16" t="s">
        <v>1012</v>
      </c>
      <c r="F66" s="18" t="s">
        <v>1039</v>
      </c>
      <c r="G66" s="10">
        <v>8</v>
      </c>
      <c r="H66" s="10">
        <v>1</v>
      </c>
      <c r="I66" s="1"/>
    </row>
    <row r="67" spans="1:9" ht="63" x14ac:dyDescent="0.25">
      <c r="A67" s="89"/>
      <c r="B67" s="25">
        <v>8</v>
      </c>
      <c r="C67" s="81" t="s">
        <v>276</v>
      </c>
      <c r="D67" s="30" t="s">
        <v>1129</v>
      </c>
      <c r="E67" s="16" t="s">
        <v>1012</v>
      </c>
      <c r="F67" s="18" t="s">
        <v>1040</v>
      </c>
      <c r="G67" s="10">
        <v>3.5179999999999998</v>
      </c>
      <c r="H67" s="10">
        <v>3.3730000000000002</v>
      </c>
      <c r="I67" s="1"/>
    </row>
    <row r="68" spans="1:9" ht="63" x14ac:dyDescent="0.25">
      <c r="A68" s="89"/>
      <c r="B68" s="25">
        <v>9</v>
      </c>
      <c r="C68" s="81" t="s">
        <v>291</v>
      </c>
      <c r="D68" s="30" t="s">
        <v>1129</v>
      </c>
      <c r="E68" s="16" t="s">
        <v>1012</v>
      </c>
      <c r="F68" s="18" t="s">
        <v>1041</v>
      </c>
      <c r="G68" s="10">
        <v>9</v>
      </c>
      <c r="H68" s="10">
        <v>4</v>
      </c>
      <c r="I68" s="1"/>
    </row>
    <row r="69" spans="1:9" ht="59.25" customHeight="1" x14ac:dyDescent="0.25">
      <c r="A69" s="84"/>
      <c r="B69" s="25">
        <v>10</v>
      </c>
      <c r="C69" s="81" t="s">
        <v>1173</v>
      </c>
      <c r="D69" s="30" t="s">
        <v>1129</v>
      </c>
      <c r="E69" s="16" t="s">
        <v>1012</v>
      </c>
      <c r="F69" s="18" t="s">
        <v>1042</v>
      </c>
      <c r="G69" s="10">
        <v>3.5179999999999998</v>
      </c>
      <c r="H69" s="10">
        <v>3.3730000000000002</v>
      </c>
      <c r="I69" s="10"/>
    </row>
    <row r="70" spans="1:9" ht="63" x14ac:dyDescent="0.25">
      <c r="A70" s="89"/>
      <c r="B70" s="25">
        <v>11</v>
      </c>
      <c r="C70" s="81" t="s">
        <v>452</v>
      </c>
      <c r="D70" s="30" t="s">
        <v>1129</v>
      </c>
      <c r="E70" s="16" t="s">
        <v>1012</v>
      </c>
      <c r="F70" s="18" t="s">
        <v>1013</v>
      </c>
      <c r="G70" s="10">
        <v>3.5179999999999998</v>
      </c>
      <c r="H70" s="10">
        <v>3.3730000000000002</v>
      </c>
      <c r="I70" s="1"/>
    </row>
    <row r="71" spans="1:9" ht="63" x14ac:dyDescent="0.25">
      <c r="A71" s="89"/>
      <c r="B71" s="25">
        <v>12</v>
      </c>
      <c r="C71" s="81" t="s">
        <v>457</v>
      </c>
      <c r="D71" s="30" t="s">
        <v>1129</v>
      </c>
      <c r="E71" s="16" t="s">
        <v>1012</v>
      </c>
      <c r="F71" s="18" t="s">
        <v>1013</v>
      </c>
      <c r="G71" s="10">
        <v>20</v>
      </c>
      <c r="H71" s="10">
        <v>8</v>
      </c>
      <c r="I71" s="1"/>
    </row>
    <row r="72" spans="1:9" ht="63" x14ac:dyDescent="0.25">
      <c r="A72" s="89"/>
      <c r="B72" s="25">
        <v>13</v>
      </c>
      <c r="C72" s="81" t="s">
        <v>506</v>
      </c>
      <c r="D72" s="30" t="s">
        <v>1129</v>
      </c>
      <c r="E72" s="16" t="s">
        <v>1012</v>
      </c>
      <c r="F72" s="18" t="s">
        <v>1013</v>
      </c>
      <c r="G72" s="10">
        <v>1</v>
      </c>
      <c r="H72" s="10"/>
      <c r="I72" s="1"/>
    </row>
    <row r="73" spans="1:9" ht="63" x14ac:dyDescent="0.25">
      <c r="A73" s="89"/>
      <c r="B73" s="25">
        <v>14</v>
      </c>
      <c r="C73" s="81" t="s">
        <v>394</v>
      </c>
      <c r="D73" s="30" t="s">
        <v>1129</v>
      </c>
      <c r="E73" s="16" t="s">
        <v>1012</v>
      </c>
      <c r="F73" s="18" t="s">
        <v>1042</v>
      </c>
      <c r="G73" s="10">
        <v>20</v>
      </c>
      <c r="H73" s="10">
        <v>8</v>
      </c>
      <c r="I73" s="1"/>
    </row>
    <row r="74" spans="1:9" ht="63" x14ac:dyDescent="0.25">
      <c r="A74" s="89"/>
      <c r="B74" s="25">
        <v>15</v>
      </c>
      <c r="C74" s="81" t="s">
        <v>511</v>
      </c>
      <c r="D74" s="30" t="s">
        <v>1129</v>
      </c>
      <c r="E74" s="16" t="s">
        <v>1012</v>
      </c>
      <c r="F74" s="18" t="s">
        <v>1043</v>
      </c>
      <c r="G74" s="10">
        <v>3.5179999999999998</v>
      </c>
      <c r="H74" s="10">
        <v>3.3730000000000002</v>
      </c>
      <c r="I74" s="1"/>
    </row>
    <row r="75" spans="1:9" ht="63" x14ac:dyDescent="0.25">
      <c r="A75" s="89"/>
      <c r="B75" s="25">
        <v>16</v>
      </c>
      <c r="C75" s="81" t="s">
        <v>518</v>
      </c>
      <c r="D75" s="30" t="s">
        <v>1129</v>
      </c>
      <c r="E75" s="16" t="s">
        <v>1012</v>
      </c>
      <c r="F75" s="18" t="s">
        <v>1043</v>
      </c>
      <c r="G75" s="10">
        <v>3.5179999999999998</v>
      </c>
      <c r="H75" s="10">
        <v>3.3730000000000002</v>
      </c>
      <c r="I75" s="1"/>
    </row>
    <row r="76" spans="1:9" ht="63" x14ac:dyDescent="0.25">
      <c r="A76" s="89"/>
      <c r="B76" s="25">
        <v>17</v>
      </c>
      <c r="C76" s="81" t="s">
        <v>519</v>
      </c>
      <c r="D76" s="30" t="s">
        <v>1153</v>
      </c>
      <c r="E76" s="16" t="s">
        <v>1012</v>
      </c>
      <c r="F76" s="18" t="s">
        <v>1043</v>
      </c>
      <c r="G76" s="10">
        <v>3.5179999999999998</v>
      </c>
      <c r="H76" s="10">
        <v>3.3730000000000002</v>
      </c>
      <c r="I76" s="1"/>
    </row>
    <row r="77" spans="1:9" ht="63" x14ac:dyDescent="0.25">
      <c r="A77" s="89"/>
      <c r="B77" s="25">
        <v>18</v>
      </c>
      <c r="C77" s="81" t="s">
        <v>520</v>
      </c>
      <c r="D77" s="30" t="s">
        <v>1129</v>
      </c>
      <c r="E77" s="16" t="s">
        <v>1012</v>
      </c>
      <c r="F77" s="18" t="s">
        <v>1043</v>
      </c>
      <c r="G77" s="10">
        <v>3.5179999999999998</v>
      </c>
      <c r="H77" s="10">
        <v>3.3730000000000002</v>
      </c>
      <c r="I77" s="1"/>
    </row>
    <row r="78" spans="1:9" ht="63" x14ac:dyDescent="0.25">
      <c r="A78" s="89"/>
      <c r="B78" s="25">
        <v>19</v>
      </c>
      <c r="C78" s="81" t="s">
        <v>521</v>
      </c>
      <c r="D78" s="30" t="s">
        <v>1129</v>
      </c>
      <c r="E78" s="16" t="s">
        <v>1012</v>
      </c>
      <c r="F78" s="18" t="s">
        <v>1043</v>
      </c>
      <c r="G78" s="10">
        <v>3.5179999999999998</v>
      </c>
      <c r="H78" s="10">
        <v>3.3730000000000002</v>
      </c>
      <c r="I78" s="1"/>
    </row>
    <row r="79" spans="1:9" ht="105" x14ac:dyDescent="0.25">
      <c r="A79" s="89"/>
      <c r="B79" s="25">
        <v>20</v>
      </c>
      <c r="C79" s="85" t="s">
        <v>540</v>
      </c>
      <c r="D79" s="30" t="s">
        <v>1135</v>
      </c>
      <c r="E79" s="16" t="s">
        <v>1012</v>
      </c>
      <c r="F79" s="18" t="s">
        <v>1016</v>
      </c>
      <c r="G79" s="25">
        <v>40</v>
      </c>
      <c r="H79" s="25">
        <v>40</v>
      </c>
      <c r="I79" s="30"/>
    </row>
    <row r="80" spans="1:9" ht="61.5" customHeight="1" x14ac:dyDescent="0.25">
      <c r="A80" s="89"/>
      <c r="B80" s="25">
        <v>21</v>
      </c>
      <c r="C80" s="85" t="s">
        <v>1071</v>
      </c>
      <c r="D80" s="30" t="s">
        <v>1135</v>
      </c>
      <c r="E80" s="16" t="s">
        <v>1012</v>
      </c>
      <c r="F80" s="18" t="s">
        <v>1016</v>
      </c>
      <c r="G80" s="25">
        <v>40</v>
      </c>
      <c r="H80" s="25">
        <v>40</v>
      </c>
      <c r="I80" s="30"/>
    </row>
    <row r="81" spans="1:9" ht="80.25" customHeight="1" x14ac:dyDescent="0.25">
      <c r="A81" s="89"/>
      <c r="B81" s="25">
        <v>22</v>
      </c>
      <c r="C81" s="85" t="s">
        <v>1087</v>
      </c>
      <c r="D81" s="30" t="s">
        <v>1135</v>
      </c>
      <c r="E81" s="16" t="s">
        <v>1012</v>
      </c>
      <c r="F81" s="18" t="s">
        <v>1016</v>
      </c>
      <c r="G81" s="25">
        <v>40</v>
      </c>
      <c r="H81" s="25">
        <v>40</v>
      </c>
      <c r="I81" s="30"/>
    </row>
    <row r="82" spans="1:9" ht="63" x14ac:dyDescent="0.25">
      <c r="A82" s="89"/>
      <c r="B82" s="25">
        <v>23</v>
      </c>
      <c r="C82" s="85" t="s">
        <v>645</v>
      </c>
      <c r="D82" s="30" t="s">
        <v>1154</v>
      </c>
      <c r="E82" s="16" t="s">
        <v>1012</v>
      </c>
      <c r="F82" s="18" t="s">
        <v>1039</v>
      </c>
      <c r="G82" s="25">
        <v>2</v>
      </c>
      <c r="H82" s="25">
        <v>3</v>
      </c>
      <c r="I82" s="30"/>
    </row>
    <row r="83" spans="1:9" ht="84.75" customHeight="1" x14ac:dyDescent="0.25">
      <c r="A83" s="89"/>
      <c r="B83" s="25">
        <v>24</v>
      </c>
      <c r="C83" s="85" t="s">
        <v>654</v>
      </c>
      <c r="D83" s="30" t="s">
        <v>1155</v>
      </c>
      <c r="E83" s="16" t="s">
        <v>1012</v>
      </c>
      <c r="F83" s="18" t="s">
        <v>1039</v>
      </c>
      <c r="G83" s="25">
        <v>215</v>
      </c>
      <c r="H83" s="25">
        <v>218</v>
      </c>
      <c r="I83" s="30"/>
    </row>
    <row r="84" spans="1:9" ht="63" x14ac:dyDescent="0.25">
      <c r="A84" s="89"/>
      <c r="B84" s="25">
        <v>25</v>
      </c>
      <c r="C84" s="85" t="s">
        <v>657</v>
      </c>
      <c r="D84" s="30" t="s">
        <v>1156</v>
      </c>
      <c r="E84" s="16" t="s">
        <v>1012</v>
      </c>
      <c r="F84" s="18" t="s">
        <v>1016</v>
      </c>
      <c r="G84" s="25"/>
      <c r="H84" s="25">
        <v>15</v>
      </c>
      <c r="I84" s="30"/>
    </row>
    <row r="85" spans="1:9" ht="90" x14ac:dyDescent="0.25">
      <c r="A85" s="89"/>
      <c r="B85" s="25">
        <v>26</v>
      </c>
      <c r="C85" s="85" t="s">
        <v>712</v>
      </c>
      <c r="D85" s="30" t="s">
        <v>1157</v>
      </c>
      <c r="E85" s="16" t="s">
        <v>1012</v>
      </c>
      <c r="F85" s="18" t="s">
        <v>1039</v>
      </c>
      <c r="G85" s="25"/>
      <c r="H85" s="25">
        <v>30</v>
      </c>
      <c r="I85" s="30"/>
    </row>
    <row r="86" spans="1:9" ht="90" x14ac:dyDescent="0.25">
      <c r="A86" s="89"/>
      <c r="B86" s="25">
        <v>27</v>
      </c>
      <c r="C86" s="85" t="s">
        <v>660</v>
      </c>
      <c r="D86" s="30" t="s">
        <v>1158</v>
      </c>
      <c r="E86" s="16" t="s">
        <v>1012</v>
      </c>
      <c r="F86" s="18" t="s">
        <v>1016</v>
      </c>
      <c r="G86" s="25"/>
      <c r="H86" s="25">
        <v>6</v>
      </c>
      <c r="I86" s="30"/>
    </row>
    <row r="87" spans="1:9" ht="75" x14ac:dyDescent="0.25">
      <c r="A87" s="89"/>
      <c r="B87" s="25">
        <v>28</v>
      </c>
      <c r="C87" s="85" t="s">
        <v>662</v>
      </c>
      <c r="D87" s="30" t="s">
        <v>1155</v>
      </c>
      <c r="E87" s="16" t="s">
        <v>1012</v>
      </c>
      <c r="F87" s="18" t="s">
        <v>1016</v>
      </c>
      <c r="G87" s="25"/>
      <c r="H87" s="25">
        <v>71</v>
      </c>
      <c r="I87" s="30"/>
    </row>
    <row r="88" spans="1:9" ht="63" x14ac:dyDescent="0.25">
      <c r="A88" s="89"/>
      <c r="B88" s="25">
        <v>29</v>
      </c>
      <c r="C88" s="85" t="s">
        <v>673</v>
      </c>
      <c r="D88" s="30" t="s">
        <v>1131</v>
      </c>
      <c r="E88" s="16" t="s">
        <v>1012</v>
      </c>
      <c r="F88" s="18" t="s">
        <v>1016</v>
      </c>
      <c r="G88" s="25">
        <v>3.5179999999999998</v>
      </c>
      <c r="H88" s="25">
        <v>3.3730000000000002</v>
      </c>
      <c r="I88" s="30"/>
    </row>
    <row r="89" spans="1:9" ht="72" customHeight="1" x14ac:dyDescent="0.25">
      <c r="A89" s="89"/>
      <c r="B89" s="25">
        <v>30</v>
      </c>
      <c r="C89" s="85" t="e">
        <f>#REF!</f>
        <v>#REF!</v>
      </c>
      <c r="D89" s="30" t="s">
        <v>1131</v>
      </c>
      <c r="E89" s="16" t="s">
        <v>1012</v>
      </c>
      <c r="F89" s="18" t="s">
        <v>1016</v>
      </c>
      <c r="G89" s="25">
        <v>3.5179999999999998</v>
      </c>
      <c r="H89" s="25">
        <v>3.3730000000000002</v>
      </c>
      <c r="I89" s="30"/>
    </row>
    <row r="90" spans="1:9" ht="75" x14ac:dyDescent="0.25">
      <c r="A90" s="89"/>
      <c r="B90" s="25">
        <v>31</v>
      </c>
      <c r="C90" s="85" t="s">
        <v>681</v>
      </c>
      <c r="D90" s="30" t="s">
        <v>1131</v>
      </c>
      <c r="E90" s="16" t="s">
        <v>1012</v>
      </c>
      <c r="F90" s="18" t="s">
        <v>1016</v>
      </c>
      <c r="G90" s="25">
        <v>3.5179999999999998</v>
      </c>
      <c r="H90" s="25">
        <v>3.3730000000000002</v>
      </c>
      <c r="I90" s="30"/>
    </row>
    <row r="91" spans="1:9" ht="75" x14ac:dyDescent="0.25">
      <c r="A91" s="89"/>
      <c r="B91" s="25">
        <v>32</v>
      </c>
      <c r="C91" s="85" t="s">
        <v>684</v>
      </c>
      <c r="D91" s="30" t="s">
        <v>1159</v>
      </c>
      <c r="E91" s="16" t="s">
        <v>1012</v>
      </c>
      <c r="F91" s="18" t="s">
        <v>1016</v>
      </c>
      <c r="G91" s="25">
        <v>82</v>
      </c>
      <c r="H91" s="25">
        <v>90</v>
      </c>
      <c r="I91" s="30"/>
    </row>
    <row r="92" spans="1:9" ht="63" x14ac:dyDescent="0.25">
      <c r="A92" s="89"/>
      <c r="B92" s="25">
        <v>33</v>
      </c>
      <c r="C92" s="85" t="s">
        <v>690</v>
      </c>
      <c r="D92" s="30" t="s">
        <v>1160</v>
      </c>
      <c r="E92" s="16" t="s">
        <v>1012</v>
      </c>
      <c r="F92" s="18" t="s">
        <v>1016</v>
      </c>
      <c r="G92" s="25"/>
      <c r="H92" s="25">
        <v>16</v>
      </c>
      <c r="I92" s="30"/>
    </row>
    <row r="93" spans="1:9" ht="63" x14ac:dyDescent="0.25">
      <c r="A93" s="89"/>
      <c r="B93" s="25">
        <v>34</v>
      </c>
      <c r="C93" s="85" t="s">
        <v>696</v>
      </c>
      <c r="D93" s="30" t="s">
        <v>1161</v>
      </c>
      <c r="E93" s="16" t="s">
        <v>1012</v>
      </c>
      <c r="F93" s="18" t="s">
        <v>1016</v>
      </c>
      <c r="G93" s="25">
        <v>3.5179999999999998</v>
      </c>
      <c r="H93" s="25">
        <v>3.3730000000000002</v>
      </c>
      <c r="I93" s="30"/>
    </row>
    <row r="94" spans="1:9" ht="63" x14ac:dyDescent="0.25">
      <c r="A94" s="89"/>
      <c r="B94" s="25">
        <v>35</v>
      </c>
      <c r="C94" s="85" t="s">
        <v>706</v>
      </c>
      <c r="D94" s="30" t="s">
        <v>1161</v>
      </c>
      <c r="E94" s="16" t="s">
        <v>1012</v>
      </c>
      <c r="F94" s="18" t="s">
        <v>1039</v>
      </c>
      <c r="G94" s="25"/>
      <c r="H94" s="25">
        <v>8</v>
      </c>
      <c r="I94" s="30"/>
    </row>
    <row r="95" spans="1:9" ht="81.75" customHeight="1" x14ac:dyDescent="0.25">
      <c r="A95" s="89"/>
      <c r="B95" s="25">
        <v>36</v>
      </c>
      <c r="C95" s="85" t="s">
        <v>708</v>
      </c>
      <c r="D95" s="30" t="s">
        <v>1162</v>
      </c>
      <c r="E95" s="16" t="s">
        <v>1012</v>
      </c>
      <c r="F95" s="18" t="s">
        <v>1016</v>
      </c>
      <c r="G95" s="25"/>
      <c r="H95" s="25">
        <v>30</v>
      </c>
      <c r="I95" s="30"/>
    </row>
    <row r="96" spans="1:9" ht="90" x14ac:dyDescent="0.25">
      <c r="A96" s="89"/>
      <c r="B96" s="25">
        <v>37</v>
      </c>
      <c r="C96" s="85" t="s">
        <v>710</v>
      </c>
      <c r="D96" s="30" t="s">
        <v>1163</v>
      </c>
      <c r="E96" s="16" t="s">
        <v>1012</v>
      </c>
      <c r="F96" s="18" t="s">
        <v>1016</v>
      </c>
      <c r="G96" s="25">
        <v>2</v>
      </c>
      <c r="H96" s="25">
        <v>3</v>
      </c>
      <c r="I96" s="30"/>
    </row>
    <row r="97" spans="1:9" ht="75" x14ac:dyDescent="0.25">
      <c r="A97" s="89"/>
      <c r="B97" s="25">
        <v>38</v>
      </c>
      <c r="C97" s="85" t="s">
        <v>711</v>
      </c>
      <c r="D97" s="30" t="s">
        <v>1163</v>
      </c>
      <c r="E97" s="16" t="s">
        <v>1012</v>
      </c>
      <c r="F97" s="18" t="s">
        <v>1039</v>
      </c>
      <c r="G97" s="25">
        <v>55</v>
      </c>
      <c r="H97" s="25">
        <v>50</v>
      </c>
      <c r="I97" s="30"/>
    </row>
    <row r="98" spans="1:9" ht="63" x14ac:dyDescent="0.25">
      <c r="A98" s="89"/>
      <c r="B98" s="25">
        <v>39</v>
      </c>
      <c r="C98" s="85" t="s">
        <v>1114</v>
      </c>
      <c r="D98" s="30" t="s">
        <v>1131</v>
      </c>
      <c r="E98" s="16" t="s">
        <v>1012</v>
      </c>
      <c r="F98" s="18" t="s">
        <v>1116</v>
      </c>
      <c r="G98" s="25">
        <v>3.5179999999999998</v>
      </c>
      <c r="H98" s="25">
        <v>3.3730000000000002</v>
      </c>
      <c r="I98" s="30"/>
    </row>
    <row r="99" spans="1:9" ht="63" x14ac:dyDescent="0.25">
      <c r="A99" s="89"/>
      <c r="B99" s="25">
        <v>40</v>
      </c>
      <c r="C99" s="85" t="s">
        <v>729</v>
      </c>
      <c r="D99" s="30" t="s">
        <v>1131</v>
      </c>
      <c r="E99" s="16" t="s">
        <v>1012</v>
      </c>
      <c r="F99" s="18" t="s">
        <v>1118</v>
      </c>
      <c r="G99" s="25">
        <v>3.5179999999999998</v>
      </c>
      <c r="H99" s="25">
        <v>3.3730000000000002</v>
      </c>
      <c r="I99" s="30"/>
    </row>
    <row r="100" spans="1:9" ht="63" x14ac:dyDescent="0.25">
      <c r="A100" s="89"/>
      <c r="B100" s="25">
        <v>41</v>
      </c>
      <c r="C100" s="85" t="s">
        <v>754</v>
      </c>
      <c r="D100" s="30" t="s">
        <v>1161</v>
      </c>
      <c r="E100" s="16" t="s">
        <v>1012</v>
      </c>
      <c r="F100" s="18" t="s">
        <v>1016</v>
      </c>
      <c r="G100" s="25">
        <v>3.5179999999999998</v>
      </c>
      <c r="H100" s="25">
        <v>3.3730000000000002</v>
      </c>
      <c r="I100" s="30"/>
    </row>
    <row r="101" spans="1:9" ht="63" x14ac:dyDescent="0.25">
      <c r="A101" s="89"/>
      <c r="B101" s="25">
        <v>42</v>
      </c>
      <c r="C101" s="85" t="s">
        <v>760</v>
      </c>
      <c r="D101" s="30" t="s">
        <v>1164</v>
      </c>
      <c r="E101" s="16" t="s">
        <v>1012</v>
      </c>
      <c r="F101" s="18" t="s">
        <v>1039</v>
      </c>
      <c r="G101" s="25"/>
      <c r="H101" s="25">
        <v>9</v>
      </c>
      <c r="I101" s="30"/>
    </row>
    <row r="102" spans="1:9" ht="63" x14ac:dyDescent="0.25">
      <c r="A102" s="89"/>
      <c r="B102" s="25">
        <v>43</v>
      </c>
      <c r="C102" s="85" t="s">
        <v>800</v>
      </c>
      <c r="D102" s="30" t="s">
        <v>1131</v>
      </c>
      <c r="E102" s="16" t="s">
        <v>1012</v>
      </c>
      <c r="F102" s="18" t="s">
        <v>1039</v>
      </c>
      <c r="G102" s="25">
        <v>3.5179999999999998</v>
      </c>
      <c r="H102" s="25">
        <v>3.3730000000000002</v>
      </c>
      <c r="I102" s="1"/>
    </row>
    <row r="103" spans="1:9" ht="90" x14ac:dyDescent="0.25">
      <c r="A103" s="89"/>
      <c r="B103" s="25">
        <v>44</v>
      </c>
      <c r="C103" s="85" t="s">
        <v>805</v>
      </c>
      <c r="D103" s="30" t="s">
        <v>1131</v>
      </c>
      <c r="E103" s="16" t="s">
        <v>1012</v>
      </c>
      <c r="F103" s="18" t="s">
        <v>1039</v>
      </c>
      <c r="G103" s="25">
        <v>3.5179999999999998</v>
      </c>
      <c r="H103" s="25">
        <v>3.3730000000000002</v>
      </c>
      <c r="I103" s="1"/>
    </row>
    <row r="104" spans="1:9" ht="63" x14ac:dyDescent="0.25">
      <c r="A104" s="89"/>
      <c r="B104" s="25">
        <v>45</v>
      </c>
      <c r="C104" s="85" t="s">
        <v>816</v>
      </c>
      <c r="D104" s="30" t="s">
        <v>1131</v>
      </c>
      <c r="E104" s="16" t="s">
        <v>1012</v>
      </c>
      <c r="F104" s="18" t="s">
        <v>1039</v>
      </c>
      <c r="G104" s="25">
        <v>3.5179999999999998</v>
      </c>
      <c r="H104" s="25">
        <v>3.3730000000000002</v>
      </c>
      <c r="I104" s="1"/>
    </row>
    <row r="105" spans="1:9" ht="75" x14ac:dyDescent="0.25">
      <c r="A105" s="89"/>
      <c r="B105" s="25">
        <v>46</v>
      </c>
      <c r="C105" s="85" t="s">
        <v>1088</v>
      </c>
      <c r="D105" s="30" t="s">
        <v>1131</v>
      </c>
      <c r="E105" s="16" t="s">
        <v>1012</v>
      </c>
      <c r="F105" s="18" t="s">
        <v>1043</v>
      </c>
      <c r="G105" s="25">
        <v>3.5179999999999998</v>
      </c>
      <c r="H105" s="25">
        <v>3.3730000000000002</v>
      </c>
      <c r="I105" s="1"/>
    </row>
    <row r="106" spans="1:9" ht="75" x14ac:dyDescent="0.25">
      <c r="A106" s="89"/>
      <c r="B106" s="25">
        <v>47</v>
      </c>
      <c r="C106" s="85" t="s">
        <v>1052</v>
      </c>
      <c r="D106" s="30" t="s">
        <v>1131</v>
      </c>
      <c r="E106" s="16" t="s">
        <v>1012</v>
      </c>
      <c r="F106" s="18" t="s">
        <v>1016</v>
      </c>
      <c r="G106" s="25">
        <v>3.5179999999999998</v>
      </c>
      <c r="H106" s="25">
        <v>3.3730000000000002</v>
      </c>
      <c r="I106" s="1"/>
    </row>
    <row r="107" spans="1:9" ht="63" x14ac:dyDescent="0.25">
      <c r="A107" s="89"/>
      <c r="B107" s="25">
        <v>48</v>
      </c>
      <c r="C107" s="85" t="s">
        <v>975</v>
      </c>
      <c r="D107" s="30" t="s">
        <v>1131</v>
      </c>
      <c r="E107" s="16" t="s">
        <v>1012</v>
      </c>
      <c r="F107" s="18" t="s">
        <v>1016</v>
      </c>
      <c r="G107" s="25">
        <v>3.5179999999999998</v>
      </c>
      <c r="H107" s="25">
        <v>3.3730000000000002</v>
      </c>
      <c r="I107" s="1"/>
    </row>
    <row r="108" spans="1:9" ht="63" x14ac:dyDescent="0.25">
      <c r="A108" s="89"/>
      <c r="B108" s="25">
        <v>49</v>
      </c>
      <c r="C108" s="85" t="s">
        <v>762</v>
      </c>
      <c r="D108" s="30" t="s">
        <v>1131</v>
      </c>
      <c r="E108" s="16" t="s">
        <v>1012</v>
      </c>
      <c r="F108" s="18" t="s">
        <v>1061</v>
      </c>
      <c r="G108" s="25">
        <v>3.5179999999999998</v>
      </c>
      <c r="H108" s="25">
        <v>3.3730000000000002</v>
      </c>
      <c r="I108" s="1"/>
    </row>
    <row r="109" spans="1:9" ht="120" x14ac:dyDescent="0.25">
      <c r="A109" s="89"/>
      <c r="B109" s="25">
        <v>50</v>
      </c>
      <c r="C109" s="85" t="s">
        <v>829</v>
      </c>
      <c r="D109" s="30" t="s">
        <v>1131</v>
      </c>
      <c r="E109" s="16" t="s">
        <v>1012</v>
      </c>
      <c r="F109" s="18" t="s">
        <v>1016</v>
      </c>
      <c r="G109" s="25">
        <v>3.5179999999999998</v>
      </c>
      <c r="H109" s="25">
        <v>3.3730000000000002</v>
      </c>
      <c r="I109" s="1"/>
    </row>
    <row r="110" spans="1:9" ht="120" x14ac:dyDescent="0.25">
      <c r="A110" s="89"/>
      <c r="B110" s="25">
        <v>51</v>
      </c>
      <c r="C110" s="85" t="s">
        <v>836</v>
      </c>
      <c r="D110" s="30" t="s">
        <v>1131</v>
      </c>
      <c r="E110" s="16" t="s">
        <v>1012</v>
      </c>
      <c r="F110" s="18" t="s">
        <v>1016</v>
      </c>
      <c r="G110" s="25">
        <v>3.5179999999999998</v>
      </c>
      <c r="H110" s="25">
        <v>3.3730000000000002</v>
      </c>
      <c r="I110" s="1"/>
    </row>
    <row r="111" spans="1:9" ht="104.25" customHeight="1" x14ac:dyDescent="0.25">
      <c r="A111" s="89"/>
      <c r="B111" s="25">
        <v>52</v>
      </c>
      <c r="C111" s="85" t="s">
        <v>840</v>
      </c>
      <c r="D111" s="30" t="s">
        <v>1165</v>
      </c>
      <c r="E111" s="16" t="s">
        <v>1012</v>
      </c>
      <c r="F111" s="18" t="s">
        <v>1016</v>
      </c>
      <c r="G111" s="25">
        <v>35</v>
      </c>
      <c r="H111" s="25"/>
      <c r="I111" s="1"/>
    </row>
    <row r="112" spans="1:9" ht="105" x14ac:dyDescent="0.25">
      <c r="A112" s="89"/>
      <c r="B112" s="25">
        <v>53</v>
      </c>
      <c r="C112" s="85" t="s">
        <v>843</v>
      </c>
      <c r="D112" s="30" t="s">
        <v>1165</v>
      </c>
      <c r="E112" s="16" t="s">
        <v>1012</v>
      </c>
      <c r="F112" s="18" t="s">
        <v>1039</v>
      </c>
      <c r="G112" s="25">
        <v>35</v>
      </c>
      <c r="H112" s="25"/>
      <c r="I112" s="1"/>
    </row>
    <row r="113" spans="1:9" ht="63" x14ac:dyDescent="0.25">
      <c r="A113" s="89"/>
      <c r="B113" s="25">
        <v>54</v>
      </c>
      <c r="C113" s="85" t="s">
        <v>854</v>
      </c>
      <c r="D113" s="30" t="s">
        <v>1166</v>
      </c>
      <c r="E113" s="16" t="s">
        <v>1012</v>
      </c>
      <c r="F113" s="18" t="s">
        <v>1016</v>
      </c>
      <c r="G113" s="25"/>
      <c r="H113" s="25">
        <v>29</v>
      </c>
      <c r="I113" s="1"/>
    </row>
    <row r="114" spans="1:9" ht="75" x14ac:dyDescent="0.25">
      <c r="A114" s="89"/>
      <c r="B114" s="25">
        <v>55</v>
      </c>
      <c r="C114" s="85" t="s">
        <v>910</v>
      </c>
      <c r="D114" s="30" t="s">
        <v>1129</v>
      </c>
      <c r="E114" s="16" t="s">
        <v>1012</v>
      </c>
      <c r="F114" s="18" t="s">
        <v>1016</v>
      </c>
      <c r="G114" s="25">
        <v>20</v>
      </c>
      <c r="H114" s="25">
        <v>8</v>
      </c>
      <c r="I114" s="1"/>
    </row>
    <row r="115" spans="1:9" ht="63" x14ac:dyDescent="0.25">
      <c r="A115" s="89"/>
      <c r="B115" s="25">
        <v>56</v>
      </c>
      <c r="C115" s="85" t="s">
        <v>871</v>
      </c>
      <c r="D115" s="30" t="s">
        <v>1129</v>
      </c>
      <c r="E115" s="16" t="s">
        <v>1012</v>
      </c>
      <c r="F115" s="18" t="s">
        <v>1016</v>
      </c>
      <c r="G115" s="25">
        <v>20</v>
      </c>
      <c r="H115" s="25">
        <v>8</v>
      </c>
      <c r="I115" s="1"/>
    </row>
    <row r="116" spans="1:9" ht="63" x14ac:dyDescent="0.25">
      <c r="A116" s="89"/>
      <c r="B116" s="25">
        <v>57</v>
      </c>
      <c r="C116" s="85" t="s">
        <v>881</v>
      </c>
      <c r="D116" s="30" t="s">
        <v>1129</v>
      </c>
      <c r="E116" s="16" t="s">
        <v>1012</v>
      </c>
      <c r="F116" s="18" t="s">
        <v>1016</v>
      </c>
      <c r="G116" s="25">
        <v>20</v>
      </c>
      <c r="H116" s="25">
        <v>8</v>
      </c>
      <c r="I116" s="1"/>
    </row>
    <row r="117" spans="1:9" ht="63" x14ac:dyDescent="0.25">
      <c r="A117" s="89"/>
      <c r="B117" s="25">
        <v>58</v>
      </c>
      <c r="C117" s="85" t="s">
        <v>1028</v>
      </c>
      <c r="D117" s="30" t="s">
        <v>1129</v>
      </c>
      <c r="E117" s="16" t="s">
        <v>1012</v>
      </c>
      <c r="F117" s="18" t="s">
        <v>1016</v>
      </c>
      <c r="G117" s="25">
        <v>3.5179999999999998</v>
      </c>
      <c r="H117" s="25">
        <v>3.3730000000000002</v>
      </c>
      <c r="I117" s="1"/>
    </row>
    <row r="118" spans="1:9" ht="63" x14ac:dyDescent="0.25">
      <c r="A118" s="89"/>
      <c r="B118" s="25">
        <v>59</v>
      </c>
      <c r="C118" s="85" t="s">
        <v>885</v>
      </c>
      <c r="D118" s="30" t="s">
        <v>1131</v>
      </c>
      <c r="E118" s="16" t="s">
        <v>1012</v>
      </c>
      <c r="F118" s="18" t="s">
        <v>1016</v>
      </c>
      <c r="G118" s="25">
        <v>3.5179999999999998</v>
      </c>
      <c r="H118" s="25">
        <v>3.3730000000000002</v>
      </c>
      <c r="I118" s="1"/>
    </row>
    <row r="119" spans="1:9" ht="63" x14ac:dyDescent="0.25">
      <c r="A119" s="89"/>
      <c r="B119" s="25">
        <v>60</v>
      </c>
      <c r="C119" s="85" t="s">
        <v>893</v>
      </c>
      <c r="D119" s="30" t="s">
        <v>1131</v>
      </c>
      <c r="E119" s="16" t="s">
        <v>1012</v>
      </c>
      <c r="F119" s="18" t="s">
        <v>1016</v>
      </c>
      <c r="G119" s="25">
        <v>3.5179999999999998</v>
      </c>
      <c r="H119" s="25">
        <v>3.3730000000000002</v>
      </c>
      <c r="I119" s="1"/>
    </row>
    <row r="120" spans="1:9" ht="75" x14ac:dyDescent="0.25">
      <c r="A120" s="89"/>
      <c r="B120" s="25">
        <v>61</v>
      </c>
      <c r="C120" s="85" t="s">
        <v>903</v>
      </c>
      <c r="D120" s="30" t="s">
        <v>1131</v>
      </c>
      <c r="E120" s="16" t="s">
        <v>1012</v>
      </c>
      <c r="F120" s="18" t="s">
        <v>1016</v>
      </c>
      <c r="G120" s="25">
        <v>3.5179999999999998</v>
      </c>
      <c r="H120" s="25">
        <v>3.3730000000000002</v>
      </c>
      <c r="I120" s="1"/>
    </row>
    <row r="121" spans="1:9" ht="120" x14ac:dyDescent="0.25">
      <c r="A121" s="89"/>
      <c r="B121" s="25">
        <v>62</v>
      </c>
      <c r="C121" s="85" t="s">
        <v>909</v>
      </c>
      <c r="D121" s="30" t="s">
        <v>1131</v>
      </c>
      <c r="E121" s="16" t="s">
        <v>1012</v>
      </c>
      <c r="F121" s="18" t="s">
        <v>1016</v>
      </c>
      <c r="G121" s="25">
        <v>3.5179999999999998</v>
      </c>
      <c r="H121" s="25">
        <v>3.3730000000000002</v>
      </c>
      <c r="I121" s="1"/>
    </row>
    <row r="122" spans="1:9" ht="139.5" customHeight="1" x14ac:dyDescent="0.25">
      <c r="A122" s="89"/>
      <c r="B122" s="25">
        <v>63</v>
      </c>
      <c r="C122" s="85" t="e">
        <f>#REF!</f>
        <v>#REF!</v>
      </c>
      <c r="D122" s="30" t="s">
        <v>1131</v>
      </c>
      <c r="E122" s="16" t="s">
        <v>1012</v>
      </c>
      <c r="F122" s="18" t="s">
        <v>1016</v>
      </c>
      <c r="G122" s="25">
        <v>3.5179999999999998</v>
      </c>
      <c r="H122" s="25">
        <v>3.3730000000000002</v>
      </c>
      <c r="I122" s="1"/>
    </row>
    <row r="123" spans="1:9" ht="241.5" customHeight="1" x14ac:dyDescent="0.25">
      <c r="A123" s="89"/>
      <c r="B123" s="25">
        <v>64</v>
      </c>
      <c r="C123" s="85" t="s">
        <v>1031</v>
      </c>
      <c r="D123" s="30" t="s">
        <v>1131</v>
      </c>
      <c r="E123" s="16" t="s">
        <v>1012</v>
      </c>
      <c r="F123" s="18" t="s">
        <v>1016</v>
      </c>
      <c r="G123" s="25">
        <v>3.5179999999999998</v>
      </c>
      <c r="H123" s="25">
        <v>3.3730000000000002</v>
      </c>
      <c r="I123" s="1"/>
    </row>
    <row r="124" spans="1:9" ht="241.5" customHeight="1" x14ac:dyDescent="0.25">
      <c r="A124" s="89"/>
      <c r="B124" s="25">
        <v>65</v>
      </c>
      <c r="C124" s="85" t="e">
        <f>#REF!</f>
        <v>#REF!</v>
      </c>
      <c r="D124" s="30" t="s">
        <v>1131</v>
      </c>
      <c r="E124" s="16" t="s">
        <v>1012</v>
      </c>
      <c r="F124" s="18" t="s">
        <v>1016</v>
      </c>
      <c r="G124" s="25">
        <v>3.5179999999999998</v>
      </c>
      <c r="H124" s="25">
        <v>3.3730000000000002</v>
      </c>
      <c r="I124" s="1"/>
    </row>
    <row r="125" spans="1:9" ht="63" x14ac:dyDescent="0.25">
      <c r="A125" s="89"/>
      <c r="B125" s="25">
        <v>66</v>
      </c>
      <c r="C125" s="85" t="s">
        <v>902</v>
      </c>
      <c r="D125" s="30" t="s">
        <v>1131</v>
      </c>
      <c r="E125" s="16" t="s">
        <v>1012</v>
      </c>
      <c r="F125" s="18" t="s">
        <v>1016</v>
      </c>
      <c r="G125" s="25">
        <v>3.5179999999999998</v>
      </c>
      <c r="H125" s="25">
        <v>3.3730000000000002</v>
      </c>
      <c r="I125" s="1"/>
    </row>
    <row r="126" spans="1:9" ht="75" x14ac:dyDescent="0.25">
      <c r="A126" s="89"/>
      <c r="B126" s="25">
        <v>67</v>
      </c>
      <c r="C126" s="85" t="s">
        <v>912</v>
      </c>
      <c r="D126" s="30" t="s">
        <v>1167</v>
      </c>
      <c r="E126" s="16" t="s">
        <v>1012</v>
      </c>
      <c r="F126" s="18" t="s">
        <v>1016</v>
      </c>
      <c r="G126" s="25">
        <v>13</v>
      </c>
      <c r="H126" s="25">
        <v>4</v>
      </c>
      <c r="I126" s="1"/>
    </row>
    <row r="127" spans="1:9" ht="63" x14ac:dyDescent="0.25">
      <c r="A127" s="89"/>
      <c r="B127" s="25">
        <v>68</v>
      </c>
      <c r="C127" s="85" t="s">
        <v>1047</v>
      </c>
      <c r="D127" s="30" t="s">
        <v>1167</v>
      </c>
      <c r="E127" s="16" t="s">
        <v>1012</v>
      </c>
      <c r="F127" s="18" t="s">
        <v>1016</v>
      </c>
      <c r="G127" s="25">
        <v>13</v>
      </c>
      <c r="H127" s="25">
        <v>4</v>
      </c>
      <c r="I127" s="1"/>
    </row>
    <row r="128" spans="1:9" ht="75" x14ac:dyDescent="0.25">
      <c r="A128" s="89"/>
      <c r="B128" s="25">
        <v>69</v>
      </c>
      <c r="C128" s="85" t="s">
        <v>926</v>
      </c>
      <c r="D128" s="30" t="s">
        <v>1131</v>
      </c>
      <c r="E128" s="16" t="s">
        <v>1012</v>
      </c>
      <c r="F128" s="18" t="s">
        <v>1016</v>
      </c>
      <c r="G128" s="25">
        <v>3.5179999999999998</v>
      </c>
      <c r="H128" s="25">
        <v>3.3730000000000002</v>
      </c>
      <c r="I128" s="1"/>
    </row>
    <row r="129" spans="1:9" ht="105" x14ac:dyDescent="0.25">
      <c r="A129" s="89"/>
      <c r="B129" s="25">
        <v>70</v>
      </c>
      <c r="C129" s="85" t="s">
        <v>952</v>
      </c>
      <c r="D129" s="30" t="s">
        <v>1131</v>
      </c>
      <c r="E129" s="16" t="s">
        <v>1012</v>
      </c>
      <c r="F129" s="18" t="s">
        <v>1016</v>
      </c>
      <c r="G129" s="25">
        <v>3.5179999999999998</v>
      </c>
      <c r="H129" s="25">
        <v>3.3730000000000002</v>
      </c>
      <c r="I129" s="1"/>
    </row>
    <row r="130" spans="1:9" ht="101.25" customHeight="1" x14ac:dyDescent="0.25">
      <c r="A130" s="89"/>
      <c r="B130" s="25">
        <v>71</v>
      </c>
      <c r="C130" s="85" t="s">
        <v>963</v>
      </c>
      <c r="D130" s="30" t="s">
        <v>1131</v>
      </c>
      <c r="E130" s="16" t="s">
        <v>1012</v>
      </c>
      <c r="F130" s="18" t="s">
        <v>1016</v>
      </c>
      <c r="G130" s="25">
        <v>3.5179999999999998</v>
      </c>
      <c r="H130" s="25">
        <v>3.3730000000000002</v>
      </c>
      <c r="I130" s="1"/>
    </row>
    <row r="131" spans="1:9" ht="93.75" customHeight="1" x14ac:dyDescent="0.25">
      <c r="A131" s="89"/>
      <c r="B131" s="25">
        <v>72</v>
      </c>
      <c r="C131" s="85" t="s">
        <v>969</v>
      </c>
      <c r="D131" s="30" t="s">
        <v>1131</v>
      </c>
      <c r="E131" s="16" t="s">
        <v>1012</v>
      </c>
      <c r="F131" s="18" t="s">
        <v>1016</v>
      </c>
      <c r="G131" s="25">
        <v>3.5179999999999998</v>
      </c>
      <c r="H131" s="25">
        <v>3.3730000000000002</v>
      </c>
      <c r="I131" s="1"/>
    </row>
    <row r="132" spans="1:9" ht="105" x14ac:dyDescent="0.25">
      <c r="A132" s="89"/>
      <c r="B132" s="25">
        <v>73</v>
      </c>
      <c r="C132" s="85" t="s">
        <v>1068</v>
      </c>
      <c r="D132" s="30" t="s">
        <v>1131</v>
      </c>
      <c r="E132" s="16" t="s">
        <v>1012</v>
      </c>
      <c r="F132" s="18" t="s">
        <v>1016</v>
      </c>
      <c r="G132" s="25">
        <v>3.5179999999999998</v>
      </c>
      <c r="H132" s="25">
        <v>3.3730000000000002</v>
      </c>
      <c r="I132" s="1"/>
    </row>
    <row r="133" spans="1:9" ht="63" x14ac:dyDescent="0.25">
      <c r="A133" s="89"/>
      <c r="B133" s="25">
        <v>74</v>
      </c>
      <c r="C133" s="85" t="s">
        <v>1112</v>
      </c>
      <c r="D133" s="30" t="s">
        <v>1168</v>
      </c>
      <c r="E133" s="16" t="s">
        <v>1012</v>
      </c>
      <c r="F133" s="10" t="s">
        <v>1016</v>
      </c>
      <c r="G133" s="86">
        <v>5</v>
      </c>
      <c r="H133" s="86">
        <v>3</v>
      </c>
      <c r="I133" s="1"/>
    </row>
    <row r="134" spans="1:9" ht="104.25" customHeight="1" x14ac:dyDescent="0.25">
      <c r="A134" s="89"/>
      <c r="B134" s="25">
        <v>75</v>
      </c>
      <c r="C134" s="85" t="s">
        <v>468</v>
      </c>
      <c r="D134" s="30" t="s">
        <v>1168</v>
      </c>
      <c r="E134" s="16" t="s">
        <v>1012</v>
      </c>
      <c r="F134" s="10" t="s">
        <v>1016</v>
      </c>
      <c r="G134" s="86">
        <v>5</v>
      </c>
      <c r="H134" s="86">
        <v>3</v>
      </c>
      <c r="I134" s="1"/>
    </row>
    <row r="135" spans="1:9" ht="15.75" x14ac:dyDescent="0.25">
      <c r="A135" s="90"/>
      <c r="B135" s="25"/>
      <c r="C135" s="85"/>
      <c r="D135" s="30"/>
      <c r="E135" s="16"/>
      <c r="F135" s="10"/>
      <c r="G135" s="82"/>
      <c r="H135" s="82"/>
      <c r="I135" s="1"/>
    </row>
    <row r="136" spans="1:9" ht="105" x14ac:dyDescent="0.25">
      <c r="A136" s="80" t="s">
        <v>1136</v>
      </c>
      <c r="B136" s="25">
        <v>1</v>
      </c>
      <c r="C136" s="88" t="s">
        <v>540</v>
      </c>
      <c r="D136" s="30" t="s">
        <v>1135</v>
      </c>
      <c r="E136" s="16" t="s">
        <v>1012</v>
      </c>
      <c r="F136" s="18" t="s">
        <v>1016</v>
      </c>
      <c r="G136" s="25">
        <v>40</v>
      </c>
      <c r="H136" s="25">
        <v>40</v>
      </c>
      <c r="I136" s="1"/>
    </row>
    <row r="137" spans="1:9" ht="69" customHeight="1" x14ac:dyDescent="0.25">
      <c r="A137" s="89"/>
      <c r="B137" s="25">
        <v>2</v>
      </c>
      <c r="C137" s="81" t="s">
        <v>1071</v>
      </c>
      <c r="D137" s="30" t="s">
        <v>1135</v>
      </c>
      <c r="E137" s="16" t="s">
        <v>1012</v>
      </c>
      <c r="F137" s="18" t="s">
        <v>1016</v>
      </c>
      <c r="G137" s="25">
        <v>40</v>
      </c>
      <c r="H137" s="25">
        <v>40</v>
      </c>
      <c r="I137" s="1"/>
    </row>
    <row r="138" spans="1:9" ht="91.5" customHeight="1" x14ac:dyDescent="0.25">
      <c r="A138" s="89"/>
      <c r="B138" s="25">
        <v>3</v>
      </c>
      <c r="C138" s="85" t="s">
        <v>1087</v>
      </c>
      <c r="D138" s="30" t="s">
        <v>1135</v>
      </c>
      <c r="E138" s="16" t="s">
        <v>1012</v>
      </c>
      <c r="F138" s="18" t="s">
        <v>1016</v>
      </c>
      <c r="G138" s="25">
        <v>40</v>
      </c>
      <c r="H138" s="25">
        <v>40</v>
      </c>
      <c r="I138" s="1"/>
    </row>
    <row r="139" spans="1:9" ht="225" x14ac:dyDescent="0.25">
      <c r="A139" s="89"/>
      <c r="B139" s="25">
        <v>4</v>
      </c>
      <c r="C139" s="85" t="s">
        <v>1031</v>
      </c>
      <c r="D139" s="30" t="s">
        <v>1131</v>
      </c>
      <c r="E139" s="16" t="s">
        <v>1012</v>
      </c>
      <c r="F139" s="18" t="s">
        <v>1016</v>
      </c>
      <c r="G139" s="25">
        <v>3.5179999999999998</v>
      </c>
      <c r="H139" s="25">
        <v>3.3730000000000002</v>
      </c>
      <c r="I139" s="1"/>
    </row>
    <row r="140" spans="1:9" ht="90.75" customHeight="1" x14ac:dyDescent="0.25">
      <c r="A140" s="89"/>
      <c r="B140" s="25">
        <v>5</v>
      </c>
      <c r="C140" s="85" t="s">
        <v>494</v>
      </c>
      <c r="D140" s="30" t="s">
        <v>1131</v>
      </c>
      <c r="E140" s="16" t="s">
        <v>1012</v>
      </c>
      <c r="F140" s="10" t="s">
        <v>1016</v>
      </c>
      <c r="G140" s="86">
        <v>30</v>
      </c>
      <c r="H140" s="86"/>
      <c r="I140" s="1"/>
    </row>
    <row r="141" spans="1:9" ht="63" x14ac:dyDescent="0.25">
      <c r="A141" s="89"/>
      <c r="B141" s="25">
        <v>6</v>
      </c>
      <c r="C141" s="85" t="s">
        <v>1029</v>
      </c>
      <c r="D141" s="30" t="s">
        <v>1131</v>
      </c>
      <c r="E141" s="16" t="s">
        <v>1012</v>
      </c>
      <c r="F141" s="10" t="s">
        <v>1016</v>
      </c>
      <c r="G141" s="86">
        <v>35</v>
      </c>
      <c r="H141" s="86"/>
      <c r="I141" s="1"/>
    </row>
    <row r="142" spans="1:9" ht="63.75" customHeight="1" x14ac:dyDescent="0.25">
      <c r="A142" s="89"/>
      <c r="B142" s="25">
        <v>7</v>
      </c>
      <c r="C142" s="85" t="s">
        <v>1089</v>
      </c>
      <c r="D142" s="30" t="s">
        <v>1131</v>
      </c>
      <c r="E142" s="16" t="s">
        <v>1012</v>
      </c>
      <c r="F142" s="10" t="s">
        <v>1016</v>
      </c>
      <c r="G142" s="86">
        <v>30</v>
      </c>
      <c r="H142" s="86"/>
      <c r="I142" s="1"/>
    </row>
    <row r="143" spans="1:9" ht="63" x14ac:dyDescent="0.25">
      <c r="A143" s="89"/>
      <c r="B143" s="25">
        <v>8</v>
      </c>
      <c r="C143" s="85" t="s">
        <v>414</v>
      </c>
      <c r="D143" s="30" t="s">
        <v>1129</v>
      </c>
      <c r="E143" s="16" t="s">
        <v>1012</v>
      </c>
      <c r="F143" s="10" t="s">
        <v>1016</v>
      </c>
      <c r="G143" s="86">
        <v>20</v>
      </c>
      <c r="H143" s="86">
        <v>8</v>
      </c>
      <c r="I143" s="1"/>
    </row>
    <row r="144" spans="1:9" ht="75" x14ac:dyDescent="0.25">
      <c r="A144" s="89"/>
      <c r="B144" s="25">
        <v>9</v>
      </c>
      <c r="C144" s="85" t="s">
        <v>427</v>
      </c>
      <c r="D144" s="30" t="s">
        <v>1129</v>
      </c>
      <c r="E144" s="16" t="s">
        <v>1012</v>
      </c>
      <c r="F144" s="10" t="s">
        <v>1016</v>
      </c>
      <c r="G144" s="86">
        <v>20</v>
      </c>
      <c r="H144" s="86">
        <v>8</v>
      </c>
      <c r="I144" s="1"/>
    </row>
    <row r="145" spans="1:12" ht="63" x14ac:dyDescent="0.25">
      <c r="A145" s="89"/>
      <c r="B145" s="25">
        <v>10</v>
      </c>
      <c r="C145" s="85" t="s">
        <v>461</v>
      </c>
      <c r="D145" s="30" t="s">
        <v>1129</v>
      </c>
      <c r="E145" s="16" t="s">
        <v>1012</v>
      </c>
      <c r="F145" s="10" t="s">
        <v>1016</v>
      </c>
      <c r="G145" s="86">
        <v>20</v>
      </c>
      <c r="H145" s="86">
        <v>8</v>
      </c>
      <c r="I145" s="1"/>
    </row>
    <row r="146" spans="1:12" ht="63" x14ac:dyDescent="0.25">
      <c r="A146" s="89"/>
      <c r="B146" s="25">
        <v>11</v>
      </c>
      <c r="C146" s="85" t="s">
        <v>431</v>
      </c>
      <c r="D146" s="30" t="s">
        <v>1153</v>
      </c>
      <c r="E146" s="16" t="s">
        <v>1012</v>
      </c>
      <c r="F146" s="10" t="s">
        <v>1016</v>
      </c>
      <c r="G146" s="86">
        <v>8</v>
      </c>
      <c r="H146" s="86">
        <v>1</v>
      </c>
      <c r="I146" s="1"/>
    </row>
    <row r="147" spans="1:12" ht="114.75" customHeight="1" x14ac:dyDescent="0.25">
      <c r="A147" s="89"/>
      <c r="B147" s="25">
        <v>12</v>
      </c>
      <c r="C147" s="85" t="s">
        <v>489</v>
      </c>
      <c r="D147" s="30" t="s">
        <v>1166</v>
      </c>
      <c r="E147" s="16" t="s">
        <v>1012</v>
      </c>
      <c r="F147" s="10" t="s">
        <v>1016</v>
      </c>
      <c r="G147" s="86"/>
      <c r="H147" s="86">
        <v>32</v>
      </c>
      <c r="I147" s="1"/>
      <c r="L147" s="68"/>
    </row>
    <row r="148" spans="1:12" ht="63" x14ac:dyDescent="0.25">
      <c r="A148" s="89"/>
      <c r="B148" s="25">
        <v>13</v>
      </c>
      <c r="C148" s="85" t="s">
        <v>1113</v>
      </c>
      <c r="D148" s="30" t="s">
        <v>1131</v>
      </c>
      <c r="E148" s="16" t="s">
        <v>1012</v>
      </c>
      <c r="F148" s="10" t="s">
        <v>1016</v>
      </c>
      <c r="G148" s="86">
        <v>5</v>
      </c>
      <c r="H148" s="86"/>
      <c r="I148" s="1"/>
      <c r="L148" s="68"/>
    </row>
    <row r="149" spans="1:12" ht="63" x14ac:dyDescent="0.25">
      <c r="A149" s="89"/>
      <c r="B149" s="25">
        <v>14</v>
      </c>
      <c r="C149" s="85" t="s">
        <v>1112</v>
      </c>
      <c r="D149" s="30" t="s">
        <v>1130</v>
      </c>
      <c r="E149" s="16" t="s">
        <v>1012</v>
      </c>
      <c r="F149" s="10" t="s">
        <v>1016</v>
      </c>
      <c r="G149" s="86">
        <v>5</v>
      </c>
      <c r="H149" s="86">
        <v>3</v>
      </c>
      <c r="I149" s="1"/>
      <c r="L149" s="68"/>
    </row>
    <row r="150" spans="1:12" ht="63" x14ac:dyDescent="0.25">
      <c r="A150" s="89"/>
      <c r="B150" s="25">
        <v>15</v>
      </c>
      <c r="C150" s="85" t="s">
        <v>1072</v>
      </c>
      <c r="D150" s="30" t="s">
        <v>1131</v>
      </c>
      <c r="E150" s="16" t="s">
        <v>1012</v>
      </c>
      <c r="F150" s="10" t="s">
        <v>1016</v>
      </c>
      <c r="G150" s="86">
        <v>50</v>
      </c>
      <c r="H150" s="86"/>
      <c r="I150" s="1"/>
    </row>
    <row r="151" spans="1:12" ht="90" x14ac:dyDescent="0.25">
      <c r="A151" s="89"/>
      <c r="B151" s="25">
        <v>16</v>
      </c>
      <c r="C151" s="85" t="s">
        <v>1073</v>
      </c>
      <c r="D151" s="30" t="s">
        <v>1166</v>
      </c>
      <c r="E151" s="16" t="s">
        <v>1012</v>
      </c>
      <c r="F151" s="10" t="s">
        <v>1016</v>
      </c>
      <c r="G151" s="86"/>
      <c r="H151" s="86">
        <v>32</v>
      </c>
      <c r="I151" s="1"/>
    </row>
    <row r="152" spans="1:12" ht="106.5" customHeight="1" x14ac:dyDescent="0.25">
      <c r="A152" s="89"/>
      <c r="B152" s="25">
        <v>17</v>
      </c>
      <c r="C152" s="85" t="s">
        <v>468</v>
      </c>
      <c r="D152" s="30" t="s">
        <v>1130</v>
      </c>
      <c r="E152" s="16" t="s">
        <v>1012</v>
      </c>
      <c r="F152" s="10" t="s">
        <v>1016</v>
      </c>
      <c r="G152" s="86">
        <v>5</v>
      </c>
      <c r="H152" s="86">
        <v>3</v>
      </c>
      <c r="I152" s="1"/>
    </row>
    <row r="153" spans="1:12" x14ac:dyDescent="0.25">
      <c r="A153" s="90"/>
      <c r="B153" s="25"/>
      <c r="C153" s="85"/>
      <c r="D153" s="30"/>
      <c r="E153" s="31"/>
      <c r="F153" s="25"/>
      <c r="G153" s="86"/>
      <c r="H153" s="86"/>
      <c r="I153" s="1"/>
    </row>
    <row r="154" spans="1:12" ht="69" customHeight="1" x14ac:dyDescent="0.25">
      <c r="A154" s="2317" t="s">
        <v>1137</v>
      </c>
      <c r="B154" s="25">
        <v>1</v>
      </c>
      <c r="C154" s="85" t="s">
        <v>1027</v>
      </c>
      <c r="D154" s="30" t="s">
        <v>1131</v>
      </c>
      <c r="E154" s="16" t="s">
        <v>1012</v>
      </c>
      <c r="F154" s="18" t="s">
        <v>1039</v>
      </c>
      <c r="G154" s="25">
        <v>3.5179999999999998</v>
      </c>
      <c r="H154" s="25">
        <v>3.3730000000000002</v>
      </c>
      <c r="I154" s="1"/>
    </row>
    <row r="155" spans="1:12" ht="69" customHeight="1" x14ac:dyDescent="0.25">
      <c r="A155" s="2318"/>
      <c r="B155" s="25">
        <v>2</v>
      </c>
      <c r="C155" s="85" t="s">
        <v>967</v>
      </c>
      <c r="D155" s="30" t="s">
        <v>1166</v>
      </c>
      <c r="E155" s="16" t="s">
        <v>1012</v>
      </c>
      <c r="F155" s="18" t="s">
        <v>1016</v>
      </c>
      <c r="G155" s="25">
        <v>3.5179999999999998</v>
      </c>
      <c r="H155" s="25">
        <v>3.3730000000000002</v>
      </c>
      <c r="I155" s="1"/>
    </row>
    <row r="156" spans="1:12" x14ac:dyDescent="0.25">
      <c r="A156" s="2318"/>
      <c r="B156" s="25"/>
      <c r="C156" s="85"/>
      <c r="D156" s="30"/>
      <c r="E156" s="31"/>
      <c r="F156" s="25"/>
      <c r="G156" s="86"/>
      <c r="H156" s="86"/>
      <c r="I156" s="1"/>
    </row>
    <row r="157" spans="1:12" ht="70.5" customHeight="1" x14ac:dyDescent="0.25">
      <c r="A157" s="80" t="s">
        <v>1138</v>
      </c>
      <c r="B157" s="25">
        <v>1</v>
      </c>
      <c r="C157" s="85" t="s">
        <v>800</v>
      </c>
      <c r="D157" s="30" t="s">
        <v>1131</v>
      </c>
      <c r="E157" s="16" t="s">
        <v>1012</v>
      </c>
      <c r="F157" s="18" t="s">
        <v>1039</v>
      </c>
      <c r="G157" s="25">
        <v>3.5179999999999998</v>
      </c>
      <c r="H157" s="25">
        <v>3.3730000000000002</v>
      </c>
      <c r="I157" s="1"/>
    </row>
    <row r="158" spans="1:12" ht="105.75" customHeight="1" x14ac:dyDescent="0.25">
      <c r="A158" s="89"/>
      <c r="B158" s="25">
        <v>2</v>
      </c>
      <c r="C158" s="85" t="s">
        <v>805</v>
      </c>
      <c r="D158" s="30" t="s">
        <v>1131</v>
      </c>
      <c r="E158" s="16" t="s">
        <v>1012</v>
      </c>
      <c r="F158" s="18" t="s">
        <v>1039</v>
      </c>
      <c r="G158" s="25">
        <v>3.5179999999999998</v>
      </c>
      <c r="H158" s="25">
        <v>3.3730000000000002</v>
      </c>
      <c r="I158" s="1"/>
    </row>
    <row r="159" spans="1:12" ht="67.5" customHeight="1" x14ac:dyDescent="0.25">
      <c r="A159" s="89"/>
      <c r="B159" s="25">
        <v>3</v>
      </c>
      <c r="C159" s="85" t="s">
        <v>816</v>
      </c>
      <c r="D159" s="30" t="s">
        <v>1131</v>
      </c>
      <c r="E159" s="16" t="s">
        <v>1012</v>
      </c>
      <c r="F159" s="18" t="s">
        <v>1039</v>
      </c>
      <c r="G159" s="25">
        <v>3.5179999999999998</v>
      </c>
      <c r="H159" s="25">
        <v>3.3730000000000002</v>
      </c>
      <c r="I159" s="1"/>
    </row>
    <row r="160" spans="1:12" ht="93" customHeight="1" x14ac:dyDescent="0.25">
      <c r="A160" s="89"/>
      <c r="B160" s="25">
        <v>4</v>
      </c>
      <c r="C160" s="85" t="s">
        <v>1088</v>
      </c>
      <c r="D160" s="30" t="s">
        <v>1131</v>
      </c>
      <c r="E160" s="16" t="s">
        <v>1012</v>
      </c>
      <c r="F160" s="18" t="s">
        <v>1043</v>
      </c>
      <c r="G160" s="25">
        <v>3.5179999999999998</v>
      </c>
      <c r="H160" s="25">
        <v>3.3730000000000002</v>
      </c>
      <c r="I160" s="1"/>
    </row>
    <row r="161" spans="1:9" ht="86.25" customHeight="1" x14ac:dyDescent="0.25">
      <c r="A161" s="89"/>
      <c r="B161" s="25">
        <v>5</v>
      </c>
      <c r="C161" s="85" t="s">
        <v>1052</v>
      </c>
      <c r="D161" s="30" t="s">
        <v>1131</v>
      </c>
      <c r="E161" s="16" t="s">
        <v>1012</v>
      </c>
      <c r="F161" s="18" t="s">
        <v>1016</v>
      </c>
      <c r="G161" s="25">
        <v>3.5179999999999998</v>
      </c>
      <c r="H161" s="25">
        <v>3.3730000000000002</v>
      </c>
      <c r="I161" s="1"/>
    </row>
    <row r="162" spans="1:9" ht="30.75" customHeight="1" x14ac:dyDescent="0.25">
      <c r="A162" s="90"/>
      <c r="B162" s="25"/>
      <c r="C162" s="76"/>
      <c r="D162" s="30"/>
      <c r="E162" s="31"/>
      <c r="F162" s="25"/>
      <c r="G162" s="86"/>
      <c r="H162" s="86"/>
      <c r="I162" s="1"/>
    </row>
    <row r="163" spans="1:9" ht="30" x14ac:dyDescent="0.25">
      <c r="A163" s="83" t="s">
        <v>1139</v>
      </c>
      <c r="B163" s="25"/>
      <c r="C163" s="76"/>
      <c r="D163" s="30"/>
      <c r="E163" s="31"/>
      <c r="F163" s="25"/>
      <c r="G163" s="86"/>
      <c r="H163" s="86"/>
      <c r="I163" s="1"/>
    </row>
    <row r="164" spans="1:9" ht="105" customHeight="1" x14ac:dyDescent="0.25">
      <c r="A164" s="2317" t="s">
        <v>1140</v>
      </c>
      <c r="B164" s="25">
        <v>1</v>
      </c>
      <c r="C164" s="85" t="s">
        <v>494</v>
      </c>
      <c r="D164" s="30" t="s">
        <v>1131</v>
      </c>
      <c r="E164" s="16" t="s">
        <v>1012</v>
      </c>
      <c r="F164" s="10" t="s">
        <v>1016</v>
      </c>
      <c r="G164" s="86">
        <v>30</v>
      </c>
      <c r="H164" s="86"/>
      <c r="I164" s="1"/>
    </row>
    <row r="165" spans="1:9" ht="51.75" customHeight="1" x14ac:dyDescent="0.25">
      <c r="A165" s="2318"/>
      <c r="B165" s="25">
        <v>2</v>
      </c>
      <c r="C165" s="81" t="s">
        <v>1029</v>
      </c>
      <c r="D165" s="30" t="s">
        <v>1131</v>
      </c>
      <c r="E165" s="16" t="s">
        <v>1012</v>
      </c>
      <c r="F165" s="10" t="s">
        <v>1016</v>
      </c>
      <c r="G165" s="86">
        <v>35</v>
      </c>
      <c r="H165" s="86"/>
      <c r="I165" s="1"/>
    </row>
    <row r="166" spans="1:9" ht="63" x14ac:dyDescent="0.25">
      <c r="A166" s="2318"/>
      <c r="B166" s="25">
        <v>3</v>
      </c>
      <c r="C166" s="85" t="s">
        <v>1089</v>
      </c>
      <c r="D166" s="30" t="s">
        <v>1131</v>
      </c>
      <c r="E166" s="16" t="s">
        <v>1012</v>
      </c>
      <c r="F166" s="10" t="s">
        <v>1016</v>
      </c>
      <c r="G166" s="86">
        <v>30</v>
      </c>
      <c r="H166" s="86"/>
      <c r="I166" s="1"/>
    </row>
    <row r="167" spans="1:9" ht="63" x14ac:dyDescent="0.25">
      <c r="A167" s="2318"/>
      <c r="B167" s="25">
        <v>4</v>
      </c>
      <c r="C167" s="85" t="s">
        <v>414</v>
      </c>
      <c r="D167" s="30" t="s">
        <v>1129</v>
      </c>
      <c r="E167" s="16" t="s">
        <v>1012</v>
      </c>
      <c r="F167" s="10" t="s">
        <v>1016</v>
      </c>
      <c r="G167" s="86">
        <v>20</v>
      </c>
      <c r="H167" s="86">
        <v>8</v>
      </c>
      <c r="I167" s="1"/>
    </row>
    <row r="168" spans="1:9" ht="75" x14ac:dyDescent="0.25">
      <c r="A168" s="2318"/>
      <c r="B168" s="25">
        <v>5</v>
      </c>
      <c r="C168" s="85" t="s">
        <v>427</v>
      </c>
      <c r="D168" s="30" t="s">
        <v>1129</v>
      </c>
      <c r="E168" s="16" t="s">
        <v>1012</v>
      </c>
      <c r="F168" s="10" t="s">
        <v>1016</v>
      </c>
      <c r="G168" s="86">
        <v>20</v>
      </c>
      <c r="H168" s="86">
        <v>8</v>
      </c>
      <c r="I168" s="1"/>
    </row>
    <row r="169" spans="1:9" ht="63" x14ac:dyDescent="0.25">
      <c r="A169" s="2318"/>
      <c r="B169" s="25">
        <v>6</v>
      </c>
      <c r="C169" s="85" t="s">
        <v>461</v>
      </c>
      <c r="D169" s="30" t="s">
        <v>1129</v>
      </c>
      <c r="E169" s="16" t="s">
        <v>1012</v>
      </c>
      <c r="F169" s="10" t="s">
        <v>1016</v>
      </c>
      <c r="G169" s="86">
        <v>20</v>
      </c>
      <c r="H169" s="86">
        <v>8</v>
      </c>
      <c r="I169" s="1"/>
    </row>
    <row r="170" spans="1:9" ht="63" x14ac:dyDescent="0.25">
      <c r="A170" s="2318"/>
      <c r="B170" s="25">
        <v>7</v>
      </c>
      <c r="C170" s="85" t="s">
        <v>431</v>
      </c>
      <c r="D170" s="30" t="s">
        <v>1153</v>
      </c>
      <c r="E170" s="16" t="s">
        <v>1012</v>
      </c>
      <c r="F170" s="10" t="s">
        <v>1016</v>
      </c>
      <c r="G170" s="86">
        <v>8</v>
      </c>
      <c r="H170" s="86">
        <v>1</v>
      </c>
      <c r="I170" s="1"/>
    </row>
    <row r="171" spans="1:9" ht="90" x14ac:dyDescent="0.25">
      <c r="A171" s="2318"/>
      <c r="B171" s="25">
        <v>8</v>
      </c>
      <c r="C171" s="85" t="s">
        <v>489</v>
      </c>
      <c r="D171" s="30" t="s">
        <v>1166</v>
      </c>
      <c r="E171" s="16" t="s">
        <v>1012</v>
      </c>
      <c r="F171" s="10" t="s">
        <v>1016</v>
      </c>
      <c r="G171" s="86"/>
      <c r="H171" s="86">
        <v>32</v>
      </c>
      <c r="I171" s="1"/>
    </row>
    <row r="172" spans="1:9" ht="63" x14ac:dyDescent="0.25">
      <c r="A172" s="2318"/>
      <c r="B172" s="25">
        <v>9</v>
      </c>
      <c r="C172" s="85" t="s">
        <v>1113</v>
      </c>
      <c r="D172" s="30" t="s">
        <v>1131</v>
      </c>
      <c r="E172" s="16" t="s">
        <v>1012</v>
      </c>
      <c r="F172" s="10" t="s">
        <v>1016</v>
      </c>
      <c r="G172" s="86">
        <v>5</v>
      </c>
      <c r="H172" s="86"/>
      <c r="I172" s="1"/>
    </row>
    <row r="173" spans="1:9" ht="63" x14ac:dyDescent="0.25">
      <c r="A173" s="2318"/>
      <c r="B173" s="25">
        <v>10</v>
      </c>
      <c r="C173" s="85" t="s">
        <v>1112</v>
      </c>
      <c r="D173" s="30" t="s">
        <v>1130</v>
      </c>
      <c r="E173" s="16" t="s">
        <v>1012</v>
      </c>
      <c r="F173" s="10" t="s">
        <v>1016</v>
      </c>
      <c r="G173" s="86">
        <v>5</v>
      </c>
      <c r="H173" s="86">
        <v>3</v>
      </c>
      <c r="I173" s="1"/>
    </row>
    <row r="174" spans="1:9" ht="63" x14ac:dyDescent="0.25">
      <c r="A174" s="2318"/>
      <c r="B174" s="25">
        <v>11</v>
      </c>
      <c r="C174" s="85" t="s">
        <v>1072</v>
      </c>
      <c r="D174" s="30" t="s">
        <v>1131</v>
      </c>
      <c r="E174" s="16" t="s">
        <v>1012</v>
      </c>
      <c r="F174" s="10" t="s">
        <v>1016</v>
      </c>
      <c r="G174" s="86">
        <v>50</v>
      </c>
      <c r="H174" s="86"/>
      <c r="I174" s="1"/>
    </row>
    <row r="175" spans="1:9" ht="90" x14ac:dyDescent="0.25">
      <c r="A175" s="2318"/>
      <c r="B175" s="25">
        <v>12</v>
      </c>
      <c r="C175" s="85" t="s">
        <v>1073</v>
      </c>
      <c r="D175" s="30" t="s">
        <v>1166</v>
      </c>
      <c r="E175" s="16" t="s">
        <v>1012</v>
      </c>
      <c r="F175" s="10" t="s">
        <v>1016</v>
      </c>
      <c r="G175" s="86"/>
      <c r="H175" s="86">
        <v>32</v>
      </c>
      <c r="I175" s="1"/>
    </row>
    <row r="176" spans="1:9" ht="90" x14ac:dyDescent="0.25">
      <c r="A176" s="2319"/>
      <c r="B176" s="25">
        <v>13</v>
      </c>
      <c r="C176" s="85" t="s">
        <v>468</v>
      </c>
      <c r="D176" s="30" t="s">
        <v>1130</v>
      </c>
      <c r="E176" s="16" t="s">
        <v>1012</v>
      </c>
      <c r="F176" s="10" t="s">
        <v>1016</v>
      </c>
      <c r="G176" s="86">
        <v>5</v>
      </c>
      <c r="H176" s="86">
        <v>3</v>
      </c>
      <c r="I176" s="1"/>
    </row>
    <row r="177" spans="1:9" x14ac:dyDescent="0.25">
      <c r="A177" s="87"/>
      <c r="B177" s="25"/>
      <c r="C177" s="85"/>
      <c r="D177" s="30"/>
      <c r="E177" s="31"/>
      <c r="F177" s="25"/>
      <c r="G177" s="86"/>
      <c r="H177" s="86"/>
      <c r="I177" s="1"/>
    </row>
    <row r="178" spans="1:9" ht="105" x14ac:dyDescent="0.25">
      <c r="A178" s="80" t="s">
        <v>1141</v>
      </c>
      <c r="B178" s="25">
        <v>1</v>
      </c>
      <c r="C178" s="85" t="s">
        <v>1066</v>
      </c>
      <c r="D178" s="30" t="s">
        <v>1131</v>
      </c>
      <c r="E178" s="31" t="s">
        <v>1012</v>
      </c>
      <c r="F178" s="18" t="s">
        <v>1062</v>
      </c>
      <c r="G178" s="25">
        <v>3.5179999999999998</v>
      </c>
      <c r="H178" s="25">
        <v>3.3730000000000002</v>
      </c>
      <c r="I178" s="1"/>
    </row>
    <row r="179" spans="1:9" ht="90" x14ac:dyDescent="0.25">
      <c r="A179" s="89"/>
      <c r="B179" s="25">
        <v>2</v>
      </c>
      <c r="C179" s="85" t="s">
        <v>1067</v>
      </c>
      <c r="D179" s="30" t="s">
        <v>1131</v>
      </c>
      <c r="E179" s="31" t="s">
        <v>1012</v>
      </c>
      <c r="F179" s="18" t="s">
        <v>1062</v>
      </c>
      <c r="G179" s="25">
        <v>3.5179999999999998</v>
      </c>
      <c r="H179" s="25">
        <v>3.3730000000000002</v>
      </c>
      <c r="I179" s="1"/>
    </row>
    <row r="180" spans="1:9" ht="45" x14ac:dyDescent="0.25">
      <c r="A180" s="89"/>
      <c r="B180" s="25">
        <v>3</v>
      </c>
      <c r="C180" s="85" t="s">
        <v>764</v>
      </c>
      <c r="D180" s="30" t="s">
        <v>1131</v>
      </c>
      <c r="E180" s="31" t="s">
        <v>1012</v>
      </c>
      <c r="F180" s="18" t="s">
        <v>1062</v>
      </c>
      <c r="G180" s="25">
        <v>3.5179999999999998</v>
      </c>
      <c r="H180" s="25">
        <v>3.3730000000000002</v>
      </c>
      <c r="I180" s="1"/>
    </row>
    <row r="181" spans="1:9" ht="60" x14ac:dyDescent="0.25">
      <c r="A181" s="89"/>
      <c r="B181" s="25">
        <v>4</v>
      </c>
      <c r="C181" s="85" t="s">
        <v>765</v>
      </c>
      <c r="D181" s="30" t="s">
        <v>1131</v>
      </c>
      <c r="E181" s="31" t="s">
        <v>1012</v>
      </c>
      <c r="F181" s="18" t="s">
        <v>1062</v>
      </c>
      <c r="G181" s="25">
        <v>3.5179999999999998</v>
      </c>
      <c r="H181" s="25">
        <v>3.3730000000000002</v>
      </c>
      <c r="I181" s="1"/>
    </row>
    <row r="182" spans="1:9" ht="60" x14ac:dyDescent="0.25">
      <c r="A182" s="89"/>
      <c r="B182" s="25">
        <v>5</v>
      </c>
      <c r="C182" s="85" t="s">
        <v>766</v>
      </c>
      <c r="D182" s="30" t="s">
        <v>1131</v>
      </c>
      <c r="E182" s="31" t="s">
        <v>1012</v>
      </c>
      <c r="F182" s="18" t="s">
        <v>1062</v>
      </c>
      <c r="G182" s="25">
        <v>3.5179999999999998</v>
      </c>
      <c r="H182" s="25">
        <v>3.3730000000000002</v>
      </c>
      <c r="I182" s="1"/>
    </row>
    <row r="183" spans="1:9" ht="45" x14ac:dyDescent="0.25">
      <c r="A183" s="89"/>
      <c r="B183" s="25">
        <v>6</v>
      </c>
      <c r="C183" s="85" t="s">
        <v>768</v>
      </c>
      <c r="D183" s="30" t="s">
        <v>1131</v>
      </c>
      <c r="E183" s="31" t="s">
        <v>1012</v>
      </c>
      <c r="F183" s="18" t="s">
        <v>1062</v>
      </c>
      <c r="G183" s="25">
        <v>3.5179999999999998</v>
      </c>
      <c r="H183" s="25">
        <v>3.3730000000000002</v>
      </c>
      <c r="I183" s="1"/>
    </row>
    <row r="184" spans="1:9" ht="45" x14ac:dyDescent="0.25">
      <c r="A184" s="89"/>
      <c r="B184" s="25">
        <v>7</v>
      </c>
      <c r="C184" s="85" t="s">
        <v>769</v>
      </c>
      <c r="D184" s="30" t="s">
        <v>1131</v>
      </c>
      <c r="E184" s="31" t="s">
        <v>1012</v>
      </c>
      <c r="F184" s="18" t="s">
        <v>1062</v>
      </c>
      <c r="G184" s="25">
        <v>3.5179999999999998</v>
      </c>
      <c r="H184" s="25">
        <v>3.3730000000000002</v>
      </c>
      <c r="I184" s="1"/>
    </row>
    <row r="185" spans="1:9" ht="45" x14ac:dyDescent="0.25">
      <c r="A185" s="89"/>
      <c r="B185" s="25">
        <v>8</v>
      </c>
      <c r="C185" s="85" t="s">
        <v>770</v>
      </c>
      <c r="D185" s="30" t="s">
        <v>1131</v>
      </c>
      <c r="E185" s="31" t="s">
        <v>1012</v>
      </c>
      <c r="F185" s="18" t="s">
        <v>1062</v>
      </c>
      <c r="G185" s="25">
        <v>3.5179999999999998</v>
      </c>
      <c r="H185" s="25">
        <v>3.3730000000000002</v>
      </c>
      <c r="I185" s="1"/>
    </row>
    <row r="186" spans="1:9" x14ac:dyDescent="0.25">
      <c r="A186" s="90"/>
      <c r="B186" s="25"/>
      <c r="C186" s="85"/>
      <c r="D186" s="30"/>
      <c r="E186" s="31"/>
      <c r="F186" s="25"/>
      <c r="G186" s="86"/>
      <c r="H186" s="86"/>
      <c r="I186" s="1"/>
    </row>
    <row r="187" spans="1:9" ht="63" x14ac:dyDescent="0.25">
      <c r="A187" s="80" t="s">
        <v>1142</v>
      </c>
      <c r="B187" s="25">
        <v>1</v>
      </c>
      <c r="C187" s="85" t="s">
        <v>8</v>
      </c>
      <c r="D187" s="30" t="s">
        <v>1133</v>
      </c>
      <c r="E187" s="16" t="s">
        <v>1012</v>
      </c>
      <c r="F187" s="18" t="s">
        <v>1013</v>
      </c>
      <c r="G187" s="10">
        <v>1</v>
      </c>
      <c r="H187" s="10"/>
      <c r="I187" s="10"/>
    </row>
    <row r="188" spans="1:9" ht="63" x14ac:dyDescent="0.25">
      <c r="A188" s="89"/>
      <c r="B188" s="25">
        <v>2</v>
      </c>
      <c r="C188" s="85" t="s">
        <v>36</v>
      </c>
      <c r="D188" s="30" t="s">
        <v>1133</v>
      </c>
      <c r="E188" s="16" t="s">
        <v>1012</v>
      </c>
      <c r="F188" s="18" t="s">
        <v>1013</v>
      </c>
      <c r="G188" s="10">
        <v>12</v>
      </c>
      <c r="H188" s="10">
        <v>3</v>
      </c>
      <c r="I188" s="10"/>
    </row>
    <row r="189" spans="1:9" ht="75" x14ac:dyDescent="0.25">
      <c r="A189" s="89"/>
      <c r="B189" s="25">
        <v>3</v>
      </c>
      <c r="C189" s="85" t="s">
        <v>58</v>
      </c>
      <c r="D189" s="30" t="s">
        <v>1133</v>
      </c>
      <c r="E189" s="16" t="s">
        <v>1012</v>
      </c>
      <c r="F189" s="18" t="s">
        <v>1013</v>
      </c>
      <c r="G189" s="10">
        <v>13</v>
      </c>
      <c r="H189" s="10">
        <v>3</v>
      </c>
      <c r="I189" s="10"/>
    </row>
    <row r="190" spans="1:9" ht="63" x14ac:dyDescent="0.25">
      <c r="A190" s="89"/>
      <c r="B190" s="25">
        <v>4</v>
      </c>
      <c r="C190" s="85" t="s">
        <v>80</v>
      </c>
      <c r="D190" s="30" t="s">
        <v>1133</v>
      </c>
      <c r="E190" s="16" t="s">
        <v>1012</v>
      </c>
      <c r="F190" s="18" t="s">
        <v>1013</v>
      </c>
      <c r="G190" s="10">
        <v>3.5179999999999998</v>
      </c>
      <c r="H190" s="10">
        <v>3.3730000000000002</v>
      </c>
      <c r="I190" s="10"/>
    </row>
    <row r="191" spans="1:9" ht="75" x14ac:dyDescent="0.25">
      <c r="A191" s="89"/>
      <c r="B191" s="25">
        <v>5</v>
      </c>
      <c r="C191" s="85" t="s">
        <v>446</v>
      </c>
      <c r="D191" s="30" t="s">
        <v>1133</v>
      </c>
      <c r="E191" s="16" t="s">
        <v>1012</v>
      </c>
      <c r="F191" s="18" t="s">
        <v>1013</v>
      </c>
      <c r="G191" s="10">
        <v>20</v>
      </c>
      <c r="H191" s="10">
        <v>9</v>
      </c>
      <c r="I191" s="10"/>
    </row>
    <row r="192" spans="1:9" ht="63" x14ac:dyDescent="0.25">
      <c r="A192" s="89"/>
      <c r="B192" s="25">
        <v>6</v>
      </c>
      <c r="C192" s="85" t="s">
        <v>238</v>
      </c>
      <c r="D192" s="30" t="s">
        <v>1153</v>
      </c>
      <c r="E192" s="16" t="s">
        <v>1012</v>
      </c>
      <c r="F192" s="18" t="s">
        <v>1013</v>
      </c>
      <c r="G192" s="10">
        <v>8</v>
      </c>
      <c r="H192" s="10">
        <v>1</v>
      </c>
      <c r="I192" s="10"/>
    </row>
    <row r="193" spans="1:9" ht="63" x14ac:dyDescent="0.25">
      <c r="A193" s="89"/>
      <c r="B193" s="25">
        <v>7</v>
      </c>
      <c r="C193" s="85" t="s">
        <v>254</v>
      </c>
      <c r="D193" s="30" t="s">
        <v>1153</v>
      </c>
      <c r="E193" s="16" t="s">
        <v>1012</v>
      </c>
      <c r="F193" s="18" t="s">
        <v>1039</v>
      </c>
      <c r="G193" s="10">
        <v>8</v>
      </c>
      <c r="H193" s="10">
        <v>1</v>
      </c>
      <c r="I193" s="10"/>
    </row>
    <row r="194" spans="1:9" ht="63" x14ac:dyDescent="0.25">
      <c r="A194" s="89"/>
      <c r="B194" s="25">
        <v>8</v>
      </c>
      <c r="C194" s="85" t="s">
        <v>276</v>
      </c>
      <c r="D194" s="30" t="s">
        <v>1153</v>
      </c>
      <c r="E194" s="16" t="s">
        <v>1012</v>
      </c>
      <c r="F194" s="18" t="s">
        <v>1040</v>
      </c>
      <c r="G194" s="10">
        <v>3.5179999999999998</v>
      </c>
      <c r="H194" s="10">
        <v>3.3730000000000002</v>
      </c>
      <c r="I194" s="10"/>
    </row>
    <row r="195" spans="1:9" ht="63" x14ac:dyDescent="0.25">
      <c r="A195" s="89"/>
      <c r="B195" s="25">
        <v>9</v>
      </c>
      <c r="C195" s="85" t="s">
        <v>291</v>
      </c>
      <c r="D195" s="30" t="s">
        <v>1133</v>
      </c>
      <c r="E195" s="16" t="s">
        <v>1012</v>
      </c>
      <c r="F195" s="18" t="s">
        <v>1041</v>
      </c>
      <c r="G195" s="10">
        <v>9</v>
      </c>
      <c r="H195" s="10">
        <v>4</v>
      </c>
      <c r="I195" s="10"/>
    </row>
    <row r="196" spans="1:9" ht="59.25" customHeight="1" x14ac:dyDescent="0.25">
      <c r="A196" s="84"/>
      <c r="B196" s="25">
        <v>10</v>
      </c>
      <c r="C196" s="81" t="s">
        <v>1173</v>
      </c>
      <c r="D196" s="30" t="s">
        <v>1129</v>
      </c>
      <c r="E196" s="16" t="s">
        <v>1012</v>
      </c>
      <c r="F196" s="18" t="s">
        <v>1042</v>
      </c>
      <c r="G196" s="10">
        <v>3.5179999999999998</v>
      </c>
      <c r="H196" s="10">
        <v>3.3730000000000002</v>
      </c>
      <c r="I196" s="10"/>
    </row>
    <row r="197" spans="1:9" ht="63" x14ac:dyDescent="0.25">
      <c r="A197" s="89"/>
      <c r="B197" s="25">
        <v>11</v>
      </c>
      <c r="C197" s="85" t="s">
        <v>452</v>
      </c>
      <c r="D197" s="30" t="s">
        <v>1133</v>
      </c>
      <c r="E197" s="16" t="s">
        <v>1012</v>
      </c>
      <c r="F197" s="18" t="s">
        <v>1013</v>
      </c>
      <c r="G197" s="10">
        <v>3.5179999999999998</v>
      </c>
      <c r="H197" s="10">
        <v>3.3730000000000002</v>
      </c>
      <c r="I197" s="10"/>
    </row>
    <row r="198" spans="1:9" ht="63" x14ac:dyDescent="0.25">
      <c r="A198" s="89"/>
      <c r="B198" s="25">
        <v>12</v>
      </c>
      <c r="C198" s="85" t="s">
        <v>457</v>
      </c>
      <c r="D198" s="30" t="s">
        <v>1133</v>
      </c>
      <c r="E198" s="16" t="s">
        <v>1012</v>
      </c>
      <c r="F198" s="18" t="s">
        <v>1013</v>
      </c>
      <c r="G198" s="10">
        <v>20</v>
      </c>
      <c r="H198" s="10">
        <v>8</v>
      </c>
      <c r="I198" s="10"/>
    </row>
    <row r="199" spans="1:9" ht="63" x14ac:dyDescent="0.25">
      <c r="A199" s="89"/>
      <c r="B199" s="25">
        <v>13</v>
      </c>
      <c r="C199" s="85" t="s">
        <v>506</v>
      </c>
      <c r="D199" s="30" t="s">
        <v>1131</v>
      </c>
      <c r="E199" s="16" t="s">
        <v>1012</v>
      </c>
      <c r="F199" s="18" t="s">
        <v>1013</v>
      </c>
      <c r="G199" s="10">
        <v>1</v>
      </c>
      <c r="H199" s="10"/>
      <c r="I199" s="10"/>
    </row>
    <row r="200" spans="1:9" ht="63" x14ac:dyDescent="0.25">
      <c r="A200" s="89"/>
      <c r="B200" s="25">
        <v>14</v>
      </c>
      <c r="C200" s="85" t="s">
        <v>394</v>
      </c>
      <c r="D200" s="30" t="s">
        <v>1133</v>
      </c>
      <c r="E200" s="16" t="s">
        <v>1012</v>
      </c>
      <c r="F200" s="18" t="s">
        <v>1042</v>
      </c>
      <c r="G200" s="10">
        <v>20</v>
      </c>
      <c r="H200" s="10">
        <v>8</v>
      </c>
      <c r="I200" s="10"/>
    </row>
    <row r="201" spans="1:9" ht="63" x14ac:dyDescent="0.25">
      <c r="A201" s="89"/>
      <c r="B201" s="25">
        <v>15</v>
      </c>
      <c r="C201" s="85" t="s">
        <v>511</v>
      </c>
      <c r="D201" s="30" t="s">
        <v>1133</v>
      </c>
      <c r="E201" s="16" t="s">
        <v>1012</v>
      </c>
      <c r="F201" s="18" t="s">
        <v>1043</v>
      </c>
      <c r="G201" s="10">
        <v>3.5179999999999998</v>
      </c>
      <c r="H201" s="10">
        <v>3.3730000000000002</v>
      </c>
      <c r="I201" s="10"/>
    </row>
    <row r="202" spans="1:9" ht="63" x14ac:dyDescent="0.25">
      <c r="A202" s="89"/>
      <c r="B202" s="25">
        <v>16</v>
      </c>
      <c r="C202" s="85" t="s">
        <v>518</v>
      </c>
      <c r="D202" s="30" t="s">
        <v>1133</v>
      </c>
      <c r="E202" s="16" t="s">
        <v>1012</v>
      </c>
      <c r="F202" s="18" t="s">
        <v>1043</v>
      </c>
      <c r="G202" s="10">
        <v>3.5179999999999998</v>
      </c>
      <c r="H202" s="10">
        <v>3.3730000000000002</v>
      </c>
      <c r="I202" s="10"/>
    </row>
    <row r="203" spans="1:9" ht="63" x14ac:dyDescent="0.25">
      <c r="A203" s="89"/>
      <c r="B203" s="25">
        <v>17</v>
      </c>
      <c r="C203" s="85" t="s">
        <v>519</v>
      </c>
      <c r="D203" s="30" t="s">
        <v>1153</v>
      </c>
      <c r="E203" s="16" t="s">
        <v>1012</v>
      </c>
      <c r="F203" s="18" t="s">
        <v>1043</v>
      </c>
      <c r="G203" s="10">
        <v>3.5179999999999998</v>
      </c>
      <c r="H203" s="10">
        <v>3.3730000000000002</v>
      </c>
      <c r="I203" s="10"/>
    </row>
    <row r="204" spans="1:9" ht="63" x14ac:dyDescent="0.25">
      <c r="A204" s="89"/>
      <c r="B204" s="25">
        <v>18</v>
      </c>
      <c r="C204" s="85" t="s">
        <v>520</v>
      </c>
      <c r="D204" s="30" t="s">
        <v>1133</v>
      </c>
      <c r="E204" s="16" t="s">
        <v>1012</v>
      </c>
      <c r="F204" s="18" t="s">
        <v>1043</v>
      </c>
      <c r="G204" s="10">
        <v>3.5179999999999998</v>
      </c>
      <c r="H204" s="10">
        <v>3.3730000000000002</v>
      </c>
      <c r="I204" s="10"/>
    </row>
    <row r="205" spans="1:9" ht="63" x14ac:dyDescent="0.25">
      <c r="A205" s="89"/>
      <c r="B205" s="25">
        <v>19</v>
      </c>
      <c r="C205" s="85" t="s">
        <v>521</v>
      </c>
      <c r="D205" s="30" t="s">
        <v>1133</v>
      </c>
      <c r="E205" s="16" t="s">
        <v>1012</v>
      </c>
      <c r="F205" s="18" t="s">
        <v>1043</v>
      </c>
      <c r="G205" s="10">
        <v>3.5179999999999998</v>
      </c>
      <c r="H205" s="10">
        <v>3.3730000000000002</v>
      </c>
      <c r="I205" s="10"/>
    </row>
    <row r="206" spans="1:9" ht="75" x14ac:dyDescent="0.25">
      <c r="A206" s="89"/>
      <c r="B206" s="25">
        <v>20</v>
      </c>
      <c r="C206" s="85" t="s">
        <v>320</v>
      </c>
      <c r="D206" s="30" t="s">
        <v>1131</v>
      </c>
      <c r="E206" s="16" t="s">
        <v>1012</v>
      </c>
      <c r="F206" s="18" t="s">
        <v>1043</v>
      </c>
      <c r="G206" s="10">
        <v>3.5179999999999998</v>
      </c>
      <c r="H206" s="10">
        <v>3.3730000000000002</v>
      </c>
      <c r="I206" s="10"/>
    </row>
    <row r="207" spans="1:9" ht="75" x14ac:dyDescent="0.25">
      <c r="A207" s="89"/>
      <c r="B207" s="25">
        <v>21</v>
      </c>
      <c r="C207" s="85" t="s">
        <v>1058</v>
      </c>
      <c r="D207" s="30" t="s">
        <v>1131</v>
      </c>
      <c r="E207" s="16" t="s">
        <v>1012</v>
      </c>
      <c r="F207" s="18" t="s">
        <v>1043</v>
      </c>
      <c r="G207" s="10">
        <v>3.5179999999999998</v>
      </c>
      <c r="H207" s="10">
        <v>3.3730000000000002</v>
      </c>
      <c r="I207" s="10"/>
    </row>
    <row r="208" spans="1:9" ht="75" x14ac:dyDescent="0.25">
      <c r="A208" s="89"/>
      <c r="B208" s="25">
        <v>22</v>
      </c>
      <c r="C208" s="85" t="s">
        <v>1074</v>
      </c>
      <c r="D208" s="30" t="s">
        <v>1133</v>
      </c>
      <c r="E208" s="16" t="s">
        <v>1012</v>
      </c>
      <c r="F208" s="18" t="s">
        <v>1043</v>
      </c>
      <c r="G208" s="10">
        <v>20</v>
      </c>
      <c r="H208" s="10">
        <v>8</v>
      </c>
      <c r="I208" s="15"/>
    </row>
    <row r="209" spans="1:9" ht="106.5" customHeight="1" x14ac:dyDescent="0.25">
      <c r="A209" s="89"/>
      <c r="B209" s="25">
        <v>23</v>
      </c>
      <c r="C209" s="85" t="s">
        <v>302</v>
      </c>
      <c r="D209" s="30" t="s">
        <v>1131</v>
      </c>
      <c r="E209" s="16" t="s">
        <v>1012</v>
      </c>
      <c r="F209" s="18" t="s">
        <v>1044</v>
      </c>
      <c r="G209" s="10">
        <v>3.5179999999999998</v>
      </c>
      <c r="H209" s="10">
        <v>3.3730000000000002</v>
      </c>
      <c r="I209" s="30"/>
    </row>
    <row r="210" spans="1:9" ht="63" x14ac:dyDescent="0.25">
      <c r="A210" s="89"/>
      <c r="B210" s="25">
        <v>24</v>
      </c>
      <c r="C210" s="85" t="s">
        <v>340</v>
      </c>
      <c r="D210" s="30" t="s">
        <v>1133</v>
      </c>
      <c r="E210" s="16" t="s">
        <v>1012</v>
      </c>
      <c r="F210" s="18" t="s">
        <v>1016</v>
      </c>
      <c r="G210" s="10">
        <v>3.5179999999999998</v>
      </c>
      <c r="H210" s="10">
        <v>3.3730000000000002</v>
      </c>
      <c r="I210" s="30"/>
    </row>
    <row r="211" spans="1:9" ht="105" x14ac:dyDescent="0.25">
      <c r="A211" s="89"/>
      <c r="B211" s="25">
        <v>25</v>
      </c>
      <c r="C211" s="85" t="s">
        <v>356</v>
      </c>
      <c r="D211" s="30" t="s">
        <v>1133</v>
      </c>
      <c r="E211" s="16" t="s">
        <v>1012</v>
      </c>
      <c r="F211" s="18" t="s">
        <v>1045</v>
      </c>
      <c r="G211" s="10">
        <v>3.5179999999999998</v>
      </c>
      <c r="H211" s="10">
        <v>3.3730000000000002</v>
      </c>
      <c r="I211" s="30"/>
    </row>
    <row r="212" spans="1:9" ht="63" x14ac:dyDescent="0.25">
      <c r="A212" s="89"/>
      <c r="B212" s="25">
        <v>26</v>
      </c>
      <c r="C212" s="85" t="s">
        <v>361</v>
      </c>
      <c r="D212" s="30" t="s">
        <v>1133</v>
      </c>
      <c r="E212" s="16" t="s">
        <v>1012</v>
      </c>
      <c r="F212" s="18" t="s">
        <v>1046</v>
      </c>
      <c r="G212" s="10">
        <v>3.5179999999999998</v>
      </c>
      <c r="H212" s="10">
        <v>3.3730000000000002</v>
      </c>
      <c r="I212" s="30"/>
    </row>
    <row r="213" spans="1:9" ht="63" x14ac:dyDescent="0.25">
      <c r="A213" s="89"/>
      <c r="B213" s="25">
        <v>27</v>
      </c>
      <c r="C213" s="85" t="s">
        <v>535</v>
      </c>
      <c r="D213" s="30" t="s">
        <v>1133</v>
      </c>
      <c r="E213" s="16" t="s">
        <v>1012</v>
      </c>
      <c r="F213" s="18" t="s">
        <v>1016</v>
      </c>
      <c r="G213" s="10">
        <v>3.5179999999999998</v>
      </c>
      <c r="H213" s="10">
        <v>3.3730000000000002</v>
      </c>
      <c r="I213" s="30"/>
    </row>
    <row r="214" spans="1:9" ht="63" x14ac:dyDescent="0.25">
      <c r="A214" s="89"/>
      <c r="B214" s="25">
        <v>28</v>
      </c>
      <c r="C214" s="85" t="s">
        <v>385</v>
      </c>
      <c r="D214" s="30" t="s">
        <v>1133</v>
      </c>
      <c r="E214" s="16" t="s">
        <v>1012</v>
      </c>
      <c r="F214" s="18" t="s">
        <v>1016</v>
      </c>
      <c r="G214" s="10">
        <v>3.5179999999999998</v>
      </c>
      <c r="H214" s="10">
        <v>3.3730000000000002</v>
      </c>
      <c r="I214" s="30"/>
    </row>
    <row r="215" spans="1:9" ht="63" x14ac:dyDescent="0.25">
      <c r="A215" s="89"/>
      <c r="B215" s="25">
        <v>29</v>
      </c>
      <c r="C215" s="85" t="s">
        <v>387</v>
      </c>
      <c r="D215" s="30" t="s">
        <v>1133</v>
      </c>
      <c r="E215" s="16" t="s">
        <v>1012</v>
      </c>
      <c r="F215" s="18" t="s">
        <v>1016</v>
      </c>
      <c r="G215" s="10">
        <v>3.5179999999999998</v>
      </c>
      <c r="H215" s="10">
        <v>3.3730000000000002</v>
      </c>
      <c r="I215" s="30"/>
    </row>
    <row r="216" spans="1:9" ht="63" x14ac:dyDescent="0.25">
      <c r="A216" s="89"/>
      <c r="B216" s="25">
        <v>30</v>
      </c>
      <c r="C216" s="85" t="s">
        <v>388</v>
      </c>
      <c r="D216" s="30" t="s">
        <v>1133</v>
      </c>
      <c r="E216" s="16" t="s">
        <v>1012</v>
      </c>
      <c r="F216" s="18" t="s">
        <v>1016</v>
      </c>
      <c r="G216" s="10">
        <v>3.5179999999999998</v>
      </c>
      <c r="H216" s="10">
        <v>3.3730000000000002</v>
      </c>
      <c r="I216" s="30"/>
    </row>
    <row r="217" spans="1:9" ht="90" x14ac:dyDescent="0.25">
      <c r="A217" s="89"/>
      <c r="B217" s="25">
        <v>31</v>
      </c>
      <c r="C217" s="85" t="s">
        <v>370</v>
      </c>
      <c r="D217" s="30" t="s">
        <v>1133</v>
      </c>
      <c r="E217" s="16" t="s">
        <v>1012</v>
      </c>
      <c r="F217" s="20" t="s">
        <v>1016</v>
      </c>
      <c r="G217" s="10">
        <v>3.5179999999999998</v>
      </c>
      <c r="H217" s="10">
        <v>3.3730000000000002</v>
      </c>
      <c r="I217" s="74"/>
    </row>
    <row r="218" spans="1:9" ht="120" x14ac:dyDescent="0.25">
      <c r="A218" s="89"/>
      <c r="B218" s="25">
        <v>32</v>
      </c>
      <c r="C218" s="85" t="s">
        <v>829</v>
      </c>
      <c r="D218" s="30" t="s">
        <v>1131</v>
      </c>
      <c r="E218" s="16" t="s">
        <v>1012</v>
      </c>
      <c r="F218" s="18" t="s">
        <v>1016</v>
      </c>
      <c r="G218" s="25">
        <v>3.5179999999999998</v>
      </c>
      <c r="H218" s="25">
        <v>3.3730000000000002</v>
      </c>
      <c r="I218" s="1"/>
    </row>
    <row r="219" spans="1:9" ht="120" x14ac:dyDescent="0.25">
      <c r="A219" s="89"/>
      <c r="B219" s="25">
        <v>33</v>
      </c>
      <c r="C219" s="85" t="s">
        <v>836</v>
      </c>
      <c r="D219" s="30" t="s">
        <v>1131</v>
      </c>
      <c r="E219" s="16" t="s">
        <v>1012</v>
      </c>
      <c r="F219" s="18" t="s">
        <v>1016</v>
      </c>
      <c r="G219" s="25">
        <v>3.5179999999999998</v>
      </c>
      <c r="H219" s="25">
        <v>3.3730000000000002</v>
      </c>
      <c r="I219" s="1"/>
    </row>
    <row r="220" spans="1:9" ht="123.75" customHeight="1" x14ac:dyDescent="0.25">
      <c r="A220" s="89"/>
      <c r="B220" s="25">
        <v>34</v>
      </c>
      <c r="C220" s="85" t="s">
        <v>840</v>
      </c>
      <c r="D220" s="30" t="s">
        <v>1165</v>
      </c>
      <c r="E220" s="16" t="s">
        <v>1012</v>
      </c>
      <c r="F220" s="18" t="s">
        <v>1016</v>
      </c>
      <c r="G220" s="25">
        <v>35</v>
      </c>
      <c r="H220" s="25"/>
      <c r="I220" s="1"/>
    </row>
    <row r="221" spans="1:9" ht="105" x14ac:dyDescent="0.25">
      <c r="A221" s="89"/>
      <c r="B221" s="25">
        <v>35</v>
      </c>
      <c r="C221" s="85" t="s">
        <v>843</v>
      </c>
      <c r="D221" s="30" t="s">
        <v>1165</v>
      </c>
      <c r="E221" s="16" t="s">
        <v>1012</v>
      </c>
      <c r="F221" s="18" t="s">
        <v>1039</v>
      </c>
      <c r="G221" s="25">
        <v>35</v>
      </c>
      <c r="H221" s="25"/>
      <c r="I221" s="1"/>
    </row>
    <row r="222" spans="1:9" ht="63" x14ac:dyDescent="0.25">
      <c r="A222" s="89"/>
      <c r="B222" s="25">
        <v>36</v>
      </c>
      <c r="C222" s="85" t="s">
        <v>854</v>
      </c>
      <c r="D222" s="30" t="s">
        <v>1166</v>
      </c>
      <c r="E222" s="16" t="s">
        <v>1012</v>
      </c>
      <c r="F222" s="18" t="s">
        <v>1016</v>
      </c>
      <c r="G222" s="25"/>
      <c r="H222" s="25">
        <v>29</v>
      </c>
      <c r="I222" s="1"/>
    </row>
    <row r="223" spans="1:9" ht="75" x14ac:dyDescent="0.25">
      <c r="A223" s="89"/>
      <c r="B223" s="25">
        <v>37</v>
      </c>
      <c r="C223" s="85" t="s">
        <v>910</v>
      </c>
      <c r="D223" s="30" t="s">
        <v>1133</v>
      </c>
      <c r="E223" s="16" t="s">
        <v>1012</v>
      </c>
      <c r="F223" s="18" t="s">
        <v>1016</v>
      </c>
      <c r="G223" s="25">
        <v>20</v>
      </c>
      <c r="H223" s="25">
        <v>8</v>
      </c>
      <c r="I223" s="1"/>
    </row>
    <row r="224" spans="1:9" ht="63" x14ac:dyDescent="0.25">
      <c r="A224" s="89"/>
      <c r="B224" s="25">
        <v>38</v>
      </c>
      <c r="C224" s="85" t="s">
        <v>871</v>
      </c>
      <c r="D224" s="30" t="s">
        <v>1133</v>
      </c>
      <c r="E224" s="16" t="s">
        <v>1012</v>
      </c>
      <c r="F224" s="18" t="s">
        <v>1016</v>
      </c>
      <c r="G224" s="25">
        <v>20</v>
      </c>
      <c r="H224" s="25">
        <v>8</v>
      </c>
      <c r="I224" s="1"/>
    </row>
    <row r="225" spans="1:9" ht="63" x14ac:dyDescent="0.25">
      <c r="A225" s="89"/>
      <c r="B225" s="25">
        <v>39</v>
      </c>
      <c r="C225" s="85" t="s">
        <v>881</v>
      </c>
      <c r="D225" s="30" t="s">
        <v>1133</v>
      </c>
      <c r="E225" s="16" t="s">
        <v>1012</v>
      </c>
      <c r="F225" s="18" t="s">
        <v>1016</v>
      </c>
      <c r="G225" s="25">
        <v>20</v>
      </c>
      <c r="H225" s="25">
        <v>8</v>
      </c>
      <c r="I225" s="1"/>
    </row>
    <row r="226" spans="1:9" ht="63" x14ac:dyDescent="0.25">
      <c r="A226" s="89"/>
      <c r="B226" s="25">
        <v>40</v>
      </c>
      <c r="C226" s="85" t="s">
        <v>1028</v>
      </c>
      <c r="D226" s="30" t="s">
        <v>1131</v>
      </c>
      <c r="E226" s="16" t="s">
        <v>1012</v>
      </c>
      <c r="F226" s="18" t="s">
        <v>1016</v>
      </c>
      <c r="G226" s="25">
        <v>3.5179999999999998</v>
      </c>
      <c r="H226" s="25">
        <v>3.3730000000000002</v>
      </c>
      <c r="I226" s="1"/>
    </row>
    <row r="227" spans="1:9" ht="63" x14ac:dyDescent="0.25">
      <c r="A227" s="89"/>
      <c r="B227" s="25">
        <v>41</v>
      </c>
      <c r="C227" s="85" t="s">
        <v>885</v>
      </c>
      <c r="D227" s="30" t="s">
        <v>1131</v>
      </c>
      <c r="E227" s="16" t="s">
        <v>1012</v>
      </c>
      <c r="F227" s="18" t="s">
        <v>1016</v>
      </c>
      <c r="G227" s="25">
        <v>3.5179999999999998</v>
      </c>
      <c r="H227" s="25">
        <v>3.3730000000000002</v>
      </c>
      <c r="I227" s="1"/>
    </row>
    <row r="228" spans="1:9" ht="63" x14ac:dyDescent="0.25">
      <c r="A228" s="89"/>
      <c r="B228" s="25">
        <v>42</v>
      </c>
      <c r="C228" s="85" t="s">
        <v>893</v>
      </c>
      <c r="D228" s="30" t="s">
        <v>1131</v>
      </c>
      <c r="E228" s="16" t="s">
        <v>1012</v>
      </c>
      <c r="F228" s="18" t="s">
        <v>1016</v>
      </c>
      <c r="G228" s="25">
        <v>3.5179999999999998</v>
      </c>
      <c r="H228" s="25">
        <v>3.3730000000000002</v>
      </c>
      <c r="I228" s="1"/>
    </row>
    <row r="229" spans="1:9" ht="225" x14ac:dyDescent="0.25">
      <c r="A229" s="89"/>
      <c r="B229" s="25">
        <v>43</v>
      </c>
      <c r="C229" s="85" t="s">
        <v>1031</v>
      </c>
      <c r="D229" s="30" t="s">
        <v>1131</v>
      </c>
      <c r="E229" s="16" t="s">
        <v>1012</v>
      </c>
      <c r="F229" s="18" t="s">
        <v>1016</v>
      </c>
      <c r="G229" s="25">
        <v>3.5179999999999998</v>
      </c>
      <c r="H229" s="25">
        <v>3.3730000000000002</v>
      </c>
      <c r="I229" s="30"/>
    </row>
    <row r="230" spans="1:9" ht="89.25" customHeight="1" x14ac:dyDescent="0.25">
      <c r="A230" s="89"/>
      <c r="B230" s="25">
        <v>44</v>
      </c>
      <c r="C230" s="85" t="e">
        <f>#REF!</f>
        <v>#REF!</v>
      </c>
      <c r="D230" s="30" t="s">
        <v>1131</v>
      </c>
      <c r="E230" s="16" t="s">
        <v>1012</v>
      </c>
      <c r="F230" s="18" t="s">
        <v>1016</v>
      </c>
      <c r="G230" s="25">
        <v>3.5179999999999998</v>
      </c>
      <c r="H230" s="25">
        <v>3.3730000000000002</v>
      </c>
      <c r="I230" s="30"/>
    </row>
    <row r="231" spans="1:9" ht="63" x14ac:dyDescent="0.25">
      <c r="A231" s="89"/>
      <c r="B231" s="25">
        <v>45</v>
      </c>
      <c r="C231" s="85" t="s">
        <v>902</v>
      </c>
      <c r="D231" s="30" t="s">
        <v>1131</v>
      </c>
      <c r="E231" s="16" t="s">
        <v>1012</v>
      </c>
      <c r="F231" s="18" t="s">
        <v>1016</v>
      </c>
      <c r="G231" s="25">
        <v>3.5179999999999998</v>
      </c>
      <c r="H231" s="25">
        <v>3.3730000000000002</v>
      </c>
      <c r="I231" s="30"/>
    </row>
    <row r="232" spans="1:9" ht="75" x14ac:dyDescent="0.25">
      <c r="A232" s="89"/>
      <c r="B232" s="25">
        <v>46</v>
      </c>
      <c r="C232" s="85" t="s">
        <v>912</v>
      </c>
      <c r="D232" s="30" t="s">
        <v>1167</v>
      </c>
      <c r="E232" s="16" t="s">
        <v>1012</v>
      </c>
      <c r="F232" s="18" t="s">
        <v>1016</v>
      </c>
      <c r="G232" s="25">
        <v>13</v>
      </c>
      <c r="H232" s="25">
        <v>4</v>
      </c>
      <c r="I232" s="30"/>
    </row>
    <row r="233" spans="1:9" ht="63" x14ac:dyDescent="0.25">
      <c r="A233" s="89"/>
      <c r="B233" s="25">
        <v>47</v>
      </c>
      <c r="C233" s="85" t="s">
        <v>1047</v>
      </c>
      <c r="D233" s="30" t="s">
        <v>1167</v>
      </c>
      <c r="E233" s="16" t="s">
        <v>1012</v>
      </c>
      <c r="F233" s="18" t="s">
        <v>1016</v>
      </c>
      <c r="G233" s="25">
        <v>13</v>
      </c>
      <c r="H233" s="25">
        <v>4</v>
      </c>
      <c r="I233" s="30"/>
    </row>
    <row r="234" spans="1:9" ht="75" x14ac:dyDescent="0.25">
      <c r="A234" s="89"/>
      <c r="B234" s="25">
        <v>48</v>
      </c>
      <c r="C234" s="85" t="s">
        <v>926</v>
      </c>
      <c r="D234" s="30" t="s">
        <v>1131</v>
      </c>
      <c r="E234" s="16" t="s">
        <v>1012</v>
      </c>
      <c r="F234" s="18" t="s">
        <v>1016</v>
      </c>
      <c r="G234" s="25">
        <v>3.5179999999999998</v>
      </c>
      <c r="H234" s="25">
        <v>3.3730000000000002</v>
      </c>
      <c r="I234" s="30"/>
    </row>
    <row r="235" spans="1:9" ht="115.5" customHeight="1" x14ac:dyDescent="0.25">
      <c r="A235" s="89"/>
      <c r="B235" s="25">
        <v>49</v>
      </c>
      <c r="C235" s="85" t="s">
        <v>952</v>
      </c>
      <c r="D235" s="30" t="s">
        <v>1131</v>
      </c>
      <c r="E235" s="16" t="s">
        <v>1012</v>
      </c>
      <c r="F235" s="18" t="s">
        <v>1016</v>
      </c>
      <c r="G235" s="25">
        <v>3.5179999999999998</v>
      </c>
      <c r="H235" s="25">
        <v>3.3730000000000002</v>
      </c>
      <c r="I235" s="30"/>
    </row>
    <row r="236" spans="1:9" ht="90" x14ac:dyDescent="0.25">
      <c r="A236" s="89"/>
      <c r="B236" s="25">
        <v>50</v>
      </c>
      <c r="C236" s="85" t="s">
        <v>963</v>
      </c>
      <c r="D236" s="30" t="s">
        <v>1131</v>
      </c>
      <c r="E236" s="16" t="s">
        <v>1012</v>
      </c>
      <c r="F236" s="18" t="s">
        <v>1016</v>
      </c>
      <c r="G236" s="25">
        <v>3.5179999999999998</v>
      </c>
      <c r="H236" s="25">
        <v>3.3730000000000002</v>
      </c>
      <c r="I236" s="1"/>
    </row>
    <row r="237" spans="1:9" ht="92.25" customHeight="1" x14ac:dyDescent="0.25">
      <c r="A237" s="89"/>
      <c r="B237" s="25">
        <v>51</v>
      </c>
      <c r="C237" s="85" t="s">
        <v>969</v>
      </c>
      <c r="D237" s="30" t="s">
        <v>1131</v>
      </c>
      <c r="E237" s="16" t="s">
        <v>1012</v>
      </c>
      <c r="F237" s="18" t="s">
        <v>1016</v>
      </c>
      <c r="G237" s="25">
        <v>3.5179999999999998</v>
      </c>
      <c r="H237" s="25">
        <v>3.3730000000000002</v>
      </c>
      <c r="I237" s="1"/>
    </row>
    <row r="238" spans="1:9" ht="105" x14ac:dyDescent="0.25">
      <c r="A238" s="89"/>
      <c r="B238" s="25">
        <v>52</v>
      </c>
      <c r="C238" s="85" t="s">
        <v>1068</v>
      </c>
      <c r="D238" s="30" t="s">
        <v>1131</v>
      </c>
      <c r="E238" s="16" t="s">
        <v>1012</v>
      </c>
      <c r="F238" s="18" t="s">
        <v>1016</v>
      </c>
      <c r="G238" s="25">
        <v>3.5179999999999998</v>
      </c>
      <c r="H238" s="25">
        <v>3.3730000000000002</v>
      </c>
      <c r="I238" s="1"/>
    </row>
    <row r="239" spans="1:9" ht="75" x14ac:dyDescent="0.25">
      <c r="A239" s="89"/>
      <c r="B239" s="25">
        <v>53</v>
      </c>
      <c r="C239" s="85" t="s">
        <v>494</v>
      </c>
      <c r="D239" s="30" t="s">
        <v>1131</v>
      </c>
      <c r="E239" s="16" t="s">
        <v>1012</v>
      </c>
      <c r="F239" s="10" t="s">
        <v>1016</v>
      </c>
      <c r="G239" s="86">
        <v>30</v>
      </c>
      <c r="H239" s="86"/>
      <c r="I239" s="1"/>
    </row>
    <row r="240" spans="1:9" ht="63" x14ac:dyDescent="0.25">
      <c r="A240" s="89"/>
      <c r="B240" s="25">
        <v>54</v>
      </c>
      <c r="C240" s="85" t="s">
        <v>1029</v>
      </c>
      <c r="D240" s="30" t="s">
        <v>1131</v>
      </c>
      <c r="E240" s="16" t="s">
        <v>1012</v>
      </c>
      <c r="F240" s="10" t="s">
        <v>1016</v>
      </c>
      <c r="G240" s="86">
        <v>35</v>
      </c>
      <c r="H240" s="86"/>
      <c r="I240" s="1"/>
    </row>
    <row r="241" spans="1:9" ht="63" x14ac:dyDescent="0.25">
      <c r="A241" s="89"/>
      <c r="B241" s="25">
        <v>55</v>
      </c>
      <c r="C241" s="85" t="s">
        <v>1089</v>
      </c>
      <c r="D241" s="30" t="s">
        <v>1131</v>
      </c>
      <c r="E241" s="16" t="s">
        <v>1012</v>
      </c>
      <c r="F241" s="10" t="s">
        <v>1016</v>
      </c>
      <c r="G241" s="86">
        <v>30</v>
      </c>
      <c r="H241" s="86"/>
      <c r="I241" s="1"/>
    </row>
    <row r="242" spans="1:9" ht="63" x14ac:dyDescent="0.25">
      <c r="A242" s="89"/>
      <c r="B242" s="25">
        <v>56</v>
      </c>
      <c r="C242" s="85" t="s">
        <v>414</v>
      </c>
      <c r="D242" s="30" t="s">
        <v>1129</v>
      </c>
      <c r="E242" s="16" t="s">
        <v>1012</v>
      </c>
      <c r="F242" s="10" t="s">
        <v>1016</v>
      </c>
      <c r="G242" s="86">
        <v>20</v>
      </c>
      <c r="H242" s="86">
        <v>8</v>
      </c>
      <c r="I242" s="1"/>
    </row>
    <row r="243" spans="1:9" ht="75" x14ac:dyDescent="0.25">
      <c r="A243" s="89"/>
      <c r="B243" s="25">
        <v>57</v>
      </c>
      <c r="C243" s="85" t="s">
        <v>427</v>
      </c>
      <c r="D243" s="30" t="s">
        <v>1129</v>
      </c>
      <c r="E243" s="16" t="s">
        <v>1012</v>
      </c>
      <c r="F243" s="10" t="s">
        <v>1016</v>
      </c>
      <c r="G243" s="86">
        <v>20</v>
      </c>
      <c r="H243" s="86">
        <v>8</v>
      </c>
      <c r="I243" s="1"/>
    </row>
    <row r="244" spans="1:9" ht="63" x14ac:dyDescent="0.25">
      <c r="A244" s="89"/>
      <c r="B244" s="25">
        <v>58</v>
      </c>
      <c r="C244" s="85" t="s">
        <v>461</v>
      </c>
      <c r="D244" s="30" t="s">
        <v>1129</v>
      </c>
      <c r="E244" s="16" t="s">
        <v>1012</v>
      </c>
      <c r="F244" s="10" t="s">
        <v>1016</v>
      </c>
      <c r="G244" s="86">
        <v>20</v>
      </c>
      <c r="H244" s="86">
        <v>8</v>
      </c>
      <c r="I244" s="1"/>
    </row>
    <row r="245" spans="1:9" ht="63" x14ac:dyDescent="0.25">
      <c r="A245" s="89"/>
      <c r="B245" s="25">
        <v>59</v>
      </c>
      <c r="C245" s="85" t="s">
        <v>431</v>
      </c>
      <c r="D245" s="30" t="s">
        <v>1153</v>
      </c>
      <c r="E245" s="16" t="s">
        <v>1012</v>
      </c>
      <c r="F245" s="10" t="s">
        <v>1016</v>
      </c>
      <c r="G245" s="86">
        <v>8</v>
      </c>
      <c r="H245" s="86">
        <v>1</v>
      </c>
      <c r="I245" s="1"/>
    </row>
    <row r="246" spans="1:9" ht="90" x14ac:dyDescent="0.25">
      <c r="A246" s="89"/>
      <c r="B246" s="25">
        <v>60</v>
      </c>
      <c r="C246" s="85" t="s">
        <v>489</v>
      </c>
      <c r="D246" s="30" t="s">
        <v>1166</v>
      </c>
      <c r="E246" s="16" t="s">
        <v>1012</v>
      </c>
      <c r="F246" s="10" t="s">
        <v>1016</v>
      </c>
      <c r="G246" s="86"/>
      <c r="H246" s="86">
        <v>32</v>
      </c>
      <c r="I246" s="1"/>
    </row>
    <row r="247" spans="1:9" ht="63" x14ac:dyDescent="0.25">
      <c r="A247" s="89"/>
      <c r="B247" s="25">
        <v>61</v>
      </c>
      <c r="C247" s="85" t="s">
        <v>1113</v>
      </c>
      <c r="D247" s="30" t="s">
        <v>1131</v>
      </c>
      <c r="E247" s="16" t="s">
        <v>1012</v>
      </c>
      <c r="F247" s="10" t="s">
        <v>1016</v>
      </c>
      <c r="G247" s="86">
        <v>5</v>
      </c>
      <c r="H247" s="86"/>
      <c r="I247" s="1"/>
    </row>
    <row r="248" spans="1:9" ht="63" x14ac:dyDescent="0.25">
      <c r="A248" s="89"/>
      <c r="B248" s="25">
        <v>62</v>
      </c>
      <c r="C248" s="85" t="s">
        <v>1112</v>
      </c>
      <c r="D248" s="30" t="s">
        <v>1130</v>
      </c>
      <c r="E248" s="16" t="s">
        <v>1012</v>
      </c>
      <c r="F248" s="10" t="s">
        <v>1016</v>
      </c>
      <c r="G248" s="86">
        <v>5</v>
      </c>
      <c r="H248" s="86">
        <v>3</v>
      </c>
      <c r="I248" s="1"/>
    </row>
    <row r="249" spans="1:9" ht="63" x14ac:dyDescent="0.25">
      <c r="A249" s="89"/>
      <c r="B249" s="25">
        <v>63</v>
      </c>
      <c r="C249" s="85" t="s">
        <v>1072</v>
      </c>
      <c r="D249" s="30" t="s">
        <v>1131</v>
      </c>
      <c r="E249" s="16" t="s">
        <v>1012</v>
      </c>
      <c r="F249" s="10" t="s">
        <v>1016</v>
      </c>
      <c r="G249" s="86">
        <v>50</v>
      </c>
      <c r="H249" s="86"/>
      <c r="I249" s="1"/>
    </row>
    <row r="250" spans="1:9" ht="90" x14ac:dyDescent="0.25">
      <c r="A250" s="89"/>
      <c r="B250" s="25">
        <v>64</v>
      </c>
      <c r="C250" s="85" t="s">
        <v>1073</v>
      </c>
      <c r="D250" s="30" t="s">
        <v>1166</v>
      </c>
      <c r="E250" s="16" t="s">
        <v>1012</v>
      </c>
      <c r="F250" s="10" t="s">
        <v>1016</v>
      </c>
      <c r="G250" s="86"/>
      <c r="H250" s="86">
        <v>32</v>
      </c>
      <c r="I250" s="1"/>
    </row>
    <row r="251" spans="1:9" ht="111.75" customHeight="1" x14ac:dyDescent="0.25">
      <c r="A251" s="89"/>
      <c r="B251" s="25">
        <v>65</v>
      </c>
      <c r="C251" s="85" t="s">
        <v>468</v>
      </c>
      <c r="D251" s="30" t="s">
        <v>1130</v>
      </c>
      <c r="E251" s="16" t="s">
        <v>1012</v>
      </c>
      <c r="F251" s="10" t="s">
        <v>1016</v>
      </c>
      <c r="G251" s="86">
        <v>5</v>
      </c>
      <c r="H251" s="86">
        <v>3</v>
      </c>
      <c r="I251" s="1"/>
    </row>
    <row r="252" spans="1:9" x14ac:dyDescent="0.25">
      <c r="A252" s="90"/>
      <c r="B252" s="25"/>
      <c r="C252" s="76"/>
      <c r="D252" s="30"/>
      <c r="E252" s="31"/>
      <c r="F252" s="25"/>
      <c r="G252" s="86"/>
      <c r="H252" s="86"/>
      <c r="I252" s="1"/>
    </row>
    <row r="253" spans="1:9" ht="63" x14ac:dyDescent="0.25">
      <c r="A253" s="2317" t="s">
        <v>1143</v>
      </c>
      <c r="B253" s="25">
        <v>1</v>
      </c>
      <c r="C253" s="85" t="s">
        <v>414</v>
      </c>
      <c r="D253" s="30" t="s">
        <v>1133</v>
      </c>
      <c r="E253" s="16" t="s">
        <v>1012</v>
      </c>
      <c r="F253" s="10" t="s">
        <v>1016</v>
      </c>
      <c r="G253" s="86">
        <v>20</v>
      </c>
      <c r="H253" s="86">
        <v>8</v>
      </c>
      <c r="I253" s="1"/>
    </row>
    <row r="254" spans="1:9" ht="75" x14ac:dyDescent="0.25">
      <c r="A254" s="2318"/>
      <c r="B254" s="25">
        <v>2</v>
      </c>
      <c r="C254" s="85" t="s">
        <v>427</v>
      </c>
      <c r="D254" s="30" t="s">
        <v>1133</v>
      </c>
      <c r="E254" s="16" t="s">
        <v>1012</v>
      </c>
      <c r="F254" s="10" t="s">
        <v>1016</v>
      </c>
      <c r="G254" s="86">
        <v>20</v>
      </c>
      <c r="H254" s="86">
        <v>8</v>
      </c>
      <c r="I254" s="1"/>
    </row>
    <row r="255" spans="1:9" ht="63" x14ac:dyDescent="0.25">
      <c r="A255" s="2318"/>
      <c r="B255" s="25">
        <v>3</v>
      </c>
      <c r="C255" s="85" t="s">
        <v>461</v>
      </c>
      <c r="D255" s="30" t="s">
        <v>1133</v>
      </c>
      <c r="E255" s="16" t="s">
        <v>1012</v>
      </c>
      <c r="F255" s="10" t="s">
        <v>1016</v>
      </c>
      <c r="G255" s="86">
        <v>20</v>
      </c>
      <c r="H255" s="86">
        <v>8</v>
      </c>
      <c r="I255" s="1"/>
    </row>
    <row r="256" spans="1:9" ht="75.75" customHeight="1" x14ac:dyDescent="0.25">
      <c r="A256" s="2318"/>
      <c r="B256" s="25">
        <v>4</v>
      </c>
      <c r="C256" s="85" t="s">
        <v>431</v>
      </c>
      <c r="D256" s="30" t="s">
        <v>1153</v>
      </c>
      <c r="E256" s="16" t="s">
        <v>1012</v>
      </c>
      <c r="F256" s="10" t="s">
        <v>1016</v>
      </c>
      <c r="G256" s="86">
        <v>8</v>
      </c>
      <c r="H256" s="86">
        <v>1</v>
      </c>
      <c r="I256" s="1"/>
    </row>
    <row r="257" spans="1:9" ht="56.25" customHeight="1" x14ac:dyDescent="0.25">
      <c r="A257" s="2318"/>
      <c r="B257" s="25">
        <v>5</v>
      </c>
      <c r="C257" s="85" t="s">
        <v>1113</v>
      </c>
      <c r="D257" s="30" t="s">
        <v>1131</v>
      </c>
      <c r="E257" s="16" t="s">
        <v>1012</v>
      </c>
      <c r="F257" s="10" t="s">
        <v>1016</v>
      </c>
      <c r="G257" s="86">
        <v>5</v>
      </c>
      <c r="H257" s="86"/>
      <c r="I257" s="1"/>
    </row>
    <row r="258" spans="1:9" ht="79.5" customHeight="1" x14ac:dyDescent="0.25">
      <c r="A258" s="2318"/>
      <c r="B258" s="25">
        <v>6</v>
      </c>
      <c r="C258" s="85" t="s">
        <v>1112</v>
      </c>
      <c r="D258" s="30" t="s">
        <v>1130</v>
      </c>
      <c r="E258" s="16" t="s">
        <v>1012</v>
      </c>
      <c r="F258" s="10" t="s">
        <v>1016</v>
      </c>
      <c r="G258" s="86">
        <v>5</v>
      </c>
      <c r="H258" s="86">
        <v>3</v>
      </c>
      <c r="I258" s="1"/>
    </row>
    <row r="259" spans="1:9" ht="103.5" customHeight="1" x14ac:dyDescent="0.25">
      <c r="A259" s="2318"/>
      <c r="B259" s="25">
        <v>7</v>
      </c>
      <c r="C259" s="85" t="s">
        <v>468</v>
      </c>
      <c r="D259" s="30" t="s">
        <v>1130</v>
      </c>
      <c r="E259" s="16" t="s">
        <v>1012</v>
      </c>
      <c r="F259" s="10" t="s">
        <v>1016</v>
      </c>
      <c r="G259" s="86">
        <v>5</v>
      </c>
      <c r="H259" s="86">
        <v>3</v>
      </c>
      <c r="I259" s="1"/>
    </row>
    <row r="260" spans="1:9" x14ac:dyDescent="0.25">
      <c r="A260" s="2319"/>
      <c r="B260" s="25"/>
      <c r="C260" s="85"/>
      <c r="D260" s="30"/>
      <c r="E260" s="31"/>
      <c r="F260" s="25"/>
      <c r="G260" s="86"/>
      <c r="H260" s="86"/>
      <c r="I260" s="1"/>
    </row>
    <row r="261" spans="1:9" ht="67.5" customHeight="1" x14ac:dyDescent="0.25">
      <c r="A261" s="80" t="s">
        <v>1144</v>
      </c>
      <c r="B261" s="25">
        <v>1</v>
      </c>
      <c r="C261" s="85" t="s">
        <v>800</v>
      </c>
      <c r="D261" s="30" t="s">
        <v>1131</v>
      </c>
      <c r="E261" s="16" t="s">
        <v>1012</v>
      </c>
      <c r="F261" s="18" t="s">
        <v>1039</v>
      </c>
      <c r="G261" s="25">
        <v>3.5179999999999998</v>
      </c>
      <c r="H261" s="25">
        <v>3.3730000000000002</v>
      </c>
      <c r="I261" s="1"/>
    </row>
    <row r="262" spans="1:9" ht="90" x14ac:dyDescent="0.25">
      <c r="A262" s="89"/>
      <c r="B262" s="25">
        <v>2</v>
      </c>
      <c r="C262" s="81" t="s">
        <v>805</v>
      </c>
      <c r="D262" s="30" t="s">
        <v>1131</v>
      </c>
      <c r="E262" s="16" t="s">
        <v>1012</v>
      </c>
      <c r="F262" s="18" t="s">
        <v>1039</v>
      </c>
      <c r="G262" s="25">
        <v>3.5179999999999998</v>
      </c>
      <c r="H262" s="25">
        <v>3.3730000000000002</v>
      </c>
      <c r="I262" s="1"/>
    </row>
    <row r="263" spans="1:9" ht="63" x14ac:dyDescent="0.25">
      <c r="A263" s="89"/>
      <c r="B263" s="25">
        <v>3</v>
      </c>
      <c r="C263" s="81" t="s">
        <v>816</v>
      </c>
      <c r="D263" s="30" t="s">
        <v>1131</v>
      </c>
      <c r="E263" s="16" t="s">
        <v>1012</v>
      </c>
      <c r="F263" s="18" t="s">
        <v>1039</v>
      </c>
      <c r="G263" s="25">
        <v>3.5179999999999998</v>
      </c>
      <c r="H263" s="25">
        <v>3.3730000000000002</v>
      </c>
      <c r="I263" s="1"/>
    </row>
    <row r="264" spans="1:9" ht="90" x14ac:dyDescent="0.25">
      <c r="A264" s="89"/>
      <c r="B264" s="25">
        <v>4</v>
      </c>
      <c r="C264" s="85" t="s">
        <v>1064</v>
      </c>
      <c r="D264" s="30" t="s">
        <v>1131</v>
      </c>
      <c r="E264" s="16" t="s">
        <v>1012</v>
      </c>
      <c r="F264" s="18" t="s">
        <v>1043</v>
      </c>
      <c r="G264" s="25">
        <v>3.5179999999999998</v>
      </c>
      <c r="H264" s="25">
        <v>3.3730000000000002</v>
      </c>
      <c r="I264" s="1"/>
    </row>
    <row r="265" spans="1:9" ht="75" x14ac:dyDescent="0.25">
      <c r="A265" s="89"/>
      <c r="B265" s="25">
        <v>5</v>
      </c>
      <c r="C265" s="85" t="s">
        <v>1088</v>
      </c>
      <c r="D265" s="30" t="s">
        <v>1131</v>
      </c>
      <c r="E265" s="16" t="s">
        <v>1012</v>
      </c>
      <c r="F265" s="18" t="s">
        <v>1043</v>
      </c>
      <c r="G265" s="25">
        <v>3.5179999999999998</v>
      </c>
      <c r="H265" s="25">
        <v>3.3730000000000002</v>
      </c>
      <c r="I265" s="1"/>
    </row>
    <row r="266" spans="1:9" ht="75" x14ac:dyDescent="0.25">
      <c r="A266" s="89"/>
      <c r="B266" s="25">
        <v>6</v>
      </c>
      <c r="C266" s="85" t="s">
        <v>1052</v>
      </c>
      <c r="D266" s="30" t="s">
        <v>1131</v>
      </c>
      <c r="E266" s="16" t="s">
        <v>1012</v>
      </c>
      <c r="F266" s="18" t="s">
        <v>1016</v>
      </c>
      <c r="G266" s="25">
        <v>3.5179999999999998</v>
      </c>
      <c r="H266" s="25">
        <v>3.3730000000000002</v>
      </c>
      <c r="I266" s="1"/>
    </row>
    <row r="267" spans="1:9" x14ac:dyDescent="0.25">
      <c r="A267" s="90"/>
      <c r="B267" s="25"/>
      <c r="C267" s="81"/>
      <c r="D267" s="30"/>
      <c r="E267" s="31"/>
      <c r="F267" s="25"/>
      <c r="G267" s="86"/>
      <c r="H267" s="86"/>
      <c r="I267" s="1"/>
    </row>
    <row r="268" spans="1:9" ht="30" x14ac:dyDescent="0.25">
      <c r="A268" s="83" t="s">
        <v>1145</v>
      </c>
      <c r="B268" s="25"/>
      <c r="C268" s="76"/>
      <c r="D268" s="30"/>
      <c r="E268" s="31"/>
      <c r="F268" s="25"/>
      <c r="G268" s="86"/>
      <c r="H268" s="86"/>
      <c r="I268" s="1"/>
    </row>
    <row r="269" spans="1:9" ht="30" x14ac:dyDescent="0.25">
      <c r="A269" s="83" t="s">
        <v>1146</v>
      </c>
      <c r="B269" s="25"/>
      <c r="C269" s="76"/>
      <c r="D269" s="30"/>
      <c r="E269" s="31"/>
      <c r="F269" s="25"/>
      <c r="G269" s="86"/>
      <c r="H269" s="86"/>
      <c r="I269" s="1"/>
    </row>
    <row r="270" spans="1:9" ht="97.5" customHeight="1" x14ac:dyDescent="0.25">
      <c r="A270" s="2317" t="s">
        <v>1147</v>
      </c>
      <c r="B270" s="25">
        <v>1</v>
      </c>
      <c r="C270" s="85" t="s">
        <v>1069</v>
      </c>
      <c r="D270" s="30" t="s">
        <v>1131</v>
      </c>
      <c r="E270" s="16" t="s">
        <v>1012</v>
      </c>
      <c r="F270" s="18" t="s">
        <v>1043</v>
      </c>
      <c r="G270" s="25">
        <v>3.5179999999999998</v>
      </c>
      <c r="H270" s="25">
        <v>3.3730000000000002</v>
      </c>
      <c r="I270" s="1"/>
    </row>
    <row r="271" spans="1:9" ht="79.5" customHeight="1" x14ac:dyDescent="0.25">
      <c r="A271" s="2318"/>
      <c r="B271" s="25">
        <v>2</v>
      </c>
      <c r="C271" s="81" t="s">
        <v>1070</v>
      </c>
      <c r="D271" s="30" t="s">
        <v>1131</v>
      </c>
      <c r="E271" s="16" t="s">
        <v>1012</v>
      </c>
      <c r="F271" s="18" t="s">
        <v>1043</v>
      </c>
      <c r="G271" s="25">
        <v>3.5179999999999998</v>
      </c>
      <c r="H271" s="25">
        <v>3.3730000000000002</v>
      </c>
      <c r="I271" s="1"/>
    </row>
    <row r="272" spans="1:9" ht="105" x14ac:dyDescent="0.25">
      <c r="A272" s="2318"/>
      <c r="B272" s="25">
        <v>3</v>
      </c>
      <c r="C272" s="81" t="s">
        <v>1064</v>
      </c>
      <c r="D272" s="30" t="s">
        <v>1131</v>
      </c>
      <c r="E272" s="16" t="s">
        <v>1012</v>
      </c>
      <c r="F272" s="18" t="s">
        <v>1043</v>
      </c>
      <c r="G272" s="25">
        <v>3.5179999999999998</v>
      </c>
      <c r="H272" s="25">
        <v>3.3730000000000002</v>
      </c>
      <c r="I272" s="1"/>
    </row>
    <row r="273" spans="1:9" ht="63" x14ac:dyDescent="0.25">
      <c r="A273" s="2318"/>
      <c r="B273" s="25">
        <v>4</v>
      </c>
      <c r="C273" s="81" t="s">
        <v>762</v>
      </c>
      <c r="D273" s="30" t="s">
        <v>1131</v>
      </c>
      <c r="E273" s="16" t="s">
        <v>1012</v>
      </c>
      <c r="F273" s="18" t="s">
        <v>1061</v>
      </c>
      <c r="G273" s="25">
        <v>3.5179999999999998</v>
      </c>
      <c r="H273" s="25">
        <v>3.3730000000000002</v>
      </c>
      <c r="I273" s="1"/>
    </row>
    <row r="274" spans="1:9" x14ac:dyDescent="0.25">
      <c r="A274" s="2319"/>
      <c r="B274" s="25"/>
      <c r="C274" s="81"/>
      <c r="D274" s="30"/>
      <c r="E274" s="31"/>
      <c r="F274" s="25"/>
      <c r="G274" s="86"/>
      <c r="H274" s="86"/>
      <c r="I274" s="1"/>
    </row>
    <row r="275" spans="1:9" ht="75" x14ac:dyDescent="0.25">
      <c r="A275" s="80" t="s">
        <v>1148</v>
      </c>
      <c r="B275" s="25">
        <v>1</v>
      </c>
      <c r="C275" s="85" t="s">
        <v>320</v>
      </c>
      <c r="D275" s="30" t="s">
        <v>1131</v>
      </c>
      <c r="E275" s="16" t="s">
        <v>1012</v>
      </c>
      <c r="F275" s="18" t="s">
        <v>1043</v>
      </c>
      <c r="G275" s="10">
        <v>3.5179999999999998</v>
      </c>
      <c r="H275" s="10">
        <v>3.3730000000000002</v>
      </c>
      <c r="I275" s="1"/>
    </row>
    <row r="276" spans="1:9" ht="75" x14ac:dyDescent="0.25">
      <c r="A276" s="89"/>
      <c r="B276" s="25">
        <v>2</v>
      </c>
      <c r="C276" s="88" t="s">
        <v>1058</v>
      </c>
      <c r="D276" s="30" t="s">
        <v>1131</v>
      </c>
      <c r="E276" s="16" t="s">
        <v>1012</v>
      </c>
      <c r="F276" s="18" t="s">
        <v>1043</v>
      </c>
      <c r="G276" s="10">
        <v>3.5179999999999998</v>
      </c>
      <c r="H276" s="10">
        <v>3.3730000000000002</v>
      </c>
      <c r="I276" s="1"/>
    </row>
    <row r="277" spans="1:9" ht="84" customHeight="1" x14ac:dyDescent="0.25">
      <c r="A277" s="89"/>
      <c r="B277" s="25">
        <v>3</v>
      </c>
      <c r="C277" s="81" t="s">
        <v>1074</v>
      </c>
      <c r="D277" s="30" t="s">
        <v>1133</v>
      </c>
      <c r="E277" s="16" t="s">
        <v>1012</v>
      </c>
      <c r="F277" s="18" t="s">
        <v>1043</v>
      </c>
      <c r="G277" s="10">
        <v>20</v>
      </c>
      <c r="H277" s="10">
        <v>8</v>
      </c>
      <c r="I277" s="1"/>
    </row>
    <row r="278" spans="1:9" ht="105.75" customHeight="1" x14ac:dyDescent="0.25">
      <c r="A278" s="89"/>
      <c r="B278" s="25">
        <v>4</v>
      </c>
      <c r="C278" s="81" t="s">
        <v>302</v>
      </c>
      <c r="D278" s="30" t="s">
        <v>1131</v>
      </c>
      <c r="E278" s="16" t="s">
        <v>1012</v>
      </c>
      <c r="F278" s="18" t="s">
        <v>1044</v>
      </c>
      <c r="G278" s="10">
        <v>3.5179999999999998</v>
      </c>
      <c r="H278" s="10">
        <v>3.3730000000000002</v>
      </c>
      <c r="I278" s="1"/>
    </row>
    <row r="279" spans="1:9" ht="63" x14ac:dyDescent="0.25">
      <c r="A279" s="89"/>
      <c r="B279" s="25">
        <v>5</v>
      </c>
      <c r="C279" s="81" t="s">
        <v>340</v>
      </c>
      <c r="D279" s="30" t="s">
        <v>1133</v>
      </c>
      <c r="E279" s="16" t="s">
        <v>1012</v>
      </c>
      <c r="F279" s="18" t="s">
        <v>1016</v>
      </c>
      <c r="G279" s="10">
        <v>3.5179999999999998</v>
      </c>
      <c r="H279" s="10">
        <v>3.3730000000000002</v>
      </c>
      <c r="I279" s="1"/>
    </row>
    <row r="280" spans="1:9" ht="105" x14ac:dyDescent="0.25">
      <c r="A280" s="89"/>
      <c r="B280" s="25">
        <v>6</v>
      </c>
      <c r="C280" s="81" t="s">
        <v>356</v>
      </c>
      <c r="D280" s="30" t="s">
        <v>1133</v>
      </c>
      <c r="E280" s="16" t="s">
        <v>1012</v>
      </c>
      <c r="F280" s="18" t="s">
        <v>1045</v>
      </c>
      <c r="G280" s="10">
        <v>3.5179999999999998</v>
      </c>
      <c r="H280" s="10">
        <v>3.3730000000000002</v>
      </c>
      <c r="I280" s="1"/>
    </row>
    <row r="281" spans="1:9" ht="63" x14ac:dyDescent="0.25">
      <c r="A281" s="89"/>
      <c r="B281" s="25">
        <v>7</v>
      </c>
      <c r="C281" s="81" t="s">
        <v>361</v>
      </c>
      <c r="D281" s="30" t="s">
        <v>1133</v>
      </c>
      <c r="E281" s="16" t="s">
        <v>1012</v>
      </c>
      <c r="F281" s="18" t="s">
        <v>1046</v>
      </c>
      <c r="G281" s="10">
        <v>3.5179999999999998</v>
      </c>
      <c r="H281" s="10">
        <v>3.3730000000000002</v>
      </c>
      <c r="I281" s="1"/>
    </row>
    <row r="282" spans="1:9" ht="63" x14ac:dyDescent="0.25">
      <c r="A282" s="89"/>
      <c r="B282" s="25">
        <v>8</v>
      </c>
      <c r="C282" s="81" t="s">
        <v>535</v>
      </c>
      <c r="D282" s="30" t="s">
        <v>1133</v>
      </c>
      <c r="E282" s="16" t="s">
        <v>1012</v>
      </c>
      <c r="F282" s="18" t="s">
        <v>1016</v>
      </c>
      <c r="G282" s="10">
        <v>3.5179999999999998</v>
      </c>
      <c r="H282" s="10">
        <v>3.3730000000000002</v>
      </c>
      <c r="I282" s="1"/>
    </row>
    <row r="283" spans="1:9" ht="63" x14ac:dyDescent="0.25">
      <c r="A283" s="89"/>
      <c r="B283" s="25">
        <v>9</v>
      </c>
      <c r="C283" s="81" t="s">
        <v>385</v>
      </c>
      <c r="D283" s="30" t="s">
        <v>1133</v>
      </c>
      <c r="E283" s="16" t="s">
        <v>1012</v>
      </c>
      <c r="F283" s="18" t="s">
        <v>1016</v>
      </c>
      <c r="G283" s="10">
        <v>3.5179999999999998</v>
      </c>
      <c r="H283" s="10">
        <v>3.3730000000000002</v>
      </c>
      <c r="I283" s="1"/>
    </row>
    <row r="284" spans="1:9" ht="63" x14ac:dyDescent="0.25">
      <c r="A284" s="89"/>
      <c r="B284" s="25">
        <v>10</v>
      </c>
      <c r="C284" s="81" t="s">
        <v>387</v>
      </c>
      <c r="D284" s="30" t="s">
        <v>1133</v>
      </c>
      <c r="E284" s="16" t="s">
        <v>1012</v>
      </c>
      <c r="F284" s="18" t="s">
        <v>1016</v>
      </c>
      <c r="G284" s="10">
        <v>3.5179999999999998</v>
      </c>
      <c r="H284" s="10">
        <v>3.3730000000000002</v>
      </c>
      <c r="I284" s="1"/>
    </row>
    <row r="285" spans="1:9" ht="63" x14ac:dyDescent="0.25">
      <c r="A285" s="89"/>
      <c r="B285" s="25">
        <v>11</v>
      </c>
      <c r="C285" s="81" t="s">
        <v>388</v>
      </c>
      <c r="D285" s="30" t="s">
        <v>1133</v>
      </c>
      <c r="E285" s="16" t="s">
        <v>1012</v>
      </c>
      <c r="F285" s="18" t="s">
        <v>1016</v>
      </c>
      <c r="G285" s="10">
        <v>3.5179999999999998</v>
      </c>
      <c r="H285" s="10">
        <v>3.3730000000000002</v>
      </c>
      <c r="I285" s="1"/>
    </row>
    <row r="286" spans="1:9" ht="90" x14ac:dyDescent="0.25">
      <c r="A286" s="89"/>
      <c r="B286" s="25">
        <v>12</v>
      </c>
      <c r="C286" s="81" t="s">
        <v>370</v>
      </c>
      <c r="D286" s="30" t="s">
        <v>1133</v>
      </c>
      <c r="E286" s="16" t="s">
        <v>1012</v>
      </c>
      <c r="F286" s="20" t="s">
        <v>1016</v>
      </c>
      <c r="G286" s="10">
        <v>3.5179999999999998</v>
      </c>
      <c r="H286" s="10">
        <v>3.3730000000000002</v>
      </c>
      <c r="I286" s="1"/>
    </row>
    <row r="287" spans="1:9" ht="75" x14ac:dyDescent="0.25">
      <c r="A287" s="89"/>
      <c r="B287" s="25">
        <v>13</v>
      </c>
      <c r="C287" s="85" t="s">
        <v>820</v>
      </c>
      <c r="D287" s="30" t="s">
        <v>1131</v>
      </c>
      <c r="E287" s="16" t="s">
        <v>1012</v>
      </c>
      <c r="F287" s="20" t="s">
        <v>1016</v>
      </c>
      <c r="G287" s="10">
        <v>3.5179999999999998</v>
      </c>
      <c r="H287" s="10">
        <v>3.3730000000000002</v>
      </c>
      <c r="I287" s="1"/>
    </row>
    <row r="288" spans="1:9" ht="120" x14ac:dyDescent="0.25">
      <c r="A288" s="89"/>
      <c r="B288" s="25">
        <v>14</v>
      </c>
      <c r="C288" s="85" t="s">
        <v>829</v>
      </c>
      <c r="D288" s="30" t="s">
        <v>1131</v>
      </c>
      <c r="E288" s="16" t="s">
        <v>1012</v>
      </c>
      <c r="F288" s="18" t="s">
        <v>1016</v>
      </c>
      <c r="G288" s="25">
        <v>3.5179999999999998</v>
      </c>
      <c r="H288" s="25">
        <v>3.3730000000000002</v>
      </c>
      <c r="I288" s="1"/>
    </row>
    <row r="289" spans="1:9" ht="120" x14ac:dyDescent="0.25">
      <c r="A289" s="89"/>
      <c r="B289" s="25">
        <v>15</v>
      </c>
      <c r="C289" s="85" t="s">
        <v>836</v>
      </c>
      <c r="D289" s="30" t="s">
        <v>1131</v>
      </c>
      <c r="E289" s="16" t="s">
        <v>1012</v>
      </c>
      <c r="F289" s="18" t="s">
        <v>1016</v>
      </c>
      <c r="G289" s="25">
        <v>3.5179999999999998</v>
      </c>
      <c r="H289" s="25">
        <v>3.3730000000000002</v>
      </c>
      <c r="I289" s="1"/>
    </row>
    <row r="290" spans="1:9" ht="120" customHeight="1" x14ac:dyDescent="0.25">
      <c r="A290" s="89"/>
      <c r="B290" s="25">
        <v>16</v>
      </c>
      <c r="C290" s="85" t="s">
        <v>840</v>
      </c>
      <c r="D290" s="30" t="s">
        <v>1169</v>
      </c>
      <c r="E290" s="16" t="s">
        <v>1012</v>
      </c>
      <c r="F290" s="18" t="s">
        <v>1016</v>
      </c>
      <c r="G290" s="25">
        <v>35</v>
      </c>
      <c r="H290" s="25"/>
      <c r="I290" s="1"/>
    </row>
    <row r="291" spans="1:9" ht="105" x14ac:dyDescent="0.25">
      <c r="A291" s="89"/>
      <c r="B291" s="25">
        <v>17</v>
      </c>
      <c r="C291" s="85" t="s">
        <v>843</v>
      </c>
      <c r="D291" s="30" t="s">
        <v>1165</v>
      </c>
      <c r="E291" s="16" t="s">
        <v>1012</v>
      </c>
      <c r="F291" s="18" t="s">
        <v>1039</v>
      </c>
      <c r="G291" s="25">
        <v>35</v>
      </c>
      <c r="H291" s="25"/>
      <c r="I291" s="1"/>
    </row>
    <row r="292" spans="1:9" ht="77.25" customHeight="1" x14ac:dyDescent="0.25">
      <c r="A292" s="89"/>
      <c r="B292" s="25">
        <v>18</v>
      </c>
      <c r="C292" s="85" t="s">
        <v>1027</v>
      </c>
      <c r="D292" s="30" t="s">
        <v>1131</v>
      </c>
      <c r="E292" s="16" t="s">
        <v>1012</v>
      </c>
      <c r="F292" s="18" t="s">
        <v>1039</v>
      </c>
      <c r="G292" s="25">
        <v>3.5179999999999998</v>
      </c>
      <c r="H292" s="25">
        <v>3.3730000000000002</v>
      </c>
      <c r="I292" s="1"/>
    </row>
    <row r="293" spans="1:9" ht="63" x14ac:dyDescent="0.25">
      <c r="A293" s="89"/>
      <c r="B293" s="25">
        <v>19</v>
      </c>
      <c r="C293" s="85" t="s">
        <v>854</v>
      </c>
      <c r="D293" s="30" t="s">
        <v>1166</v>
      </c>
      <c r="E293" s="16" t="s">
        <v>1012</v>
      </c>
      <c r="F293" s="18" t="s">
        <v>1016</v>
      </c>
      <c r="G293" s="25"/>
      <c r="H293" s="25">
        <v>29</v>
      </c>
      <c r="I293" s="1"/>
    </row>
    <row r="294" spans="1:9" ht="75" x14ac:dyDescent="0.25">
      <c r="A294" s="89"/>
      <c r="B294" s="25">
        <v>20</v>
      </c>
      <c r="C294" s="85" t="s">
        <v>910</v>
      </c>
      <c r="D294" s="30" t="s">
        <v>1133</v>
      </c>
      <c r="E294" s="16" t="s">
        <v>1012</v>
      </c>
      <c r="F294" s="18" t="s">
        <v>1016</v>
      </c>
      <c r="G294" s="25">
        <v>20</v>
      </c>
      <c r="H294" s="25">
        <v>8</v>
      </c>
      <c r="I294" s="1"/>
    </row>
    <row r="295" spans="1:9" ht="63" x14ac:dyDescent="0.25">
      <c r="A295" s="89"/>
      <c r="B295" s="25">
        <v>21</v>
      </c>
      <c r="C295" s="85" t="s">
        <v>871</v>
      </c>
      <c r="D295" s="30" t="s">
        <v>1133</v>
      </c>
      <c r="E295" s="16" t="s">
        <v>1012</v>
      </c>
      <c r="F295" s="18" t="s">
        <v>1016</v>
      </c>
      <c r="G295" s="25">
        <v>20</v>
      </c>
      <c r="H295" s="25">
        <v>8</v>
      </c>
      <c r="I295" s="1"/>
    </row>
    <row r="296" spans="1:9" ht="63" x14ac:dyDescent="0.25">
      <c r="A296" s="89"/>
      <c r="B296" s="25">
        <v>22</v>
      </c>
      <c r="C296" s="85" t="s">
        <v>881</v>
      </c>
      <c r="D296" s="30" t="s">
        <v>1133</v>
      </c>
      <c r="E296" s="16" t="s">
        <v>1012</v>
      </c>
      <c r="F296" s="18" t="s">
        <v>1016</v>
      </c>
      <c r="G296" s="25">
        <v>20</v>
      </c>
      <c r="H296" s="25">
        <v>8</v>
      </c>
      <c r="I296" s="1"/>
    </row>
    <row r="297" spans="1:9" ht="63" x14ac:dyDescent="0.25">
      <c r="A297" s="89"/>
      <c r="B297" s="25">
        <v>23</v>
      </c>
      <c r="C297" s="85" t="s">
        <v>1028</v>
      </c>
      <c r="D297" s="30" t="s">
        <v>1131</v>
      </c>
      <c r="E297" s="16" t="s">
        <v>1012</v>
      </c>
      <c r="F297" s="18" t="s">
        <v>1016</v>
      </c>
      <c r="G297" s="25">
        <v>3.5179999999999998</v>
      </c>
      <c r="H297" s="25">
        <v>3.3730000000000002</v>
      </c>
      <c r="I297" s="1"/>
    </row>
    <row r="298" spans="1:9" ht="63" x14ac:dyDescent="0.25">
      <c r="A298" s="89"/>
      <c r="B298" s="25">
        <v>24</v>
      </c>
      <c r="C298" s="85" t="s">
        <v>885</v>
      </c>
      <c r="D298" s="30" t="s">
        <v>1131</v>
      </c>
      <c r="E298" s="16" t="s">
        <v>1012</v>
      </c>
      <c r="F298" s="18" t="s">
        <v>1016</v>
      </c>
      <c r="G298" s="25">
        <v>3.5179999999999998</v>
      </c>
      <c r="H298" s="25">
        <v>3.3730000000000002</v>
      </c>
      <c r="I298" s="1"/>
    </row>
    <row r="299" spans="1:9" ht="63" x14ac:dyDescent="0.25">
      <c r="A299" s="89"/>
      <c r="B299" s="25">
        <v>25</v>
      </c>
      <c r="C299" s="85" t="s">
        <v>893</v>
      </c>
      <c r="D299" s="30" t="s">
        <v>1131</v>
      </c>
      <c r="E299" s="16" t="s">
        <v>1012</v>
      </c>
      <c r="F299" s="18" t="s">
        <v>1016</v>
      </c>
      <c r="G299" s="25">
        <v>3.5179999999999998</v>
      </c>
      <c r="H299" s="25">
        <v>3.3730000000000002</v>
      </c>
      <c r="I299" s="1"/>
    </row>
    <row r="300" spans="1:9" ht="241.5" customHeight="1" x14ac:dyDescent="0.25">
      <c r="A300" s="89"/>
      <c r="B300" s="25">
        <v>26</v>
      </c>
      <c r="C300" s="85" t="s">
        <v>1031</v>
      </c>
      <c r="D300" s="30" t="s">
        <v>1131</v>
      </c>
      <c r="E300" s="16" t="s">
        <v>1012</v>
      </c>
      <c r="F300" s="18" t="s">
        <v>1016</v>
      </c>
      <c r="G300" s="25">
        <v>3.5179999999999998</v>
      </c>
      <c r="H300" s="25">
        <v>3.3730000000000002</v>
      </c>
      <c r="I300" s="1"/>
    </row>
    <row r="301" spans="1:9" ht="241.5" customHeight="1" x14ac:dyDescent="0.25">
      <c r="A301" s="89"/>
      <c r="B301" s="25">
        <v>27</v>
      </c>
      <c r="C301" s="85" t="e">
        <f>#REF!</f>
        <v>#REF!</v>
      </c>
      <c r="D301" s="30" t="s">
        <v>1131</v>
      </c>
      <c r="E301" s="16" t="s">
        <v>1012</v>
      </c>
      <c r="F301" s="18" t="s">
        <v>1016</v>
      </c>
      <c r="G301" s="25">
        <v>3.5179999999999998</v>
      </c>
      <c r="H301" s="25">
        <v>3.3730000000000002</v>
      </c>
      <c r="I301" s="1"/>
    </row>
    <row r="302" spans="1:9" ht="63" x14ac:dyDescent="0.25">
      <c r="A302" s="89"/>
      <c r="B302" s="25">
        <v>28</v>
      </c>
      <c r="C302" s="85" t="s">
        <v>902</v>
      </c>
      <c r="D302" s="30" t="s">
        <v>1131</v>
      </c>
      <c r="E302" s="16" t="s">
        <v>1012</v>
      </c>
      <c r="F302" s="18" t="s">
        <v>1016</v>
      </c>
      <c r="G302" s="25">
        <v>3.5179999999999998</v>
      </c>
      <c r="H302" s="25">
        <v>3.3730000000000002</v>
      </c>
      <c r="I302" s="1"/>
    </row>
    <row r="303" spans="1:9" ht="75" x14ac:dyDescent="0.25">
      <c r="A303" s="89"/>
      <c r="B303" s="25">
        <v>29</v>
      </c>
      <c r="C303" s="85" t="s">
        <v>912</v>
      </c>
      <c r="D303" s="30" t="s">
        <v>1167</v>
      </c>
      <c r="E303" s="16" t="s">
        <v>1012</v>
      </c>
      <c r="F303" s="18" t="s">
        <v>1016</v>
      </c>
      <c r="G303" s="25">
        <v>13</v>
      </c>
      <c r="H303" s="25">
        <v>4</v>
      </c>
      <c r="I303" s="1"/>
    </row>
    <row r="304" spans="1:9" ht="63" x14ac:dyDescent="0.25">
      <c r="A304" s="89"/>
      <c r="B304" s="25">
        <v>30</v>
      </c>
      <c r="C304" s="85" t="s">
        <v>1047</v>
      </c>
      <c r="D304" s="30" t="s">
        <v>1167</v>
      </c>
      <c r="E304" s="16" t="s">
        <v>1012</v>
      </c>
      <c r="F304" s="18" t="s">
        <v>1016</v>
      </c>
      <c r="G304" s="25">
        <v>13</v>
      </c>
      <c r="H304" s="25">
        <v>4</v>
      </c>
      <c r="I304" s="1"/>
    </row>
    <row r="305" spans="1:9" ht="75" x14ac:dyDescent="0.25">
      <c r="A305" s="89"/>
      <c r="B305" s="25">
        <v>31</v>
      </c>
      <c r="C305" s="81" t="s">
        <v>926</v>
      </c>
      <c r="D305" s="30" t="s">
        <v>1131</v>
      </c>
      <c r="E305" s="16" t="s">
        <v>1012</v>
      </c>
      <c r="F305" s="18" t="s">
        <v>1016</v>
      </c>
      <c r="G305" s="25">
        <v>3.5179999999999998</v>
      </c>
      <c r="H305" s="25">
        <v>3.3730000000000002</v>
      </c>
      <c r="I305" s="1"/>
    </row>
    <row r="306" spans="1:9" ht="105" x14ac:dyDescent="0.25">
      <c r="A306" s="89"/>
      <c r="B306" s="25">
        <v>32</v>
      </c>
      <c r="C306" s="81" t="s">
        <v>952</v>
      </c>
      <c r="D306" s="30" t="s">
        <v>1131</v>
      </c>
      <c r="E306" s="16" t="s">
        <v>1012</v>
      </c>
      <c r="F306" s="18" t="s">
        <v>1016</v>
      </c>
      <c r="G306" s="25">
        <v>3.5179999999999998</v>
      </c>
      <c r="H306" s="25">
        <v>3.3730000000000002</v>
      </c>
      <c r="I306" s="1"/>
    </row>
    <row r="307" spans="1:9" ht="90" x14ac:dyDescent="0.25">
      <c r="A307" s="89"/>
      <c r="B307" s="25">
        <v>33</v>
      </c>
      <c r="C307" s="81" t="s">
        <v>963</v>
      </c>
      <c r="D307" s="30" t="s">
        <v>1131</v>
      </c>
      <c r="E307" s="16" t="s">
        <v>1012</v>
      </c>
      <c r="F307" s="18" t="s">
        <v>1016</v>
      </c>
      <c r="G307" s="25">
        <v>3.5179999999999998</v>
      </c>
      <c r="H307" s="25">
        <v>3.3730000000000002</v>
      </c>
      <c r="I307" s="1"/>
    </row>
    <row r="308" spans="1:9" ht="90" x14ac:dyDescent="0.25">
      <c r="A308" s="89"/>
      <c r="B308" s="25">
        <v>34</v>
      </c>
      <c r="C308" s="81" t="s">
        <v>969</v>
      </c>
      <c r="D308" s="30" t="s">
        <v>1131</v>
      </c>
      <c r="E308" s="16" t="s">
        <v>1012</v>
      </c>
      <c r="F308" s="18" t="s">
        <v>1016</v>
      </c>
      <c r="G308" s="25">
        <v>3.5179999999999998</v>
      </c>
      <c r="H308" s="25">
        <v>3.3730000000000002</v>
      </c>
      <c r="I308" s="1"/>
    </row>
    <row r="309" spans="1:9" ht="105" x14ac:dyDescent="0.25">
      <c r="A309" s="89"/>
      <c r="B309" s="25">
        <v>35</v>
      </c>
      <c r="C309" s="81" t="s">
        <v>1068</v>
      </c>
      <c r="D309" s="30" t="s">
        <v>1131</v>
      </c>
      <c r="E309" s="16" t="s">
        <v>1012</v>
      </c>
      <c r="F309" s="18" t="s">
        <v>1016</v>
      </c>
      <c r="G309" s="25">
        <v>3.5179999999999998</v>
      </c>
      <c r="H309" s="25">
        <v>3.3730000000000002</v>
      </c>
      <c r="I309" s="1"/>
    </row>
    <row r="310" spans="1:9" ht="63" x14ac:dyDescent="0.25">
      <c r="A310" s="89"/>
      <c r="B310" s="25">
        <v>36</v>
      </c>
      <c r="C310" s="81" t="s">
        <v>414</v>
      </c>
      <c r="D310" s="30" t="s">
        <v>1133</v>
      </c>
      <c r="E310" s="16" t="s">
        <v>1012</v>
      </c>
      <c r="F310" s="18" t="s">
        <v>1016</v>
      </c>
      <c r="G310" s="25">
        <v>20</v>
      </c>
      <c r="H310" s="25">
        <v>8</v>
      </c>
      <c r="I310" s="1"/>
    </row>
    <row r="311" spans="1:9" ht="75" x14ac:dyDescent="0.25">
      <c r="A311" s="89"/>
      <c r="B311" s="25">
        <v>37</v>
      </c>
      <c r="C311" s="81" t="s">
        <v>427</v>
      </c>
      <c r="D311" s="30" t="s">
        <v>1133</v>
      </c>
      <c r="E311" s="16" t="s">
        <v>1012</v>
      </c>
      <c r="F311" s="18" t="s">
        <v>1016</v>
      </c>
      <c r="G311" s="25">
        <v>20</v>
      </c>
      <c r="H311" s="25">
        <v>8</v>
      </c>
      <c r="I311" s="1"/>
    </row>
    <row r="312" spans="1:9" ht="63" x14ac:dyDescent="0.25">
      <c r="A312" s="89"/>
      <c r="B312" s="25">
        <v>38</v>
      </c>
      <c r="C312" s="81" t="s">
        <v>461</v>
      </c>
      <c r="D312" s="30" t="s">
        <v>1133</v>
      </c>
      <c r="E312" s="16" t="s">
        <v>1012</v>
      </c>
      <c r="F312" s="18" t="s">
        <v>1016</v>
      </c>
      <c r="G312" s="25">
        <v>20</v>
      </c>
      <c r="H312" s="25">
        <v>8</v>
      </c>
      <c r="I312" s="1"/>
    </row>
    <row r="313" spans="1:9" ht="63" x14ac:dyDescent="0.25">
      <c r="A313" s="89"/>
      <c r="B313" s="25">
        <v>39</v>
      </c>
      <c r="C313" s="81" t="s">
        <v>431</v>
      </c>
      <c r="D313" s="30" t="s">
        <v>1153</v>
      </c>
      <c r="E313" s="16" t="s">
        <v>1012</v>
      </c>
      <c r="F313" s="18" t="s">
        <v>1016</v>
      </c>
      <c r="G313" s="25">
        <v>8</v>
      </c>
      <c r="H313" s="25">
        <v>1</v>
      </c>
      <c r="I313" s="1"/>
    </row>
    <row r="314" spans="1:9" x14ac:dyDescent="0.25">
      <c r="A314" s="89"/>
      <c r="B314" s="25"/>
      <c r="C314" s="81"/>
      <c r="D314" s="30"/>
      <c r="E314" s="31"/>
      <c r="F314" s="25"/>
      <c r="G314" s="86"/>
      <c r="H314" s="86"/>
      <c r="I314" s="1"/>
    </row>
    <row r="315" spans="1:9" ht="96.75" customHeight="1" x14ac:dyDescent="0.25">
      <c r="A315" s="2317" t="s">
        <v>1149</v>
      </c>
      <c r="B315" s="25">
        <v>1</v>
      </c>
      <c r="C315" s="85" t="s">
        <v>494</v>
      </c>
      <c r="D315" s="30" t="s">
        <v>1131</v>
      </c>
      <c r="E315" s="16" t="s">
        <v>1012</v>
      </c>
      <c r="F315" s="10" t="s">
        <v>1016</v>
      </c>
      <c r="G315" s="86">
        <v>30</v>
      </c>
      <c r="H315" s="86"/>
      <c r="I315" s="1"/>
    </row>
    <row r="316" spans="1:9" ht="63" x14ac:dyDescent="0.25">
      <c r="A316" s="2318"/>
      <c r="B316" s="25">
        <v>2</v>
      </c>
      <c r="C316" s="81" t="s">
        <v>1029</v>
      </c>
      <c r="D316" s="30" t="s">
        <v>1131</v>
      </c>
      <c r="E316" s="16" t="s">
        <v>1012</v>
      </c>
      <c r="F316" s="10" t="s">
        <v>1016</v>
      </c>
      <c r="G316" s="86">
        <v>35</v>
      </c>
      <c r="H316" s="86"/>
      <c r="I316" s="1"/>
    </row>
    <row r="317" spans="1:9" ht="63" x14ac:dyDescent="0.25">
      <c r="A317" s="2318"/>
      <c r="B317" s="25">
        <v>3</v>
      </c>
      <c r="C317" s="85" t="s">
        <v>1089</v>
      </c>
      <c r="D317" s="30" t="s">
        <v>1131</v>
      </c>
      <c r="E317" s="16" t="s">
        <v>1012</v>
      </c>
      <c r="F317" s="10" t="s">
        <v>1016</v>
      </c>
      <c r="G317" s="86">
        <v>30</v>
      </c>
      <c r="H317" s="86"/>
      <c r="I317" s="1"/>
    </row>
    <row r="318" spans="1:9" ht="63" x14ac:dyDescent="0.25">
      <c r="A318" s="2318"/>
      <c r="B318" s="25">
        <v>4</v>
      </c>
      <c r="C318" s="85" t="s">
        <v>414</v>
      </c>
      <c r="D318" s="30" t="s">
        <v>1133</v>
      </c>
      <c r="E318" s="16" t="s">
        <v>1012</v>
      </c>
      <c r="F318" s="10" t="s">
        <v>1016</v>
      </c>
      <c r="G318" s="86">
        <v>20</v>
      </c>
      <c r="H318" s="86">
        <v>8</v>
      </c>
      <c r="I318" s="1"/>
    </row>
    <row r="319" spans="1:9" ht="75" x14ac:dyDescent="0.25">
      <c r="A319" s="2318"/>
      <c r="B319" s="25">
        <v>5</v>
      </c>
      <c r="C319" s="85" t="s">
        <v>427</v>
      </c>
      <c r="D319" s="30" t="s">
        <v>1133</v>
      </c>
      <c r="E319" s="16" t="s">
        <v>1012</v>
      </c>
      <c r="F319" s="10" t="s">
        <v>1016</v>
      </c>
      <c r="G319" s="86">
        <v>20</v>
      </c>
      <c r="H319" s="86">
        <v>8</v>
      </c>
      <c r="I319" s="1"/>
    </row>
    <row r="320" spans="1:9" ht="63" x14ac:dyDescent="0.25">
      <c r="A320" s="2318"/>
      <c r="B320" s="25">
        <v>6</v>
      </c>
      <c r="C320" s="85" t="s">
        <v>461</v>
      </c>
      <c r="D320" s="30" t="s">
        <v>1133</v>
      </c>
      <c r="E320" s="16" t="s">
        <v>1012</v>
      </c>
      <c r="F320" s="10" t="s">
        <v>1016</v>
      </c>
      <c r="G320" s="86">
        <v>20</v>
      </c>
      <c r="H320" s="86">
        <v>8</v>
      </c>
      <c r="I320" s="1"/>
    </row>
    <row r="321" spans="1:9" ht="63" x14ac:dyDescent="0.25">
      <c r="A321" s="2318"/>
      <c r="B321" s="25">
        <v>7</v>
      </c>
      <c r="C321" s="85" t="s">
        <v>431</v>
      </c>
      <c r="D321" s="30" t="s">
        <v>1153</v>
      </c>
      <c r="E321" s="16" t="s">
        <v>1012</v>
      </c>
      <c r="F321" s="10" t="s">
        <v>1016</v>
      </c>
      <c r="G321" s="86">
        <v>8</v>
      </c>
      <c r="H321" s="86">
        <v>1</v>
      </c>
      <c r="I321" s="1"/>
    </row>
    <row r="322" spans="1:9" ht="90" x14ac:dyDescent="0.25">
      <c r="A322" s="2318"/>
      <c r="B322" s="25">
        <v>8</v>
      </c>
      <c r="C322" s="85" t="s">
        <v>489</v>
      </c>
      <c r="D322" s="30" t="s">
        <v>1166</v>
      </c>
      <c r="E322" s="16" t="s">
        <v>1012</v>
      </c>
      <c r="F322" s="10" t="s">
        <v>1016</v>
      </c>
      <c r="G322" s="86"/>
      <c r="H322" s="86">
        <v>32</v>
      </c>
      <c r="I322" s="1"/>
    </row>
    <row r="323" spans="1:9" ht="63" x14ac:dyDescent="0.25">
      <c r="A323" s="2318"/>
      <c r="B323" s="25">
        <v>9</v>
      </c>
      <c r="C323" s="85" t="s">
        <v>1072</v>
      </c>
      <c r="D323" s="30" t="s">
        <v>1131</v>
      </c>
      <c r="E323" s="16" t="s">
        <v>1012</v>
      </c>
      <c r="F323" s="10" t="s">
        <v>1016</v>
      </c>
      <c r="G323" s="86">
        <v>50</v>
      </c>
      <c r="H323" s="86"/>
      <c r="I323" s="1"/>
    </row>
    <row r="324" spans="1:9" ht="90" x14ac:dyDescent="0.25">
      <c r="A324" s="2318"/>
      <c r="B324" s="25">
        <v>10</v>
      </c>
      <c r="C324" s="85" t="s">
        <v>1073</v>
      </c>
      <c r="D324" s="30" t="s">
        <v>1166</v>
      </c>
      <c r="E324" s="16" t="s">
        <v>1012</v>
      </c>
      <c r="F324" s="10" t="s">
        <v>1016</v>
      </c>
      <c r="G324" s="86"/>
      <c r="H324" s="86">
        <v>32</v>
      </c>
      <c r="I324" s="1"/>
    </row>
    <row r="325" spans="1:9" x14ac:dyDescent="0.25">
      <c r="A325" s="2319"/>
      <c r="B325" s="25"/>
      <c r="C325" s="88"/>
      <c r="D325" s="1"/>
      <c r="E325" s="31"/>
      <c r="F325" s="25"/>
      <c r="G325" s="86"/>
      <c r="H325" s="86"/>
      <c r="I325" s="1"/>
    </row>
    <row r="326" spans="1:9" ht="63" x14ac:dyDescent="0.25">
      <c r="A326" s="2317" t="s">
        <v>1150</v>
      </c>
      <c r="B326" s="25">
        <v>1</v>
      </c>
      <c r="C326" s="85" t="s">
        <v>8</v>
      </c>
      <c r="D326" s="30" t="s">
        <v>1133</v>
      </c>
      <c r="E326" s="16" t="s">
        <v>1012</v>
      </c>
      <c r="F326" s="18" t="s">
        <v>1013</v>
      </c>
      <c r="G326" s="10">
        <v>1</v>
      </c>
      <c r="H326" s="10"/>
      <c r="I326" s="10"/>
    </row>
    <row r="327" spans="1:9" ht="63" x14ac:dyDescent="0.25">
      <c r="A327" s="2318"/>
      <c r="B327" s="25">
        <v>2</v>
      </c>
      <c r="C327" s="85" t="s">
        <v>36</v>
      </c>
      <c r="D327" s="30" t="s">
        <v>1133</v>
      </c>
      <c r="E327" s="16" t="s">
        <v>1012</v>
      </c>
      <c r="F327" s="18" t="s">
        <v>1013</v>
      </c>
      <c r="G327" s="10">
        <v>12</v>
      </c>
      <c r="H327" s="10">
        <v>3</v>
      </c>
      <c r="I327" s="10"/>
    </row>
    <row r="328" spans="1:9" ht="75" x14ac:dyDescent="0.25">
      <c r="A328" s="2318"/>
      <c r="B328" s="25">
        <v>3</v>
      </c>
      <c r="C328" s="85" t="s">
        <v>58</v>
      </c>
      <c r="D328" s="30" t="s">
        <v>1133</v>
      </c>
      <c r="E328" s="16" t="s">
        <v>1012</v>
      </c>
      <c r="F328" s="18" t="s">
        <v>1013</v>
      </c>
      <c r="G328" s="10">
        <v>13</v>
      </c>
      <c r="H328" s="10">
        <v>3</v>
      </c>
      <c r="I328" s="10"/>
    </row>
    <row r="329" spans="1:9" ht="63" x14ac:dyDescent="0.25">
      <c r="A329" s="2318"/>
      <c r="B329" s="25">
        <v>4</v>
      </c>
      <c r="C329" s="85" t="s">
        <v>80</v>
      </c>
      <c r="D329" s="30" t="s">
        <v>1133</v>
      </c>
      <c r="E329" s="16" t="s">
        <v>1012</v>
      </c>
      <c r="F329" s="18" t="s">
        <v>1013</v>
      </c>
      <c r="G329" s="10">
        <v>3.5179999999999998</v>
      </c>
      <c r="H329" s="10">
        <v>3.3730000000000002</v>
      </c>
      <c r="I329" s="10"/>
    </row>
    <row r="330" spans="1:9" ht="75" x14ac:dyDescent="0.25">
      <c r="A330" s="2318"/>
      <c r="B330" s="25">
        <v>5</v>
      </c>
      <c r="C330" s="85" t="s">
        <v>446</v>
      </c>
      <c r="D330" s="30" t="s">
        <v>1133</v>
      </c>
      <c r="E330" s="16" t="s">
        <v>1012</v>
      </c>
      <c r="F330" s="18" t="s">
        <v>1013</v>
      </c>
      <c r="G330" s="10">
        <v>20</v>
      </c>
      <c r="H330" s="10">
        <v>9</v>
      </c>
      <c r="I330" s="10"/>
    </row>
    <row r="331" spans="1:9" ht="63" x14ac:dyDescent="0.25">
      <c r="A331" s="2318"/>
      <c r="B331" s="25">
        <v>6</v>
      </c>
      <c r="C331" s="85" t="s">
        <v>238</v>
      </c>
      <c r="D331" s="30" t="s">
        <v>1153</v>
      </c>
      <c r="E331" s="16" t="s">
        <v>1012</v>
      </c>
      <c r="F331" s="18" t="s">
        <v>1013</v>
      </c>
      <c r="G331" s="10">
        <v>8</v>
      </c>
      <c r="H331" s="10">
        <v>1</v>
      </c>
      <c r="I331" s="10"/>
    </row>
    <row r="332" spans="1:9" ht="63" x14ac:dyDescent="0.25">
      <c r="A332" s="2318"/>
      <c r="B332" s="25">
        <v>7</v>
      </c>
      <c r="C332" s="85" t="s">
        <v>254</v>
      </c>
      <c r="D332" s="30" t="s">
        <v>1153</v>
      </c>
      <c r="E332" s="16" t="s">
        <v>1012</v>
      </c>
      <c r="F332" s="18" t="s">
        <v>1039</v>
      </c>
      <c r="G332" s="10">
        <v>8</v>
      </c>
      <c r="H332" s="10">
        <v>1</v>
      </c>
      <c r="I332" s="10"/>
    </row>
    <row r="333" spans="1:9" ht="63" x14ac:dyDescent="0.25">
      <c r="A333" s="2318"/>
      <c r="B333" s="25">
        <v>8</v>
      </c>
      <c r="C333" s="85" t="s">
        <v>276</v>
      </c>
      <c r="D333" s="30" t="s">
        <v>1153</v>
      </c>
      <c r="E333" s="16" t="s">
        <v>1012</v>
      </c>
      <c r="F333" s="18" t="s">
        <v>1040</v>
      </c>
      <c r="G333" s="10">
        <v>3.5179999999999998</v>
      </c>
      <c r="H333" s="10">
        <v>3.3730000000000002</v>
      </c>
      <c r="I333" s="10"/>
    </row>
    <row r="334" spans="1:9" ht="63" x14ac:dyDescent="0.25">
      <c r="A334" s="2318"/>
      <c r="B334" s="25">
        <v>9</v>
      </c>
      <c r="C334" s="85" t="s">
        <v>291</v>
      </c>
      <c r="D334" s="30" t="s">
        <v>1133</v>
      </c>
      <c r="E334" s="16" t="s">
        <v>1012</v>
      </c>
      <c r="F334" s="18" t="s">
        <v>1041</v>
      </c>
      <c r="G334" s="10">
        <v>9</v>
      </c>
      <c r="H334" s="10">
        <v>4</v>
      </c>
      <c r="I334" s="10"/>
    </row>
    <row r="335" spans="1:9" ht="59.25" customHeight="1" x14ac:dyDescent="0.25">
      <c r="A335" s="2318"/>
      <c r="B335" s="25">
        <v>10</v>
      </c>
      <c r="C335" s="81" t="s">
        <v>1173</v>
      </c>
      <c r="D335" s="30" t="s">
        <v>1129</v>
      </c>
      <c r="E335" s="16" t="s">
        <v>1012</v>
      </c>
      <c r="F335" s="18" t="s">
        <v>1042</v>
      </c>
      <c r="G335" s="10">
        <v>3.5179999999999998</v>
      </c>
      <c r="H335" s="10">
        <v>3.3730000000000002</v>
      </c>
      <c r="I335" s="10"/>
    </row>
    <row r="336" spans="1:9" ht="63" x14ac:dyDescent="0.25">
      <c r="A336" s="2318"/>
      <c r="B336" s="25">
        <v>11</v>
      </c>
      <c r="C336" s="85" t="s">
        <v>452</v>
      </c>
      <c r="D336" s="30" t="s">
        <v>1133</v>
      </c>
      <c r="E336" s="16" t="s">
        <v>1012</v>
      </c>
      <c r="F336" s="18" t="s">
        <v>1013</v>
      </c>
      <c r="G336" s="10">
        <v>3.5179999999999998</v>
      </c>
      <c r="H336" s="10">
        <v>3.3730000000000002</v>
      </c>
      <c r="I336" s="10"/>
    </row>
    <row r="337" spans="1:9" ht="63" x14ac:dyDescent="0.25">
      <c r="A337" s="2318"/>
      <c r="B337" s="25">
        <v>12</v>
      </c>
      <c r="C337" s="85" t="s">
        <v>457</v>
      </c>
      <c r="D337" s="30" t="s">
        <v>1133</v>
      </c>
      <c r="E337" s="16" t="s">
        <v>1012</v>
      </c>
      <c r="F337" s="18" t="s">
        <v>1013</v>
      </c>
      <c r="G337" s="10">
        <v>20</v>
      </c>
      <c r="H337" s="10">
        <v>8</v>
      </c>
      <c r="I337" s="10"/>
    </row>
    <row r="338" spans="1:9" ht="63" x14ac:dyDescent="0.25">
      <c r="A338" s="2318"/>
      <c r="B338" s="25">
        <v>13</v>
      </c>
      <c r="C338" s="85" t="s">
        <v>506</v>
      </c>
      <c r="D338" s="30" t="s">
        <v>1131</v>
      </c>
      <c r="E338" s="16" t="s">
        <v>1012</v>
      </c>
      <c r="F338" s="18" t="s">
        <v>1013</v>
      </c>
      <c r="G338" s="10">
        <v>1</v>
      </c>
      <c r="H338" s="10"/>
      <c r="I338" s="10"/>
    </row>
    <row r="339" spans="1:9" ht="63" x14ac:dyDescent="0.25">
      <c r="A339" s="2318"/>
      <c r="B339" s="25">
        <v>14</v>
      </c>
      <c r="C339" s="85" t="s">
        <v>394</v>
      </c>
      <c r="D339" s="30" t="s">
        <v>1133</v>
      </c>
      <c r="E339" s="16" t="s">
        <v>1012</v>
      </c>
      <c r="F339" s="18" t="s">
        <v>1042</v>
      </c>
      <c r="G339" s="10">
        <v>20</v>
      </c>
      <c r="H339" s="10">
        <v>8</v>
      </c>
      <c r="I339" s="10"/>
    </row>
    <row r="340" spans="1:9" ht="63" x14ac:dyDescent="0.25">
      <c r="A340" s="2318"/>
      <c r="B340" s="25">
        <v>15</v>
      </c>
      <c r="C340" s="85" t="s">
        <v>511</v>
      </c>
      <c r="D340" s="30" t="s">
        <v>1133</v>
      </c>
      <c r="E340" s="16" t="s">
        <v>1012</v>
      </c>
      <c r="F340" s="18" t="s">
        <v>1043</v>
      </c>
      <c r="G340" s="10">
        <v>3.5179999999999998</v>
      </c>
      <c r="H340" s="10">
        <v>3.3730000000000002</v>
      </c>
      <c r="I340" s="10"/>
    </row>
    <row r="341" spans="1:9" ht="63" x14ac:dyDescent="0.25">
      <c r="A341" s="2318"/>
      <c r="B341" s="25">
        <v>16</v>
      </c>
      <c r="C341" s="85" t="s">
        <v>518</v>
      </c>
      <c r="D341" s="30" t="s">
        <v>1133</v>
      </c>
      <c r="E341" s="16" t="s">
        <v>1012</v>
      </c>
      <c r="F341" s="18" t="s">
        <v>1043</v>
      </c>
      <c r="G341" s="10">
        <v>3.5179999999999998</v>
      </c>
      <c r="H341" s="10">
        <v>3.3730000000000002</v>
      </c>
      <c r="I341" s="10"/>
    </row>
    <row r="342" spans="1:9" ht="63" x14ac:dyDescent="0.25">
      <c r="A342" s="2318"/>
      <c r="B342" s="25">
        <v>17</v>
      </c>
      <c r="C342" s="85" t="s">
        <v>519</v>
      </c>
      <c r="D342" s="30" t="s">
        <v>1153</v>
      </c>
      <c r="E342" s="16" t="s">
        <v>1012</v>
      </c>
      <c r="F342" s="18" t="s">
        <v>1043</v>
      </c>
      <c r="G342" s="10">
        <v>3.5179999999999998</v>
      </c>
      <c r="H342" s="10">
        <v>3.3730000000000002</v>
      </c>
      <c r="I342" s="10"/>
    </row>
    <row r="343" spans="1:9" ht="63" x14ac:dyDescent="0.25">
      <c r="A343" s="2318"/>
      <c r="B343" s="25">
        <v>18</v>
      </c>
      <c r="C343" s="85" t="s">
        <v>520</v>
      </c>
      <c r="D343" s="30" t="s">
        <v>1133</v>
      </c>
      <c r="E343" s="16" t="s">
        <v>1012</v>
      </c>
      <c r="F343" s="18" t="s">
        <v>1043</v>
      </c>
      <c r="G343" s="10">
        <v>3.5179999999999998</v>
      </c>
      <c r="H343" s="10">
        <v>3.3730000000000002</v>
      </c>
      <c r="I343" s="10"/>
    </row>
    <row r="344" spans="1:9" ht="63" x14ac:dyDescent="0.25">
      <c r="A344" s="2318"/>
      <c r="B344" s="25">
        <v>19</v>
      </c>
      <c r="C344" s="85" t="s">
        <v>521</v>
      </c>
      <c r="D344" s="30" t="s">
        <v>1133</v>
      </c>
      <c r="E344" s="16" t="s">
        <v>1012</v>
      </c>
      <c r="F344" s="18" t="s">
        <v>1043</v>
      </c>
      <c r="G344" s="10">
        <v>3.5179999999999998</v>
      </c>
      <c r="H344" s="10">
        <v>3.3730000000000002</v>
      </c>
      <c r="I344" s="10"/>
    </row>
    <row r="345" spans="1:9" ht="75" x14ac:dyDescent="0.25">
      <c r="A345" s="2318"/>
      <c r="B345" s="25">
        <v>20</v>
      </c>
      <c r="C345" s="85" t="s">
        <v>320</v>
      </c>
      <c r="D345" s="30" t="s">
        <v>1131</v>
      </c>
      <c r="E345" s="16" t="s">
        <v>1012</v>
      </c>
      <c r="F345" s="18" t="s">
        <v>1043</v>
      </c>
      <c r="G345" s="10">
        <v>3.5179999999999998</v>
      </c>
      <c r="H345" s="10">
        <v>3.3730000000000002</v>
      </c>
      <c r="I345" s="10"/>
    </row>
    <row r="346" spans="1:9" ht="75" x14ac:dyDescent="0.25">
      <c r="A346" s="2318"/>
      <c r="B346" s="25">
        <v>21</v>
      </c>
      <c r="C346" s="85" t="s">
        <v>1058</v>
      </c>
      <c r="D346" s="30" t="s">
        <v>1131</v>
      </c>
      <c r="E346" s="16" t="s">
        <v>1012</v>
      </c>
      <c r="F346" s="18" t="s">
        <v>1043</v>
      </c>
      <c r="G346" s="10">
        <v>3.5179999999999998</v>
      </c>
      <c r="H346" s="10">
        <v>3.3730000000000002</v>
      </c>
      <c r="I346" s="10"/>
    </row>
    <row r="347" spans="1:9" ht="75" x14ac:dyDescent="0.25">
      <c r="A347" s="2318"/>
      <c r="B347" s="25">
        <v>22</v>
      </c>
      <c r="C347" s="85" t="s">
        <v>1074</v>
      </c>
      <c r="D347" s="30" t="s">
        <v>1133</v>
      </c>
      <c r="E347" s="16" t="s">
        <v>1012</v>
      </c>
      <c r="F347" s="18" t="s">
        <v>1043</v>
      </c>
      <c r="G347" s="10">
        <v>20</v>
      </c>
      <c r="H347" s="10">
        <v>8</v>
      </c>
      <c r="I347" s="15"/>
    </row>
    <row r="348" spans="1:9" ht="90" x14ac:dyDescent="0.25">
      <c r="A348" s="2318"/>
      <c r="B348" s="25">
        <v>23</v>
      </c>
      <c r="C348" s="85" t="s">
        <v>302</v>
      </c>
      <c r="D348" s="30" t="s">
        <v>1131</v>
      </c>
      <c r="E348" s="16" t="s">
        <v>1012</v>
      </c>
      <c r="F348" s="18" t="s">
        <v>1044</v>
      </c>
      <c r="G348" s="10">
        <v>3.5179999999999998</v>
      </c>
      <c r="H348" s="10">
        <v>3.3730000000000002</v>
      </c>
      <c r="I348" s="30"/>
    </row>
    <row r="349" spans="1:9" ht="63" x14ac:dyDescent="0.25">
      <c r="A349" s="2318"/>
      <c r="B349" s="25">
        <v>24</v>
      </c>
      <c r="C349" s="85" t="s">
        <v>340</v>
      </c>
      <c r="D349" s="30" t="s">
        <v>1133</v>
      </c>
      <c r="E349" s="16" t="s">
        <v>1012</v>
      </c>
      <c r="F349" s="18" t="s">
        <v>1016</v>
      </c>
      <c r="G349" s="10">
        <v>3.5179999999999998</v>
      </c>
      <c r="H349" s="10">
        <v>3.3730000000000002</v>
      </c>
      <c r="I349" s="30"/>
    </row>
    <row r="350" spans="1:9" ht="105" x14ac:dyDescent="0.25">
      <c r="A350" s="2318"/>
      <c r="B350" s="25">
        <v>25</v>
      </c>
      <c r="C350" s="85" t="s">
        <v>356</v>
      </c>
      <c r="D350" s="30" t="s">
        <v>1133</v>
      </c>
      <c r="E350" s="16" t="s">
        <v>1012</v>
      </c>
      <c r="F350" s="18" t="s">
        <v>1045</v>
      </c>
      <c r="G350" s="10">
        <v>3.5179999999999998</v>
      </c>
      <c r="H350" s="10">
        <v>3.3730000000000002</v>
      </c>
      <c r="I350" s="30"/>
    </row>
    <row r="351" spans="1:9" ht="63" x14ac:dyDescent="0.25">
      <c r="A351" s="2318"/>
      <c r="B351" s="25">
        <v>26</v>
      </c>
      <c r="C351" s="85" t="s">
        <v>361</v>
      </c>
      <c r="D351" s="30" t="s">
        <v>1133</v>
      </c>
      <c r="E351" s="16" t="s">
        <v>1012</v>
      </c>
      <c r="F351" s="18" t="s">
        <v>1046</v>
      </c>
      <c r="G351" s="10">
        <v>3.5179999999999998</v>
      </c>
      <c r="H351" s="10">
        <v>3.3730000000000002</v>
      </c>
      <c r="I351" s="30"/>
    </row>
    <row r="352" spans="1:9" ht="63" x14ac:dyDescent="0.25">
      <c r="A352" s="2318"/>
      <c r="B352" s="25">
        <v>27</v>
      </c>
      <c r="C352" s="85" t="s">
        <v>535</v>
      </c>
      <c r="D352" s="30" t="s">
        <v>1133</v>
      </c>
      <c r="E352" s="16" t="s">
        <v>1012</v>
      </c>
      <c r="F352" s="18" t="s">
        <v>1016</v>
      </c>
      <c r="G352" s="10">
        <v>3.5179999999999998</v>
      </c>
      <c r="H352" s="10">
        <v>3.3730000000000002</v>
      </c>
      <c r="I352" s="30"/>
    </row>
    <row r="353" spans="1:9" ht="63" x14ac:dyDescent="0.25">
      <c r="A353" s="2318"/>
      <c r="B353" s="25">
        <v>28</v>
      </c>
      <c r="C353" s="85" t="s">
        <v>385</v>
      </c>
      <c r="D353" s="30" t="s">
        <v>1133</v>
      </c>
      <c r="E353" s="16" t="s">
        <v>1012</v>
      </c>
      <c r="F353" s="18" t="s">
        <v>1016</v>
      </c>
      <c r="G353" s="10">
        <v>3.5179999999999998</v>
      </c>
      <c r="H353" s="10">
        <v>3.3730000000000002</v>
      </c>
      <c r="I353" s="30"/>
    </row>
    <row r="354" spans="1:9" ht="63" x14ac:dyDescent="0.25">
      <c r="A354" s="2318"/>
      <c r="B354" s="25">
        <v>29</v>
      </c>
      <c r="C354" s="85" t="s">
        <v>387</v>
      </c>
      <c r="D354" s="30" t="s">
        <v>1133</v>
      </c>
      <c r="E354" s="16" t="s">
        <v>1012</v>
      </c>
      <c r="F354" s="18" t="s">
        <v>1016</v>
      </c>
      <c r="G354" s="10">
        <v>3.5179999999999998</v>
      </c>
      <c r="H354" s="10">
        <v>3.3730000000000002</v>
      </c>
      <c r="I354" s="30"/>
    </row>
    <row r="355" spans="1:9" ht="63" x14ac:dyDescent="0.25">
      <c r="A355" s="2318"/>
      <c r="B355" s="25">
        <v>30</v>
      </c>
      <c r="C355" s="85" t="s">
        <v>388</v>
      </c>
      <c r="D355" s="30" t="s">
        <v>1133</v>
      </c>
      <c r="E355" s="16" t="s">
        <v>1012</v>
      </c>
      <c r="F355" s="18" t="s">
        <v>1016</v>
      </c>
      <c r="G355" s="10">
        <v>3.5179999999999998</v>
      </c>
      <c r="H355" s="10">
        <v>3.3730000000000002</v>
      </c>
      <c r="I355" s="30"/>
    </row>
    <row r="356" spans="1:9" ht="90" x14ac:dyDescent="0.25">
      <c r="A356" s="2318"/>
      <c r="B356" s="25">
        <v>31</v>
      </c>
      <c r="C356" s="85" t="s">
        <v>370</v>
      </c>
      <c r="D356" s="30" t="s">
        <v>1133</v>
      </c>
      <c r="E356" s="16" t="s">
        <v>1012</v>
      </c>
      <c r="F356" s="20" t="s">
        <v>1016</v>
      </c>
      <c r="G356" s="10">
        <v>3.5179999999999998</v>
      </c>
      <c r="H356" s="10">
        <v>3.3730000000000002</v>
      </c>
      <c r="I356" s="74"/>
    </row>
    <row r="357" spans="1:9" ht="120" x14ac:dyDescent="0.25">
      <c r="A357" s="2318"/>
      <c r="B357" s="25">
        <v>32</v>
      </c>
      <c r="C357" s="85" t="s">
        <v>829</v>
      </c>
      <c r="D357" s="30" t="s">
        <v>1131</v>
      </c>
      <c r="E357" s="16" t="s">
        <v>1012</v>
      </c>
      <c r="F357" s="18" t="s">
        <v>1016</v>
      </c>
      <c r="G357" s="25">
        <v>3.5179999999999998</v>
      </c>
      <c r="H357" s="25">
        <v>3.3730000000000002</v>
      </c>
      <c r="I357" s="30"/>
    </row>
    <row r="358" spans="1:9" ht="120" x14ac:dyDescent="0.25">
      <c r="A358" s="2318"/>
      <c r="B358" s="25">
        <v>33</v>
      </c>
      <c r="C358" s="85" t="s">
        <v>836</v>
      </c>
      <c r="D358" s="30" t="s">
        <v>1131</v>
      </c>
      <c r="E358" s="16" t="s">
        <v>1012</v>
      </c>
      <c r="F358" s="18" t="s">
        <v>1016</v>
      </c>
      <c r="G358" s="25">
        <v>3.5179999999999998</v>
      </c>
      <c r="H358" s="25">
        <v>3.3730000000000002</v>
      </c>
      <c r="I358" s="30"/>
    </row>
    <row r="359" spans="1:9" ht="121.5" customHeight="1" x14ac:dyDescent="0.25">
      <c r="A359" s="2318"/>
      <c r="B359" s="25">
        <v>34</v>
      </c>
      <c r="C359" s="85" t="s">
        <v>840</v>
      </c>
      <c r="D359" s="30" t="s">
        <v>1165</v>
      </c>
      <c r="E359" s="16" t="s">
        <v>1012</v>
      </c>
      <c r="F359" s="18" t="s">
        <v>1016</v>
      </c>
      <c r="G359" s="25">
        <v>35</v>
      </c>
      <c r="H359" s="25"/>
      <c r="I359" s="30"/>
    </row>
    <row r="360" spans="1:9" ht="105" x14ac:dyDescent="0.25">
      <c r="A360" s="2318"/>
      <c r="B360" s="25">
        <v>35</v>
      </c>
      <c r="C360" s="85" t="s">
        <v>843</v>
      </c>
      <c r="D360" s="30" t="s">
        <v>1165</v>
      </c>
      <c r="E360" s="16" t="s">
        <v>1012</v>
      </c>
      <c r="F360" s="18" t="s">
        <v>1039</v>
      </c>
      <c r="G360" s="25">
        <v>35</v>
      </c>
      <c r="H360" s="25"/>
      <c r="I360" s="30"/>
    </row>
    <row r="361" spans="1:9" ht="63" x14ac:dyDescent="0.25">
      <c r="A361" s="2318"/>
      <c r="B361" s="25">
        <v>36</v>
      </c>
      <c r="C361" s="85" t="s">
        <v>854</v>
      </c>
      <c r="D361" s="30" t="s">
        <v>1170</v>
      </c>
      <c r="E361" s="16" t="s">
        <v>1012</v>
      </c>
      <c r="F361" s="18" t="s">
        <v>1016</v>
      </c>
      <c r="G361" s="25"/>
      <c r="H361" s="25">
        <v>29</v>
      </c>
      <c r="I361" s="1"/>
    </row>
    <row r="362" spans="1:9" ht="75" x14ac:dyDescent="0.25">
      <c r="A362" s="2318"/>
      <c r="B362" s="25">
        <v>37</v>
      </c>
      <c r="C362" s="85" t="s">
        <v>910</v>
      </c>
      <c r="D362" s="30" t="s">
        <v>1133</v>
      </c>
      <c r="E362" s="16" t="s">
        <v>1012</v>
      </c>
      <c r="F362" s="18" t="s">
        <v>1016</v>
      </c>
      <c r="G362" s="25">
        <v>20</v>
      </c>
      <c r="H362" s="25">
        <v>8</v>
      </c>
      <c r="I362" s="1"/>
    </row>
    <row r="363" spans="1:9" ht="63" x14ac:dyDescent="0.25">
      <c r="A363" s="2318"/>
      <c r="B363" s="25">
        <v>38</v>
      </c>
      <c r="C363" s="85" t="s">
        <v>871</v>
      </c>
      <c r="D363" s="30" t="s">
        <v>1133</v>
      </c>
      <c r="E363" s="16" t="s">
        <v>1012</v>
      </c>
      <c r="F363" s="18" t="s">
        <v>1016</v>
      </c>
      <c r="G363" s="25">
        <v>20</v>
      </c>
      <c r="H363" s="25">
        <v>8</v>
      </c>
      <c r="I363" s="1"/>
    </row>
    <row r="364" spans="1:9" ht="63" x14ac:dyDescent="0.25">
      <c r="A364" s="2318"/>
      <c r="B364" s="25">
        <v>39</v>
      </c>
      <c r="C364" s="85" t="s">
        <v>881</v>
      </c>
      <c r="D364" s="30" t="s">
        <v>1131</v>
      </c>
      <c r="E364" s="16" t="s">
        <v>1012</v>
      </c>
      <c r="F364" s="18" t="s">
        <v>1016</v>
      </c>
      <c r="G364" s="25">
        <v>20</v>
      </c>
      <c r="H364" s="25">
        <v>8</v>
      </c>
      <c r="I364" s="1"/>
    </row>
    <row r="365" spans="1:9" ht="63" x14ac:dyDescent="0.25">
      <c r="A365" s="2318"/>
      <c r="B365" s="25">
        <v>40</v>
      </c>
      <c r="C365" s="85" t="s">
        <v>1028</v>
      </c>
      <c r="D365" s="30" t="s">
        <v>1131</v>
      </c>
      <c r="E365" s="16" t="s">
        <v>1012</v>
      </c>
      <c r="F365" s="18" t="s">
        <v>1016</v>
      </c>
      <c r="G365" s="25">
        <v>3.5179999999999998</v>
      </c>
      <c r="H365" s="25">
        <v>3.3730000000000002</v>
      </c>
      <c r="I365" s="1"/>
    </row>
    <row r="366" spans="1:9" ht="63" x14ac:dyDescent="0.25">
      <c r="A366" s="2318"/>
      <c r="B366" s="25">
        <v>41</v>
      </c>
      <c r="C366" s="85" t="s">
        <v>885</v>
      </c>
      <c r="D366" s="30" t="s">
        <v>1131</v>
      </c>
      <c r="E366" s="16" t="s">
        <v>1012</v>
      </c>
      <c r="F366" s="18" t="s">
        <v>1016</v>
      </c>
      <c r="G366" s="25">
        <v>3.5179999999999998</v>
      </c>
      <c r="H366" s="25">
        <v>3.3730000000000002</v>
      </c>
      <c r="I366" s="1"/>
    </row>
    <row r="367" spans="1:9" ht="63" x14ac:dyDescent="0.25">
      <c r="A367" s="2318"/>
      <c r="B367" s="25">
        <v>42</v>
      </c>
      <c r="C367" s="85" t="s">
        <v>893</v>
      </c>
      <c r="D367" s="30" t="s">
        <v>1131</v>
      </c>
      <c r="E367" s="16" t="s">
        <v>1012</v>
      </c>
      <c r="F367" s="18" t="s">
        <v>1016</v>
      </c>
      <c r="G367" s="25">
        <v>3.5179999999999998</v>
      </c>
      <c r="H367" s="25">
        <v>3.3730000000000002</v>
      </c>
      <c r="I367" s="1"/>
    </row>
    <row r="368" spans="1:9" ht="225" x14ac:dyDescent="0.25">
      <c r="A368" s="2318"/>
      <c r="B368" s="25">
        <v>43</v>
      </c>
      <c r="C368" s="85" t="s">
        <v>1031</v>
      </c>
      <c r="D368" s="30" t="s">
        <v>1131</v>
      </c>
      <c r="E368" s="16" t="s">
        <v>1012</v>
      </c>
      <c r="F368" s="18" t="s">
        <v>1016</v>
      </c>
      <c r="G368" s="25">
        <v>3.5179999999999998</v>
      </c>
      <c r="H368" s="25">
        <v>3.3730000000000002</v>
      </c>
      <c r="I368" s="30"/>
    </row>
    <row r="369" spans="1:9" ht="77.25" customHeight="1" x14ac:dyDescent="0.25">
      <c r="A369" s="2318"/>
      <c r="B369" s="25">
        <v>44</v>
      </c>
      <c r="C369" s="85" t="e">
        <f>#REF!</f>
        <v>#REF!</v>
      </c>
      <c r="D369" s="30"/>
      <c r="E369" s="16"/>
      <c r="F369" s="18"/>
      <c r="G369" s="25"/>
      <c r="H369" s="25"/>
      <c r="I369" s="30"/>
    </row>
    <row r="370" spans="1:9" ht="63" x14ac:dyDescent="0.25">
      <c r="A370" s="2318"/>
      <c r="B370" s="25">
        <v>45</v>
      </c>
      <c r="C370" s="85" t="s">
        <v>902</v>
      </c>
      <c r="D370" s="30" t="s">
        <v>1131</v>
      </c>
      <c r="E370" s="16" t="s">
        <v>1012</v>
      </c>
      <c r="F370" s="18" t="s">
        <v>1016</v>
      </c>
      <c r="G370" s="25">
        <v>3.5179999999999998</v>
      </c>
      <c r="H370" s="25">
        <v>3.3730000000000002</v>
      </c>
      <c r="I370" s="30"/>
    </row>
    <row r="371" spans="1:9" ht="75" x14ac:dyDescent="0.25">
      <c r="A371" s="2318"/>
      <c r="B371" s="25">
        <v>46</v>
      </c>
      <c r="C371" s="85" t="s">
        <v>912</v>
      </c>
      <c r="D371" s="30" t="s">
        <v>1167</v>
      </c>
      <c r="E371" s="16" t="s">
        <v>1012</v>
      </c>
      <c r="F371" s="18" t="s">
        <v>1016</v>
      </c>
      <c r="G371" s="25">
        <v>13</v>
      </c>
      <c r="H371" s="25">
        <v>4</v>
      </c>
      <c r="I371" s="30"/>
    </row>
    <row r="372" spans="1:9" ht="63" x14ac:dyDescent="0.25">
      <c r="A372" s="2318"/>
      <c r="B372" s="25">
        <v>47</v>
      </c>
      <c r="C372" s="85" t="s">
        <v>1047</v>
      </c>
      <c r="D372" s="30" t="s">
        <v>1167</v>
      </c>
      <c r="E372" s="16" t="s">
        <v>1012</v>
      </c>
      <c r="F372" s="18" t="s">
        <v>1016</v>
      </c>
      <c r="G372" s="25">
        <v>13</v>
      </c>
      <c r="H372" s="25">
        <v>4</v>
      </c>
      <c r="I372" s="30"/>
    </row>
    <row r="373" spans="1:9" ht="75" x14ac:dyDescent="0.25">
      <c r="A373" s="2318"/>
      <c r="B373" s="25">
        <v>48</v>
      </c>
      <c r="C373" s="85" t="s">
        <v>926</v>
      </c>
      <c r="D373" s="30" t="s">
        <v>1131</v>
      </c>
      <c r="E373" s="16" t="s">
        <v>1012</v>
      </c>
      <c r="F373" s="18" t="s">
        <v>1016</v>
      </c>
      <c r="G373" s="25">
        <v>3.5179999999999998</v>
      </c>
      <c r="H373" s="25">
        <v>3.3730000000000002</v>
      </c>
      <c r="I373" s="30"/>
    </row>
    <row r="374" spans="1:9" ht="105" x14ac:dyDescent="0.25">
      <c r="A374" s="2318"/>
      <c r="B374" s="25">
        <v>49</v>
      </c>
      <c r="C374" s="85" t="s">
        <v>952</v>
      </c>
      <c r="D374" s="30" t="s">
        <v>1131</v>
      </c>
      <c r="E374" s="16" t="s">
        <v>1012</v>
      </c>
      <c r="F374" s="18" t="s">
        <v>1016</v>
      </c>
      <c r="G374" s="25">
        <v>3.5179999999999998</v>
      </c>
      <c r="H374" s="25">
        <v>3.3730000000000002</v>
      </c>
      <c r="I374" s="30"/>
    </row>
    <row r="375" spans="1:9" ht="84.75" customHeight="1" x14ac:dyDescent="0.25">
      <c r="A375" s="2318"/>
      <c r="B375" s="25">
        <v>50</v>
      </c>
      <c r="C375" s="85" t="s">
        <v>955</v>
      </c>
      <c r="D375" s="30" t="s">
        <v>1131</v>
      </c>
      <c r="E375" s="16" t="s">
        <v>1012</v>
      </c>
      <c r="F375" s="18" t="s">
        <v>1016</v>
      </c>
      <c r="G375" s="25">
        <v>3.5179999999999998</v>
      </c>
      <c r="H375" s="25">
        <v>3.3730000000000002</v>
      </c>
      <c r="I375" s="30"/>
    </row>
    <row r="376" spans="1:9" ht="90" x14ac:dyDescent="0.25">
      <c r="A376" s="2318"/>
      <c r="B376" s="25">
        <v>51</v>
      </c>
      <c r="C376" s="85" t="s">
        <v>963</v>
      </c>
      <c r="D376" s="30" t="s">
        <v>1131</v>
      </c>
      <c r="E376" s="16" t="s">
        <v>1012</v>
      </c>
      <c r="F376" s="18" t="s">
        <v>1016</v>
      </c>
      <c r="G376" s="25">
        <v>3.5179999999999998</v>
      </c>
      <c r="H376" s="25">
        <v>3.3730000000000002</v>
      </c>
      <c r="I376" s="30"/>
    </row>
    <row r="377" spans="1:9" ht="63" x14ac:dyDescent="0.25">
      <c r="A377" s="2318"/>
      <c r="B377" s="25">
        <v>52</v>
      </c>
      <c r="C377" s="85" t="s">
        <v>967</v>
      </c>
      <c r="D377" s="30" t="s">
        <v>1166</v>
      </c>
      <c r="E377" s="16" t="s">
        <v>1012</v>
      </c>
      <c r="F377" s="18" t="s">
        <v>1016</v>
      </c>
      <c r="G377" s="25">
        <v>3.5179999999999998</v>
      </c>
      <c r="H377" s="25">
        <v>3.3730000000000002</v>
      </c>
      <c r="I377" s="30"/>
    </row>
    <row r="378" spans="1:9" ht="97.5" customHeight="1" x14ac:dyDescent="0.25">
      <c r="A378" s="2318"/>
      <c r="B378" s="25">
        <v>53</v>
      </c>
      <c r="C378" s="85" t="s">
        <v>969</v>
      </c>
      <c r="D378" s="30" t="s">
        <v>1131</v>
      </c>
      <c r="E378" s="16" t="s">
        <v>1012</v>
      </c>
      <c r="F378" s="18" t="s">
        <v>1016</v>
      </c>
      <c r="G378" s="25">
        <v>3.5179999999999998</v>
      </c>
      <c r="H378" s="25">
        <v>3.3730000000000002</v>
      </c>
      <c r="I378" s="30"/>
    </row>
    <row r="379" spans="1:9" ht="105" x14ac:dyDescent="0.25">
      <c r="A379" s="2318"/>
      <c r="B379" s="25">
        <v>54</v>
      </c>
      <c r="C379" s="85" t="s">
        <v>1068</v>
      </c>
      <c r="D379" s="30" t="s">
        <v>1131</v>
      </c>
      <c r="E379" s="16" t="s">
        <v>1012</v>
      </c>
      <c r="F379" s="18" t="s">
        <v>1016</v>
      </c>
      <c r="G379" s="25">
        <v>3.5179999999999998</v>
      </c>
      <c r="H379" s="25">
        <v>3.3730000000000002</v>
      </c>
      <c r="I379" s="30"/>
    </row>
    <row r="380" spans="1:9" ht="102.75" customHeight="1" x14ac:dyDescent="0.25">
      <c r="A380" s="2318"/>
      <c r="B380" s="25">
        <v>55</v>
      </c>
      <c r="C380" s="85" t="s">
        <v>494</v>
      </c>
      <c r="D380" s="30" t="s">
        <v>1131</v>
      </c>
      <c r="E380" s="16" t="s">
        <v>1012</v>
      </c>
      <c r="F380" s="18" t="s">
        <v>1016</v>
      </c>
      <c r="G380" s="25">
        <v>30</v>
      </c>
      <c r="H380" s="25"/>
      <c r="I380" s="30"/>
    </row>
    <row r="381" spans="1:9" ht="66" customHeight="1" x14ac:dyDescent="0.25">
      <c r="A381" s="2318"/>
      <c r="B381" s="25">
        <v>56</v>
      </c>
      <c r="C381" s="85" t="s">
        <v>1029</v>
      </c>
      <c r="D381" s="30" t="s">
        <v>1131</v>
      </c>
      <c r="E381" s="16" t="s">
        <v>1012</v>
      </c>
      <c r="F381" s="18" t="s">
        <v>1016</v>
      </c>
      <c r="G381" s="25">
        <v>35</v>
      </c>
      <c r="H381" s="25"/>
      <c r="I381" s="30"/>
    </row>
    <row r="382" spans="1:9" ht="66" customHeight="1" x14ac:dyDescent="0.25">
      <c r="A382" s="2318"/>
      <c r="B382" s="25">
        <v>57</v>
      </c>
      <c r="C382" s="85" t="s">
        <v>1089</v>
      </c>
      <c r="D382" s="30" t="s">
        <v>1131</v>
      </c>
      <c r="E382" s="16" t="s">
        <v>1012</v>
      </c>
      <c r="F382" s="18" t="s">
        <v>1016</v>
      </c>
      <c r="G382" s="25">
        <v>30</v>
      </c>
      <c r="H382" s="25"/>
      <c r="I382" s="30"/>
    </row>
    <row r="383" spans="1:9" ht="58.5" customHeight="1" x14ac:dyDescent="0.25">
      <c r="A383" s="2318"/>
      <c r="B383" s="25">
        <v>58</v>
      </c>
      <c r="C383" s="85" t="s">
        <v>414</v>
      </c>
      <c r="D383" s="30" t="s">
        <v>1133</v>
      </c>
      <c r="E383" s="16" t="s">
        <v>1012</v>
      </c>
      <c r="F383" s="18" t="s">
        <v>1016</v>
      </c>
      <c r="G383" s="25">
        <v>20</v>
      </c>
      <c r="H383" s="25">
        <v>8</v>
      </c>
      <c r="I383" s="30"/>
    </row>
    <row r="384" spans="1:9" ht="75" x14ac:dyDescent="0.25">
      <c r="A384" s="2318"/>
      <c r="B384" s="25">
        <v>59</v>
      </c>
      <c r="C384" s="85" t="s">
        <v>427</v>
      </c>
      <c r="D384" s="30" t="s">
        <v>1133</v>
      </c>
      <c r="E384" s="16" t="s">
        <v>1012</v>
      </c>
      <c r="F384" s="18" t="s">
        <v>1016</v>
      </c>
      <c r="G384" s="25">
        <v>20</v>
      </c>
      <c r="H384" s="25">
        <v>8</v>
      </c>
      <c r="I384" s="30"/>
    </row>
    <row r="385" spans="1:9" ht="67.5" customHeight="1" x14ac:dyDescent="0.25">
      <c r="A385" s="2318"/>
      <c r="B385" s="25">
        <v>60</v>
      </c>
      <c r="C385" s="85" t="s">
        <v>461</v>
      </c>
      <c r="D385" s="30" t="s">
        <v>1133</v>
      </c>
      <c r="E385" s="16" t="s">
        <v>1012</v>
      </c>
      <c r="F385" s="18" t="s">
        <v>1016</v>
      </c>
      <c r="G385" s="25">
        <v>20</v>
      </c>
      <c r="H385" s="25">
        <v>8</v>
      </c>
      <c r="I385" s="30"/>
    </row>
    <row r="386" spans="1:9" ht="78" customHeight="1" x14ac:dyDescent="0.25">
      <c r="A386" s="2318"/>
      <c r="B386" s="25">
        <v>61</v>
      </c>
      <c r="C386" s="85" t="s">
        <v>431</v>
      </c>
      <c r="D386" s="30" t="s">
        <v>1153</v>
      </c>
      <c r="E386" s="16" t="s">
        <v>1012</v>
      </c>
      <c r="F386" s="18" t="s">
        <v>1016</v>
      </c>
      <c r="G386" s="25">
        <v>8</v>
      </c>
      <c r="H386" s="25">
        <v>1</v>
      </c>
      <c r="I386" s="30"/>
    </row>
    <row r="387" spans="1:9" ht="90" x14ac:dyDescent="0.25">
      <c r="A387" s="2318"/>
      <c r="B387" s="25">
        <v>62</v>
      </c>
      <c r="C387" s="85" t="s">
        <v>489</v>
      </c>
      <c r="D387" s="30" t="s">
        <v>1166</v>
      </c>
      <c r="E387" s="16" t="s">
        <v>1012</v>
      </c>
      <c r="F387" s="18" t="s">
        <v>1016</v>
      </c>
      <c r="G387" s="25"/>
      <c r="H387" s="25">
        <v>32</v>
      </c>
      <c r="I387" s="30"/>
    </row>
    <row r="388" spans="1:9" ht="63" x14ac:dyDescent="0.25">
      <c r="A388" s="2318"/>
      <c r="B388" s="25">
        <v>63</v>
      </c>
      <c r="C388" s="85" t="s">
        <v>1072</v>
      </c>
      <c r="D388" s="30" t="s">
        <v>1131</v>
      </c>
      <c r="E388" s="16" t="s">
        <v>1012</v>
      </c>
      <c r="F388" s="18" t="s">
        <v>1016</v>
      </c>
      <c r="G388" s="25">
        <v>50</v>
      </c>
      <c r="H388" s="25"/>
      <c r="I388" s="30"/>
    </row>
    <row r="389" spans="1:9" ht="90" x14ac:dyDescent="0.25">
      <c r="A389" s="2318"/>
      <c r="B389" s="25">
        <v>64</v>
      </c>
      <c r="C389" s="85" t="s">
        <v>1073</v>
      </c>
      <c r="D389" s="30" t="s">
        <v>1166</v>
      </c>
      <c r="E389" s="16" t="s">
        <v>1012</v>
      </c>
      <c r="F389" s="18" t="s">
        <v>1016</v>
      </c>
      <c r="G389" s="25"/>
      <c r="H389" s="25">
        <v>32</v>
      </c>
      <c r="I389" s="30"/>
    </row>
    <row r="390" spans="1:9" ht="17.25" customHeight="1" x14ac:dyDescent="0.25">
      <c r="A390" s="2319"/>
      <c r="B390" s="25"/>
      <c r="C390" s="29"/>
      <c r="D390" s="1"/>
      <c r="E390" s="1"/>
      <c r="F390" s="25"/>
      <c r="G390" s="1"/>
      <c r="H390" s="1"/>
      <c r="I390" s="1"/>
    </row>
    <row r="391" spans="1:9" x14ac:dyDescent="0.25">
      <c r="B391" s="77"/>
      <c r="C391" s="77"/>
    </row>
    <row r="392" spans="1:9" x14ac:dyDescent="0.25">
      <c r="B392" s="77"/>
      <c r="C392" s="77"/>
    </row>
    <row r="393" spans="1:9" x14ac:dyDescent="0.25">
      <c r="B393" s="77"/>
      <c r="C393" s="77"/>
    </row>
    <row r="394" spans="1:9" s="7" customFormat="1" ht="15.75" x14ac:dyDescent="0.25">
      <c r="B394" s="6"/>
      <c r="C394" s="6"/>
      <c r="E394" s="7" t="s">
        <v>1218</v>
      </c>
    </row>
    <row r="395" spans="1:9" s="7" customFormat="1" ht="15.75" x14ac:dyDescent="0.25">
      <c r="B395" s="6" t="s">
        <v>1151</v>
      </c>
      <c r="C395" s="6"/>
      <c r="E395" s="7" t="s">
        <v>1023</v>
      </c>
    </row>
    <row r="396" spans="1:9" s="7" customFormat="1" ht="15.75" x14ac:dyDescent="0.25">
      <c r="B396" s="6" t="s">
        <v>1219</v>
      </c>
      <c r="C396" s="6"/>
      <c r="E396" s="7" t="s">
        <v>1217</v>
      </c>
    </row>
    <row r="397" spans="1:9" s="7" customFormat="1" ht="15.75" x14ac:dyDescent="0.25">
      <c r="B397" s="6"/>
      <c r="C397" s="6"/>
    </row>
    <row r="398" spans="1:9" s="7" customFormat="1" ht="15.75" x14ac:dyDescent="0.25">
      <c r="B398" s="6"/>
      <c r="C398" s="6"/>
    </row>
    <row r="399" spans="1:9" s="7" customFormat="1" ht="15.75" x14ac:dyDescent="0.25">
      <c r="B399" s="6" t="s">
        <v>1024</v>
      </c>
      <c r="C399" s="6"/>
      <c r="E399" s="7" t="s">
        <v>1025</v>
      </c>
    </row>
    <row r="400" spans="1:9" ht="15.75" x14ac:dyDescent="0.25">
      <c r="B400" s="77"/>
      <c r="C400" s="77"/>
      <c r="G400" s="7"/>
    </row>
  </sheetData>
  <mergeCells count="15">
    <mergeCell ref="A315:A325"/>
    <mergeCell ref="A326:A390"/>
    <mergeCell ref="A253:A260"/>
    <mergeCell ref="A270:A274"/>
    <mergeCell ref="A154:A156"/>
    <mergeCell ref="A164:A176"/>
    <mergeCell ref="A1:I1"/>
    <mergeCell ref="A2:I2"/>
    <mergeCell ref="A9:A10"/>
    <mergeCell ref="B9:B10"/>
    <mergeCell ref="C9:C10"/>
    <mergeCell ref="D9:D10"/>
    <mergeCell ref="E9:E10"/>
    <mergeCell ref="F9:F10"/>
    <mergeCell ref="G9:I9"/>
  </mergeCells>
  <pageMargins left="0.7" right="0.7" top="0.75" bottom="0.75" header="0.3" footer="0.3"/>
  <pageSetup paperSize="9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40"/>
  <sheetViews>
    <sheetView topLeftCell="A8" zoomScale="78" zoomScaleNormal="78" workbookViewId="0">
      <selection activeCell="B43" sqref="B43"/>
    </sheetView>
  </sheetViews>
  <sheetFormatPr defaultRowHeight="15" x14ac:dyDescent="0.25"/>
  <cols>
    <col min="1" max="1" width="14.85546875" customWidth="1"/>
    <col min="2" max="2" width="21.5703125" customWidth="1"/>
    <col min="3" max="3" width="4.140625" customWidth="1"/>
    <col min="4" max="4" width="28.28515625" customWidth="1"/>
    <col min="5" max="5" width="20.5703125" customWidth="1"/>
    <col min="7" max="7" width="12.42578125" customWidth="1"/>
    <col min="8" max="8" width="14" customWidth="1"/>
    <col min="9" max="9" width="12.5703125" customWidth="1"/>
    <col min="10" max="10" width="12.140625" customWidth="1"/>
    <col min="11" max="12" width="14.42578125" customWidth="1"/>
  </cols>
  <sheetData>
    <row r="1" spans="1:12" s="34" customFormat="1" ht="18.75" x14ac:dyDescent="0.3">
      <c r="A1" s="2289" t="s">
        <v>1175</v>
      </c>
      <c r="B1" s="2289"/>
      <c r="C1" s="2289"/>
      <c r="D1" s="2289"/>
      <c r="E1" s="2289"/>
      <c r="F1" s="2289"/>
      <c r="G1" s="2289"/>
      <c r="H1" s="2289"/>
      <c r="I1" s="2289"/>
      <c r="J1" s="2289"/>
      <c r="K1" s="2289"/>
      <c r="L1" s="2289"/>
    </row>
    <row r="2" spans="1:12" s="34" customFormat="1" ht="18.75" x14ac:dyDescent="0.3">
      <c r="A2" s="2289" t="s">
        <v>1063</v>
      </c>
      <c r="B2" s="2289"/>
      <c r="C2" s="2289"/>
      <c r="D2" s="2289"/>
      <c r="E2" s="2289"/>
      <c r="F2" s="2289"/>
      <c r="G2" s="2289"/>
      <c r="H2" s="2289"/>
      <c r="I2" s="2289"/>
      <c r="J2" s="2289"/>
      <c r="K2" s="2289"/>
      <c r="L2" s="2289"/>
    </row>
    <row r="3" spans="1:12" s="7" customFormat="1" ht="15.75" x14ac:dyDescent="0.25"/>
    <row r="4" spans="1:12" s="7" customFormat="1" ht="15.75" x14ac:dyDescent="0.25">
      <c r="A4" s="35" t="s">
        <v>977</v>
      </c>
      <c r="B4" s="35" t="s">
        <v>978</v>
      </c>
      <c r="C4" s="35"/>
    </row>
    <row r="5" spans="1:12" s="7" customFormat="1" ht="15.75" x14ac:dyDescent="0.25">
      <c r="A5" s="35" t="s">
        <v>979</v>
      </c>
      <c r="B5" s="35" t="s">
        <v>980</v>
      </c>
      <c r="C5" s="35"/>
    </row>
    <row r="6" spans="1:12" s="7" customFormat="1" ht="15.75" x14ac:dyDescent="0.25">
      <c r="A6" s="35" t="s">
        <v>981</v>
      </c>
      <c r="B6" s="35" t="s">
        <v>982</v>
      </c>
      <c r="C6" s="35"/>
    </row>
    <row r="7" spans="1:12" s="7" customFormat="1" ht="15.75" x14ac:dyDescent="0.25">
      <c r="A7" s="35" t="s">
        <v>983</v>
      </c>
      <c r="B7" s="35" t="s">
        <v>984</v>
      </c>
      <c r="C7" s="35"/>
    </row>
    <row r="8" spans="1:12" s="7" customFormat="1" ht="15.75" x14ac:dyDescent="0.25"/>
    <row r="9" spans="1:12" s="7" customFormat="1" ht="73.5" customHeight="1" x14ac:dyDescent="0.25">
      <c r="A9" s="2290" t="s">
        <v>951</v>
      </c>
      <c r="B9" s="2326" t="s">
        <v>985</v>
      </c>
      <c r="C9" s="2326"/>
      <c r="D9" s="2326"/>
      <c r="E9" s="2293" t="s">
        <v>1076</v>
      </c>
      <c r="F9" s="2290" t="s">
        <v>988</v>
      </c>
      <c r="G9" s="2293" t="s">
        <v>1079</v>
      </c>
      <c r="H9" s="2293" t="s">
        <v>990</v>
      </c>
      <c r="I9" s="2327" t="s">
        <v>1176</v>
      </c>
      <c r="J9" s="2327"/>
      <c r="K9" s="2327" t="s">
        <v>1177</v>
      </c>
      <c r="L9" s="2327"/>
    </row>
    <row r="10" spans="1:12" s="7" customFormat="1" ht="31.5" x14ac:dyDescent="0.25">
      <c r="A10" s="2292"/>
      <c r="B10" s="91" t="s">
        <v>994</v>
      </c>
      <c r="C10" s="91"/>
      <c r="D10" s="92" t="s">
        <v>1178</v>
      </c>
      <c r="E10" s="2295"/>
      <c r="F10" s="2292"/>
      <c r="G10" s="2295"/>
      <c r="H10" s="2295"/>
      <c r="I10" s="92" t="s">
        <v>1086</v>
      </c>
      <c r="J10" s="91" t="s">
        <v>997</v>
      </c>
      <c r="K10" s="92" t="s">
        <v>1086</v>
      </c>
      <c r="L10" s="93" t="s">
        <v>1179</v>
      </c>
    </row>
    <row r="11" spans="1:12" s="7" customFormat="1" ht="15.75" x14ac:dyDescent="0.25">
      <c r="A11" s="94" t="s">
        <v>998</v>
      </c>
      <c r="B11" s="94" t="s">
        <v>999</v>
      </c>
      <c r="C11" s="94" t="s">
        <v>1000</v>
      </c>
      <c r="D11" s="94" t="s">
        <v>1001</v>
      </c>
      <c r="E11" s="94" t="s">
        <v>1002</v>
      </c>
      <c r="F11" s="94" t="s">
        <v>1003</v>
      </c>
      <c r="G11" s="94" t="s">
        <v>1004</v>
      </c>
      <c r="H11" s="94" t="s">
        <v>1005</v>
      </c>
      <c r="I11" s="94" t="s">
        <v>1006</v>
      </c>
      <c r="J11" s="94" t="s">
        <v>1007</v>
      </c>
      <c r="K11" s="94" t="s">
        <v>1008</v>
      </c>
      <c r="L11" s="94" t="s">
        <v>1009</v>
      </c>
    </row>
    <row r="12" spans="1:12" s="7" customFormat="1" ht="12.75" customHeight="1" x14ac:dyDescent="0.25">
      <c r="A12" s="2246" t="s">
        <v>1180</v>
      </c>
      <c r="B12" s="2320" t="s">
        <v>56</v>
      </c>
      <c r="C12" s="13">
        <v>1</v>
      </c>
      <c r="D12" s="12"/>
      <c r="E12" s="12"/>
      <c r="F12" s="12"/>
      <c r="G12" s="12"/>
      <c r="H12" s="12"/>
      <c r="I12" s="12"/>
      <c r="J12" s="12"/>
      <c r="K12" s="12"/>
      <c r="L12" s="12"/>
    </row>
    <row r="13" spans="1:12" s="7" customFormat="1" ht="15.75" x14ac:dyDescent="0.25">
      <c r="A13" s="2246"/>
      <c r="B13" s="2321"/>
      <c r="C13" s="13">
        <v>2</v>
      </c>
      <c r="D13" s="12"/>
      <c r="E13" s="12"/>
      <c r="F13" s="12"/>
      <c r="G13" s="12"/>
      <c r="H13" s="12"/>
      <c r="I13" s="12"/>
      <c r="J13" s="12"/>
      <c r="K13" s="12"/>
      <c r="L13" s="12"/>
    </row>
    <row r="14" spans="1:12" s="7" customFormat="1" ht="15.75" x14ac:dyDescent="0.25">
      <c r="A14" s="2246"/>
      <c r="B14" s="2321"/>
      <c r="C14" s="13">
        <v>3</v>
      </c>
      <c r="D14" s="12"/>
      <c r="E14" s="12"/>
      <c r="F14" s="12"/>
      <c r="G14" s="12"/>
      <c r="H14" s="12"/>
      <c r="I14" s="12"/>
      <c r="J14" s="12"/>
      <c r="K14" s="12"/>
      <c r="L14" s="12"/>
    </row>
    <row r="15" spans="1:12" s="7" customFormat="1" ht="15.75" x14ac:dyDescent="0.25">
      <c r="A15" s="2246"/>
      <c r="B15" s="2322"/>
      <c r="C15" s="13">
        <v>4</v>
      </c>
      <c r="D15" s="12"/>
      <c r="E15" s="12"/>
      <c r="F15" s="12"/>
      <c r="G15" s="12"/>
      <c r="H15" s="12"/>
      <c r="I15" s="12"/>
      <c r="J15" s="12"/>
      <c r="K15" s="12"/>
      <c r="L15" s="12"/>
    </row>
    <row r="16" spans="1:12" s="7" customFormat="1" ht="30" customHeight="1" x14ac:dyDescent="0.25">
      <c r="A16" s="2323" t="s">
        <v>1181</v>
      </c>
      <c r="B16" s="2324"/>
      <c r="C16" s="2324"/>
      <c r="D16" s="2324"/>
      <c r="E16" s="2324"/>
      <c r="F16" s="2324"/>
      <c r="G16" s="2324"/>
      <c r="H16" s="2325"/>
      <c r="I16" s="15"/>
      <c r="J16" s="15"/>
      <c r="K16" s="15"/>
      <c r="L16" s="15"/>
    </row>
    <row r="17" spans="1:12" s="7" customFormat="1" ht="12.75" customHeight="1" x14ac:dyDescent="0.25">
      <c r="A17" s="2246" t="s">
        <v>1182</v>
      </c>
      <c r="B17" s="2320" t="s">
        <v>763</v>
      </c>
      <c r="C17" s="13">
        <v>1</v>
      </c>
      <c r="D17" s="12"/>
      <c r="E17" s="12"/>
      <c r="F17" s="12"/>
      <c r="G17" s="12"/>
      <c r="H17" s="12"/>
      <c r="I17" s="12"/>
      <c r="J17" s="12"/>
      <c r="K17" s="12"/>
      <c r="L17" s="12"/>
    </row>
    <row r="18" spans="1:12" s="7" customFormat="1" ht="15.75" x14ac:dyDescent="0.25">
      <c r="A18" s="2246"/>
      <c r="B18" s="2321"/>
      <c r="C18" s="13">
        <v>2</v>
      </c>
      <c r="D18" s="12"/>
      <c r="E18" s="12"/>
      <c r="F18" s="12"/>
      <c r="G18" s="12"/>
      <c r="H18" s="12"/>
      <c r="I18" s="12"/>
      <c r="J18" s="12"/>
      <c r="K18" s="12"/>
      <c r="L18" s="12"/>
    </row>
    <row r="19" spans="1:12" s="7" customFormat="1" ht="15.75" x14ac:dyDescent="0.25">
      <c r="A19" s="2246"/>
      <c r="B19" s="2321"/>
      <c r="C19" s="13">
        <v>3</v>
      </c>
      <c r="D19" s="12"/>
      <c r="E19" s="12"/>
      <c r="F19" s="12"/>
      <c r="G19" s="12"/>
      <c r="H19" s="12"/>
      <c r="I19" s="12"/>
      <c r="J19" s="12"/>
      <c r="K19" s="12"/>
      <c r="L19" s="12"/>
    </row>
    <row r="20" spans="1:12" s="7" customFormat="1" ht="15.75" x14ac:dyDescent="0.25">
      <c r="A20" s="2246"/>
      <c r="B20" s="2322"/>
      <c r="C20" s="13">
        <v>4</v>
      </c>
      <c r="D20" s="12"/>
      <c r="E20" s="12"/>
      <c r="F20" s="12"/>
      <c r="G20" s="12"/>
      <c r="H20" s="12"/>
      <c r="I20" s="12"/>
      <c r="J20" s="12"/>
      <c r="K20" s="12"/>
      <c r="L20" s="12"/>
    </row>
    <row r="21" spans="1:12" s="7" customFormat="1" ht="30" customHeight="1" x14ac:dyDescent="0.25">
      <c r="A21" s="2323" t="s">
        <v>1018</v>
      </c>
      <c r="B21" s="2324"/>
      <c r="C21" s="2324"/>
      <c r="D21" s="2324"/>
      <c r="E21" s="2324"/>
      <c r="F21" s="2324"/>
      <c r="G21" s="2324"/>
      <c r="H21" s="2325"/>
      <c r="I21" s="15"/>
      <c r="J21" s="15"/>
      <c r="K21" s="15"/>
      <c r="L21" s="15"/>
    </row>
    <row r="22" spans="1:12" s="7" customFormat="1" ht="12.75" customHeight="1" x14ac:dyDescent="0.25">
      <c r="A22" s="2246" t="s">
        <v>1183</v>
      </c>
      <c r="B22" s="2320" t="s">
        <v>1019</v>
      </c>
      <c r="C22" s="13">
        <v>1</v>
      </c>
      <c r="D22" s="12"/>
      <c r="E22" s="12"/>
      <c r="F22" s="12"/>
      <c r="G22" s="12"/>
      <c r="H22" s="12"/>
      <c r="I22" s="12"/>
      <c r="J22" s="12"/>
      <c r="K22" s="12"/>
      <c r="L22" s="12"/>
    </row>
    <row r="23" spans="1:12" s="7" customFormat="1" ht="15.75" x14ac:dyDescent="0.25">
      <c r="A23" s="2246"/>
      <c r="B23" s="2321"/>
      <c r="C23" s="13">
        <v>2</v>
      </c>
      <c r="D23" s="12"/>
      <c r="E23" s="12"/>
      <c r="F23" s="12"/>
      <c r="G23" s="12"/>
      <c r="H23" s="12"/>
      <c r="I23" s="12"/>
      <c r="J23" s="12"/>
      <c r="K23" s="12"/>
      <c r="L23" s="12"/>
    </row>
    <row r="24" spans="1:12" s="7" customFormat="1" ht="15.75" x14ac:dyDescent="0.25">
      <c r="A24" s="2246"/>
      <c r="B24" s="2321"/>
      <c r="C24" s="13">
        <v>3</v>
      </c>
      <c r="D24" s="12"/>
      <c r="E24" s="12"/>
      <c r="F24" s="12"/>
      <c r="G24" s="12"/>
      <c r="H24" s="12"/>
      <c r="I24" s="12"/>
      <c r="J24" s="12"/>
      <c r="K24" s="12"/>
      <c r="L24" s="12"/>
    </row>
    <row r="25" spans="1:12" s="7" customFormat="1" ht="15.75" x14ac:dyDescent="0.25">
      <c r="A25" s="2246"/>
      <c r="B25" s="2322"/>
      <c r="C25" s="13">
        <v>4</v>
      </c>
      <c r="D25" s="12"/>
      <c r="E25" s="12"/>
      <c r="F25" s="12"/>
      <c r="G25" s="12"/>
      <c r="H25" s="12"/>
      <c r="I25" s="12"/>
      <c r="J25" s="12"/>
      <c r="K25" s="12"/>
      <c r="L25" s="12"/>
    </row>
    <row r="26" spans="1:12" s="7" customFormat="1" ht="30" customHeight="1" x14ac:dyDescent="0.25">
      <c r="A26" s="2323" t="s">
        <v>1020</v>
      </c>
      <c r="B26" s="2324"/>
      <c r="C26" s="2324"/>
      <c r="D26" s="2324"/>
      <c r="E26" s="2324"/>
      <c r="F26" s="2324"/>
      <c r="G26" s="2324"/>
      <c r="H26" s="2325"/>
      <c r="I26" s="15"/>
      <c r="J26" s="15"/>
      <c r="K26" s="15"/>
      <c r="L26" s="15"/>
    </row>
    <row r="27" spans="1:12" s="7" customFormat="1" ht="12.75" customHeight="1" x14ac:dyDescent="0.25">
      <c r="A27" s="2246" t="s">
        <v>1184</v>
      </c>
      <c r="B27" s="2320" t="s">
        <v>1021</v>
      </c>
      <c r="C27" s="13">
        <v>1</v>
      </c>
      <c r="D27" s="12"/>
      <c r="E27" s="12"/>
      <c r="F27" s="12"/>
      <c r="G27" s="12"/>
      <c r="H27" s="12"/>
      <c r="I27" s="12"/>
      <c r="J27" s="12"/>
      <c r="K27" s="12"/>
      <c r="L27" s="12"/>
    </row>
    <row r="28" spans="1:12" s="7" customFormat="1" ht="15.75" x14ac:dyDescent="0.25">
      <c r="A28" s="2246"/>
      <c r="B28" s="2321"/>
      <c r="C28" s="13">
        <v>2</v>
      </c>
      <c r="D28" s="12"/>
      <c r="E28" s="12"/>
      <c r="F28" s="12"/>
      <c r="G28" s="12"/>
      <c r="H28" s="12"/>
      <c r="I28" s="12"/>
      <c r="J28" s="12"/>
      <c r="K28" s="12"/>
      <c r="L28" s="12"/>
    </row>
    <row r="29" spans="1:12" s="7" customFormat="1" ht="15.75" x14ac:dyDescent="0.25">
      <c r="A29" s="2246"/>
      <c r="B29" s="2321"/>
      <c r="C29" s="13">
        <v>3</v>
      </c>
      <c r="D29" s="12"/>
      <c r="E29" s="12"/>
      <c r="F29" s="12"/>
      <c r="G29" s="12"/>
      <c r="H29" s="12"/>
      <c r="I29" s="12"/>
      <c r="J29" s="12"/>
      <c r="K29" s="12"/>
      <c r="L29" s="12"/>
    </row>
    <row r="30" spans="1:12" s="7" customFormat="1" ht="15.75" x14ac:dyDescent="0.25">
      <c r="A30" s="2246"/>
      <c r="B30" s="2322"/>
      <c r="C30" s="13">
        <v>4</v>
      </c>
      <c r="D30" s="12"/>
      <c r="E30" s="12"/>
      <c r="F30" s="12"/>
      <c r="G30" s="12"/>
      <c r="H30" s="12"/>
      <c r="I30" s="12"/>
      <c r="J30" s="12"/>
      <c r="K30" s="12"/>
      <c r="L30" s="12"/>
    </row>
    <row r="31" spans="1:12" s="7" customFormat="1" ht="30" customHeight="1" x14ac:dyDescent="0.25">
      <c r="A31" s="2323" t="s">
        <v>1022</v>
      </c>
      <c r="B31" s="2324"/>
      <c r="C31" s="2324"/>
      <c r="D31" s="2324"/>
      <c r="E31" s="2324"/>
      <c r="F31" s="2324"/>
      <c r="G31" s="2324"/>
      <c r="H31" s="2325"/>
      <c r="I31" s="15"/>
      <c r="J31" s="15"/>
      <c r="K31" s="15"/>
      <c r="L31" s="15"/>
    </row>
    <row r="32" spans="1:12" s="7" customFormat="1" ht="15.75" x14ac:dyDescent="0.25">
      <c r="A32" s="1909"/>
      <c r="B32" s="1909"/>
      <c r="C32" s="1909"/>
      <c r="D32" s="1909"/>
      <c r="E32" s="1909"/>
      <c r="F32" s="1909"/>
      <c r="G32" s="1909"/>
      <c r="H32" s="1909"/>
      <c r="I32" s="1909"/>
      <c r="J32" s="1909"/>
      <c r="K32" s="1909"/>
      <c r="L32" s="1909"/>
    </row>
    <row r="33" spans="2:8" s="7" customFormat="1" ht="15.75" x14ac:dyDescent="0.25"/>
    <row r="34" spans="2:8" s="7" customFormat="1" ht="15.75" x14ac:dyDescent="0.25">
      <c r="H34" s="7" t="s">
        <v>1218</v>
      </c>
    </row>
    <row r="35" spans="2:8" s="7" customFormat="1" ht="15.75" x14ac:dyDescent="0.25">
      <c r="B35" s="1909" t="s">
        <v>1151</v>
      </c>
      <c r="C35" s="1909"/>
      <c r="D35" s="1909"/>
      <c r="H35" s="7" t="s">
        <v>1023</v>
      </c>
    </row>
    <row r="36" spans="2:8" s="7" customFormat="1" ht="15.75" x14ac:dyDescent="0.25">
      <c r="B36" s="1909" t="s">
        <v>1219</v>
      </c>
      <c r="C36" s="1909"/>
      <c r="D36" s="1909"/>
      <c r="H36" s="7" t="s">
        <v>1217</v>
      </c>
    </row>
    <row r="37" spans="2:8" s="7" customFormat="1" ht="15.75" x14ac:dyDescent="0.25"/>
    <row r="38" spans="2:8" s="7" customFormat="1" ht="15.75" x14ac:dyDescent="0.25"/>
    <row r="39" spans="2:8" s="7" customFormat="1" ht="15.75" x14ac:dyDescent="0.25"/>
    <row r="40" spans="2:8" s="7" customFormat="1" ht="15.75" x14ac:dyDescent="0.25">
      <c r="B40" s="1909" t="s">
        <v>1024</v>
      </c>
      <c r="C40" s="1909"/>
      <c r="D40" s="1909"/>
      <c r="H40" s="7" t="s">
        <v>1025</v>
      </c>
    </row>
  </sheetData>
  <mergeCells count="26">
    <mergeCell ref="A21:H21"/>
    <mergeCell ref="A1:L1"/>
    <mergeCell ref="A2:L2"/>
    <mergeCell ref="A9:A10"/>
    <mergeCell ref="B9:D9"/>
    <mergeCell ref="E9:E10"/>
    <mergeCell ref="F9:F10"/>
    <mergeCell ref="G9:G10"/>
    <mergeCell ref="H9:H10"/>
    <mergeCell ref="I9:J9"/>
    <mergeCell ref="K9:L9"/>
    <mergeCell ref="A12:A15"/>
    <mergeCell ref="B12:B15"/>
    <mergeCell ref="A16:H16"/>
    <mergeCell ref="A17:A20"/>
    <mergeCell ref="B17:B20"/>
    <mergeCell ref="A32:L32"/>
    <mergeCell ref="B35:D35"/>
    <mergeCell ref="B36:D36"/>
    <mergeCell ref="B40:D40"/>
    <mergeCell ref="A22:A25"/>
    <mergeCell ref="B22:B25"/>
    <mergeCell ref="A26:H26"/>
    <mergeCell ref="A27:A30"/>
    <mergeCell ref="B27:B30"/>
    <mergeCell ref="A31:H3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P46"/>
  <sheetViews>
    <sheetView workbookViewId="0">
      <selection sqref="A1:XFD46"/>
    </sheetView>
  </sheetViews>
  <sheetFormatPr defaultRowHeight="15" x14ac:dyDescent="0.25"/>
  <cols>
    <col min="2" max="2" width="16.28515625" customWidth="1"/>
    <col min="3" max="3" width="3.5703125" customWidth="1"/>
    <col min="4" max="4" width="14.140625" customWidth="1"/>
    <col min="5" max="5" width="24.7109375" customWidth="1"/>
    <col min="7" max="7" width="12.140625" customWidth="1"/>
    <col min="8" max="8" width="12.85546875" bestFit="1" customWidth="1"/>
    <col min="9" max="9" width="10" bestFit="1" customWidth="1"/>
    <col min="10" max="10" width="11.85546875" bestFit="1" customWidth="1"/>
    <col min="11" max="11" width="14.7109375" customWidth="1"/>
    <col min="13" max="13" width="15.140625" customWidth="1"/>
    <col min="14" max="14" width="14.42578125" customWidth="1"/>
    <col min="15" max="15" width="9.42578125" bestFit="1" customWidth="1"/>
    <col min="16" max="16" width="12.85546875" bestFit="1" customWidth="1"/>
  </cols>
  <sheetData>
    <row r="1" spans="1:16" s="7" customFormat="1" ht="15.75" x14ac:dyDescent="0.25">
      <c r="A1" s="1909" t="s">
        <v>1186</v>
      </c>
      <c r="B1" s="1909"/>
      <c r="C1" s="1909"/>
      <c r="D1" s="1909"/>
      <c r="E1" s="1909"/>
      <c r="F1" s="1909"/>
      <c r="G1" s="1909"/>
      <c r="H1" s="1909"/>
      <c r="I1" s="1909"/>
      <c r="J1" s="1909"/>
      <c r="K1" s="1909"/>
      <c r="L1" s="1909"/>
      <c r="M1" s="1909"/>
      <c r="N1" s="1909"/>
      <c r="O1" s="1909"/>
      <c r="P1" s="1909"/>
    </row>
    <row r="2" spans="1:16" s="7" customFormat="1" ht="15.75" x14ac:dyDescent="0.25">
      <c r="A2" s="1909" t="s">
        <v>1187</v>
      </c>
      <c r="B2" s="1909"/>
      <c r="C2" s="1909"/>
      <c r="D2" s="1909"/>
      <c r="E2" s="1909"/>
      <c r="F2" s="1909"/>
      <c r="G2" s="1909"/>
      <c r="H2" s="1909"/>
      <c r="I2" s="1909"/>
      <c r="J2" s="1909"/>
      <c r="K2" s="1909"/>
      <c r="L2" s="1909"/>
      <c r="M2" s="1909"/>
      <c r="N2" s="1909"/>
      <c r="O2" s="1909"/>
      <c r="P2" s="1909"/>
    </row>
    <row r="3" spans="1:16" s="7" customFormat="1" ht="15.75" x14ac:dyDescent="0.25"/>
    <row r="4" spans="1:16" s="7" customFormat="1" ht="15.75" x14ac:dyDescent="0.25">
      <c r="A4" s="7" t="s">
        <v>977</v>
      </c>
      <c r="B4" s="7" t="s">
        <v>1188</v>
      </c>
    </row>
    <row r="5" spans="1:16" s="7" customFormat="1" ht="15.75" x14ac:dyDescent="0.25">
      <c r="A5" s="7" t="s">
        <v>979</v>
      </c>
      <c r="B5" s="7" t="s">
        <v>1188</v>
      </c>
    </row>
    <row r="6" spans="1:16" s="7" customFormat="1" ht="15.75" x14ac:dyDescent="0.25">
      <c r="A6" s="7" t="s">
        <v>1189</v>
      </c>
      <c r="B6" s="7" t="s">
        <v>1188</v>
      </c>
    </row>
    <row r="7" spans="1:16" s="7" customFormat="1" ht="15.75" x14ac:dyDescent="0.25">
      <c r="A7" s="7" t="s">
        <v>983</v>
      </c>
      <c r="B7" s="7" t="s">
        <v>1188</v>
      </c>
    </row>
    <row r="8" spans="1:16" s="7" customFormat="1" ht="15.75" x14ac:dyDescent="0.25"/>
    <row r="9" spans="1:16" s="7" customFormat="1" ht="45" customHeight="1" x14ac:dyDescent="0.25">
      <c r="A9" s="10" t="s">
        <v>951</v>
      </c>
      <c r="B9" s="2246" t="s">
        <v>985</v>
      </c>
      <c r="C9" s="2246"/>
      <c r="D9" s="2246"/>
      <c r="E9" s="2246"/>
      <c r="F9" s="10" t="s">
        <v>988</v>
      </c>
      <c r="G9" s="11" t="s">
        <v>989</v>
      </c>
      <c r="H9" s="10" t="s">
        <v>1190</v>
      </c>
      <c r="I9" s="2247" t="s">
        <v>1191</v>
      </c>
      <c r="J9" s="2247"/>
      <c r="K9" s="2247"/>
      <c r="L9" s="2247"/>
      <c r="M9" s="2247" t="s">
        <v>1192</v>
      </c>
      <c r="N9" s="2247"/>
      <c r="O9" s="2246" t="s">
        <v>1193</v>
      </c>
      <c r="P9" s="2246"/>
    </row>
    <row r="10" spans="1:16" s="7" customFormat="1" ht="31.5" x14ac:dyDescent="0.25">
      <c r="A10" s="12"/>
      <c r="B10" s="10" t="s">
        <v>994</v>
      </c>
      <c r="C10" s="10"/>
      <c r="D10" s="10" t="s">
        <v>1065</v>
      </c>
      <c r="E10" s="11" t="s">
        <v>1082</v>
      </c>
      <c r="F10" s="10"/>
      <c r="G10" s="10"/>
      <c r="H10" s="10"/>
      <c r="I10" s="10" t="s">
        <v>26</v>
      </c>
      <c r="J10" s="10" t="s">
        <v>1194</v>
      </c>
      <c r="K10" s="10" t="s">
        <v>1195</v>
      </c>
      <c r="L10" s="10" t="s">
        <v>1085</v>
      </c>
      <c r="M10" s="10" t="s">
        <v>1196</v>
      </c>
      <c r="N10" s="10" t="s">
        <v>1197</v>
      </c>
      <c r="O10" s="10" t="s">
        <v>1198</v>
      </c>
      <c r="P10" s="10" t="s">
        <v>1190</v>
      </c>
    </row>
    <row r="11" spans="1:16" s="7" customFormat="1" ht="15.75" x14ac:dyDescent="0.25">
      <c r="A11" s="13" t="s">
        <v>998</v>
      </c>
      <c r="B11" s="13" t="s">
        <v>999</v>
      </c>
      <c r="C11" s="13" t="s">
        <v>1000</v>
      </c>
      <c r="D11" s="13" t="s">
        <v>1001</v>
      </c>
      <c r="E11" s="13" t="s">
        <v>1002</v>
      </c>
      <c r="F11" s="13" t="s">
        <v>1003</v>
      </c>
      <c r="G11" s="13" t="s">
        <v>1004</v>
      </c>
      <c r="H11" s="13" t="s">
        <v>1005</v>
      </c>
      <c r="I11" s="13" t="s">
        <v>1006</v>
      </c>
      <c r="J11" s="13" t="s">
        <v>1007</v>
      </c>
      <c r="K11" s="13" t="s">
        <v>1008</v>
      </c>
      <c r="L11" s="13" t="s">
        <v>1009</v>
      </c>
      <c r="M11" s="13" t="s">
        <v>455</v>
      </c>
      <c r="N11" s="13" t="s">
        <v>1010</v>
      </c>
      <c r="O11" s="13" t="s">
        <v>1011</v>
      </c>
      <c r="P11" s="13" t="s">
        <v>1199</v>
      </c>
    </row>
    <row r="12" spans="1:16" s="7" customFormat="1" ht="15.75" x14ac:dyDescent="0.25">
      <c r="A12" s="2246">
        <v>1</v>
      </c>
      <c r="B12" s="2247" t="s">
        <v>1200</v>
      </c>
      <c r="C12" s="13" t="s">
        <v>998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16" s="7" customFormat="1" ht="15.75" x14ac:dyDescent="0.25">
      <c r="A13" s="2246"/>
      <c r="B13" s="2247"/>
      <c r="C13" s="13" t="s">
        <v>999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16" s="7" customFormat="1" ht="15.75" x14ac:dyDescent="0.25">
      <c r="A14" s="2246"/>
      <c r="B14" s="2247"/>
      <c r="C14" s="13" t="s">
        <v>1000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6" s="7" customFormat="1" ht="15.75" x14ac:dyDescent="0.25">
      <c r="A15" s="2246"/>
      <c r="B15" s="2247"/>
      <c r="C15" s="13" t="s">
        <v>1001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</row>
    <row r="16" spans="1:16" s="7" customFormat="1" ht="15.75" x14ac:dyDescent="0.25">
      <c r="A16" s="2246">
        <v>2</v>
      </c>
      <c r="B16" s="2247" t="s">
        <v>763</v>
      </c>
      <c r="C16" s="13" t="s">
        <v>998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6" s="7" customFormat="1" ht="15.75" x14ac:dyDescent="0.25">
      <c r="A17" s="2246"/>
      <c r="B17" s="2247"/>
      <c r="C17" s="13" t="s">
        <v>999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</row>
    <row r="18" spans="1:16" s="7" customFormat="1" ht="15.75" x14ac:dyDescent="0.25">
      <c r="A18" s="2246"/>
      <c r="B18" s="2247"/>
      <c r="C18" s="13" t="s">
        <v>1000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1:16" s="7" customFormat="1" ht="15.75" x14ac:dyDescent="0.25">
      <c r="A19" s="2246"/>
      <c r="B19" s="2247"/>
      <c r="C19" s="13" t="s">
        <v>1001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1:16" s="7" customFormat="1" ht="15.75" x14ac:dyDescent="0.25">
      <c r="A20" s="2246">
        <v>3</v>
      </c>
      <c r="B20" s="2247" t="s">
        <v>1019</v>
      </c>
      <c r="C20" s="13" t="s">
        <v>998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</row>
    <row r="21" spans="1:16" s="7" customFormat="1" ht="15.75" x14ac:dyDescent="0.25">
      <c r="A21" s="2246"/>
      <c r="B21" s="2247"/>
      <c r="C21" s="13" t="s">
        <v>999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</row>
    <row r="22" spans="1:16" s="7" customFormat="1" ht="15.75" x14ac:dyDescent="0.25">
      <c r="A22" s="2246"/>
      <c r="B22" s="2247"/>
      <c r="C22" s="13" t="s">
        <v>1000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1:16" s="7" customFormat="1" ht="15.75" x14ac:dyDescent="0.25">
      <c r="A23" s="2246"/>
      <c r="B23" s="2247"/>
      <c r="C23" s="13" t="s">
        <v>1001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16" s="7" customFormat="1" ht="15.75" x14ac:dyDescent="0.25">
      <c r="A24" s="2246">
        <v>4</v>
      </c>
      <c r="B24" s="2247" t="s">
        <v>1021</v>
      </c>
      <c r="C24" s="13" t="s">
        <v>998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</row>
    <row r="25" spans="1:16" s="7" customFormat="1" ht="15.75" x14ac:dyDescent="0.25">
      <c r="A25" s="2246"/>
      <c r="B25" s="2247"/>
      <c r="C25" s="13" t="s">
        <v>999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</row>
    <row r="26" spans="1:16" s="7" customFormat="1" ht="15.75" x14ac:dyDescent="0.25">
      <c r="A26" s="2246"/>
      <c r="B26" s="2247"/>
      <c r="C26" s="13" t="s">
        <v>1000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</row>
    <row r="27" spans="1:16" s="7" customFormat="1" ht="15.75" x14ac:dyDescent="0.25">
      <c r="A27" s="2246"/>
      <c r="B27" s="2247"/>
      <c r="C27" s="13" t="s">
        <v>1001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</row>
    <row r="28" spans="1:16" s="7" customFormat="1" ht="15.75" x14ac:dyDescent="0.25">
      <c r="A28" s="2328" t="s">
        <v>1110</v>
      </c>
      <c r="B28" s="2328"/>
      <c r="C28" s="2328"/>
      <c r="D28" s="2328"/>
      <c r="E28" s="2328"/>
      <c r="F28" s="2328"/>
      <c r="G28" s="2328"/>
      <c r="H28" s="2328"/>
      <c r="I28" s="2328"/>
      <c r="J28" s="2328"/>
      <c r="K28" s="2328"/>
      <c r="L28" s="2328"/>
      <c r="M28" s="2328"/>
      <c r="N28" s="2328"/>
      <c r="O28" s="2328"/>
      <c r="P28" s="2328"/>
    </row>
    <row r="29" spans="1:16" s="7" customFormat="1" ht="15.75" x14ac:dyDescent="0.25"/>
    <row r="30" spans="1:16" s="7" customFormat="1" ht="15.75" x14ac:dyDescent="0.25"/>
    <row r="31" spans="1:16" s="7" customFormat="1" ht="15.75" x14ac:dyDescent="0.25">
      <c r="D31" s="7" t="s">
        <v>1151</v>
      </c>
      <c r="M31" s="7" t="s">
        <v>1201</v>
      </c>
    </row>
    <row r="32" spans="1:16" s="7" customFormat="1" ht="15.75" x14ac:dyDescent="0.25">
      <c r="D32" s="7" t="s">
        <v>1111</v>
      </c>
      <c r="M32" s="7" t="s">
        <v>1202</v>
      </c>
    </row>
    <row r="33" spans="4:13" s="7" customFormat="1" ht="15.75" x14ac:dyDescent="0.25"/>
    <row r="34" spans="4:13" s="7" customFormat="1" ht="15.75" x14ac:dyDescent="0.25"/>
    <row r="35" spans="4:13" s="7" customFormat="1" ht="15.75" x14ac:dyDescent="0.25"/>
    <row r="36" spans="4:13" s="7" customFormat="1" ht="15.75" x14ac:dyDescent="0.25">
      <c r="D36" s="7" t="s">
        <v>1203</v>
      </c>
      <c r="M36" s="7" t="s">
        <v>1204</v>
      </c>
    </row>
    <row r="37" spans="4:13" s="7" customFormat="1" ht="15.75" x14ac:dyDescent="0.25"/>
    <row r="38" spans="4:13" s="7" customFormat="1" ht="15.75" x14ac:dyDescent="0.25"/>
    <row r="39" spans="4:13" s="7" customFormat="1" ht="15.75" x14ac:dyDescent="0.25"/>
    <row r="40" spans="4:13" s="7" customFormat="1" ht="15.75" x14ac:dyDescent="0.25"/>
    <row r="41" spans="4:13" s="7" customFormat="1" ht="15.75" x14ac:dyDescent="0.25"/>
    <row r="42" spans="4:13" s="7" customFormat="1" ht="15.75" x14ac:dyDescent="0.25"/>
    <row r="43" spans="4:13" s="7" customFormat="1" ht="15.75" x14ac:dyDescent="0.25"/>
    <row r="44" spans="4:13" s="7" customFormat="1" ht="15.75" x14ac:dyDescent="0.25"/>
    <row r="45" spans="4:13" s="7" customFormat="1" ht="15.75" x14ac:dyDescent="0.25"/>
    <row r="46" spans="4:13" s="7" customFormat="1" ht="15.75" x14ac:dyDescent="0.25"/>
  </sheetData>
  <mergeCells count="15">
    <mergeCell ref="A1:P1"/>
    <mergeCell ref="A2:P2"/>
    <mergeCell ref="B9:E9"/>
    <mergeCell ref="I9:L9"/>
    <mergeCell ref="M9:N9"/>
    <mergeCell ref="O9:P9"/>
    <mergeCell ref="A24:A27"/>
    <mergeCell ref="B24:B27"/>
    <mergeCell ref="A28:P28"/>
    <mergeCell ref="A12:A15"/>
    <mergeCell ref="B12:B15"/>
    <mergeCell ref="A16:A19"/>
    <mergeCell ref="B16:B19"/>
    <mergeCell ref="A20:A23"/>
    <mergeCell ref="B20:B2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40"/>
  <sheetViews>
    <sheetView workbookViewId="0">
      <selection activeCell="G14" sqref="G14"/>
    </sheetView>
  </sheetViews>
  <sheetFormatPr defaultRowHeight="15" x14ac:dyDescent="0.25"/>
  <cols>
    <col min="1" max="1" width="14.85546875" customWidth="1"/>
    <col min="2" max="2" width="21.5703125" customWidth="1"/>
    <col min="3" max="3" width="4.140625" customWidth="1"/>
    <col min="4" max="4" width="28.28515625" customWidth="1"/>
    <col min="5" max="5" width="20.5703125" customWidth="1"/>
    <col min="7" max="7" width="12.42578125" customWidth="1"/>
    <col min="8" max="8" width="12.140625" customWidth="1"/>
    <col min="9" max="9" width="12.5703125" customWidth="1"/>
    <col min="10" max="10" width="12.140625" customWidth="1"/>
    <col min="11" max="12" width="14.42578125" customWidth="1"/>
  </cols>
  <sheetData>
    <row r="1" spans="1:12" ht="18.75" x14ac:dyDescent="0.3">
      <c r="A1" s="2289" t="s">
        <v>1205</v>
      </c>
      <c r="B1" s="2289"/>
      <c r="C1" s="2289"/>
      <c r="D1" s="2289"/>
      <c r="E1" s="2289"/>
      <c r="F1" s="2289"/>
      <c r="G1" s="2289"/>
      <c r="H1" s="2289"/>
      <c r="I1" s="2289"/>
      <c r="J1" s="2289"/>
      <c r="K1" s="2289"/>
      <c r="L1" s="2289"/>
    </row>
    <row r="2" spans="1:12" ht="18.75" x14ac:dyDescent="0.3">
      <c r="A2" s="2289" t="s">
        <v>1075</v>
      </c>
      <c r="B2" s="2289"/>
      <c r="C2" s="2289"/>
      <c r="D2" s="2289"/>
      <c r="E2" s="2289"/>
      <c r="F2" s="2289"/>
      <c r="G2" s="2289"/>
      <c r="H2" s="2289"/>
      <c r="I2" s="2289"/>
      <c r="J2" s="2289"/>
      <c r="K2" s="2289"/>
      <c r="L2" s="2289"/>
    </row>
    <row r="3" spans="1:12" ht="15.75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ht="15.75" x14ac:dyDescent="0.25">
      <c r="A4" s="35" t="s">
        <v>977</v>
      </c>
      <c r="B4" s="35" t="s">
        <v>978</v>
      </c>
      <c r="C4" s="35"/>
      <c r="D4" s="7"/>
      <c r="E4" s="7"/>
      <c r="F4" s="7"/>
      <c r="G4" s="7"/>
      <c r="H4" s="7"/>
      <c r="I4" s="7"/>
      <c r="J4" s="7"/>
      <c r="K4" s="7"/>
      <c r="L4" s="7"/>
    </row>
    <row r="5" spans="1:12" ht="15.75" x14ac:dyDescent="0.25">
      <c r="A5" s="35" t="s">
        <v>979</v>
      </c>
      <c r="B5" s="35" t="s">
        <v>980</v>
      </c>
      <c r="C5" s="35"/>
      <c r="D5" s="7"/>
      <c r="E5" s="7"/>
      <c r="F5" s="7"/>
      <c r="G5" s="7"/>
      <c r="H5" s="7"/>
      <c r="I5" s="7"/>
      <c r="J5" s="7"/>
      <c r="K5" s="7"/>
      <c r="L5" s="7"/>
    </row>
    <row r="6" spans="1:12" ht="15.75" x14ac:dyDescent="0.25">
      <c r="A6" s="35" t="s">
        <v>981</v>
      </c>
      <c r="B6" s="35" t="s">
        <v>982</v>
      </c>
      <c r="C6" s="35"/>
      <c r="D6" s="7"/>
      <c r="E6" s="7"/>
      <c r="F6" s="7"/>
      <c r="G6" s="7"/>
      <c r="H6" s="7"/>
      <c r="I6" s="7"/>
      <c r="J6" s="7"/>
      <c r="K6" s="7"/>
      <c r="L6" s="7"/>
    </row>
    <row r="7" spans="1:12" ht="15.75" x14ac:dyDescent="0.25">
      <c r="A7" s="35" t="s">
        <v>983</v>
      </c>
      <c r="B7" s="35" t="s">
        <v>984</v>
      </c>
      <c r="C7" s="35"/>
      <c r="D7" s="7"/>
      <c r="E7" s="7"/>
      <c r="F7" s="7"/>
      <c r="G7" s="7"/>
      <c r="H7" s="7"/>
      <c r="I7" s="7"/>
      <c r="J7" s="7"/>
      <c r="K7" s="7"/>
      <c r="L7" s="7"/>
    </row>
    <row r="8" spans="1:12" ht="15.75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ht="63" customHeight="1" x14ac:dyDescent="0.25">
      <c r="A9" s="2290" t="s">
        <v>951</v>
      </c>
      <c r="B9" s="2326" t="s">
        <v>985</v>
      </c>
      <c r="C9" s="2326"/>
      <c r="D9" s="2326"/>
      <c r="E9" s="2293" t="s">
        <v>1076</v>
      </c>
      <c r="F9" s="2290" t="s">
        <v>988</v>
      </c>
      <c r="G9" s="2293" t="s">
        <v>1079</v>
      </c>
      <c r="H9" s="2293" t="s">
        <v>990</v>
      </c>
      <c r="I9" s="2327" t="s">
        <v>1176</v>
      </c>
      <c r="J9" s="2327"/>
      <c r="K9" s="2327" t="s">
        <v>1177</v>
      </c>
      <c r="L9" s="2327"/>
    </row>
    <row r="10" spans="1:12" ht="31.5" x14ac:dyDescent="0.25">
      <c r="A10" s="2292"/>
      <c r="B10" s="91" t="s">
        <v>994</v>
      </c>
      <c r="C10" s="91"/>
      <c r="D10" s="92" t="s">
        <v>1178</v>
      </c>
      <c r="E10" s="2295"/>
      <c r="F10" s="2292"/>
      <c r="G10" s="2295"/>
      <c r="H10" s="2295"/>
      <c r="I10" s="92" t="s">
        <v>1086</v>
      </c>
      <c r="J10" s="91" t="s">
        <v>997</v>
      </c>
      <c r="K10" s="92" t="s">
        <v>1086</v>
      </c>
      <c r="L10" s="93" t="s">
        <v>1179</v>
      </c>
    </row>
    <row r="11" spans="1:12" ht="15.75" x14ac:dyDescent="0.25">
      <c r="A11" s="94" t="s">
        <v>998</v>
      </c>
      <c r="B11" s="94" t="s">
        <v>999</v>
      </c>
      <c r="C11" s="94" t="s">
        <v>1000</v>
      </c>
      <c r="D11" s="94" t="s">
        <v>1001</v>
      </c>
      <c r="E11" s="94" t="s">
        <v>1002</v>
      </c>
      <c r="F11" s="94" t="s">
        <v>1003</v>
      </c>
      <c r="G11" s="94" t="s">
        <v>1004</v>
      </c>
      <c r="H11" s="94" t="s">
        <v>1005</v>
      </c>
      <c r="I11" s="94" t="s">
        <v>1006</v>
      </c>
      <c r="J11" s="94" t="s">
        <v>1007</v>
      </c>
      <c r="K11" s="94" t="s">
        <v>1008</v>
      </c>
      <c r="L11" s="94" t="s">
        <v>1009</v>
      </c>
    </row>
    <row r="12" spans="1:12" ht="15.75" x14ac:dyDescent="0.25">
      <c r="A12" s="2246" t="s">
        <v>1180</v>
      </c>
      <c r="B12" s="2320" t="s">
        <v>56</v>
      </c>
      <c r="C12" s="13">
        <v>1</v>
      </c>
      <c r="D12" s="12"/>
      <c r="E12" s="12"/>
      <c r="F12" s="12"/>
      <c r="G12" s="12"/>
      <c r="H12" s="12"/>
      <c r="I12" s="12"/>
      <c r="J12" s="12"/>
      <c r="K12" s="12"/>
      <c r="L12" s="12"/>
    </row>
    <row r="13" spans="1:12" ht="15.75" x14ac:dyDescent="0.25">
      <c r="A13" s="2246"/>
      <c r="B13" s="2321"/>
      <c r="C13" s="13">
        <v>2</v>
      </c>
      <c r="D13" s="12"/>
      <c r="E13" s="12"/>
      <c r="F13" s="12"/>
      <c r="G13" s="12"/>
      <c r="H13" s="12"/>
      <c r="I13" s="12"/>
      <c r="J13" s="12"/>
      <c r="K13" s="12"/>
      <c r="L13" s="12"/>
    </row>
    <row r="14" spans="1:12" ht="15.75" x14ac:dyDescent="0.25">
      <c r="A14" s="2246"/>
      <c r="B14" s="2321"/>
      <c r="C14" s="13">
        <v>3</v>
      </c>
      <c r="D14" s="12"/>
      <c r="E14" s="12"/>
      <c r="F14" s="12"/>
      <c r="G14" s="12"/>
      <c r="H14" s="12"/>
      <c r="I14" s="12"/>
      <c r="J14" s="12"/>
      <c r="K14" s="12"/>
      <c r="L14" s="12"/>
    </row>
    <row r="15" spans="1:12" ht="15.75" x14ac:dyDescent="0.25">
      <c r="A15" s="2246"/>
      <c r="B15" s="2322"/>
      <c r="C15" s="13">
        <v>4</v>
      </c>
      <c r="D15" s="12"/>
      <c r="E15" s="12"/>
      <c r="F15" s="12"/>
      <c r="G15" s="12"/>
      <c r="H15" s="12"/>
      <c r="I15" s="12"/>
      <c r="J15" s="12"/>
      <c r="K15" s="12"/>
      <c r="L15" s="12"/>
    </row>
    <row r="16" spans="1:12" ht="15.75" x14ac:dyDescent="0.25">
      <c r="A16" s="2323" t="s">
        <v>1181</v>
      </c>
      <c r="B16" s="2324"/>
      <c r="C16" s="2324"/>
      <c r="D16" s="2324"/>
      <c r="E16" s="2324"/>
      <c r="F16" s="2324"/>
      <c r="G16" s="2324"/>
      <c r="H16" s="2325"/>
      <c r="I16" s="15"/>
      <c r="J16" s="15"/>
      <c r="K16" s="15"/>
      <c r="L16" s="15"/>
    </row>
    <row r="17" spans="1:12" ht="15.75" x14ac:dyDescent="0.25">
      <c r="A17" s="2246" t="s">
        <v>1182</v>
      </c>
      <c r="B17" s="2320" t="s">
        <v>763</v>
      </c>
      <c r="C17" s="13">
        <v>1</v>
      </c>
      <c r="D17" s="12"/>
      <c r="E17" s="12"/>
      <c r="F17" s="12"/>
      <c r="G17" s="12"/>
      <c r="H17" s="12"/>
      <c r="I17" s="12"/>
      <c r="J17" s="12"/>
      <c r="K17" s="12"/>
      <c r="L17" s="12"/>
    </row>
    <row r="18" spans="1:12" ht="15.75" x14ac:dyDescent="0.25">
      <c r="A18" s="2246"/>
      <c r="B18" s="2321"/>
      <c r="C18" s="13">
        <v>2</v>
      </c>
      <c r="D18" s="12"/>
      <c r="E18" s="12"/>
      <c r="F18" s="12"/>
      <c r="G18" s="12"/>
      <c r="H18" s="12"/>
      <c r="I18" s="12"/>
      <c r="J18" s="12"/>
      <c r="K18" s="12"/>
      <c r="L18" s="12"/>
    </row>
    <row r="19" spans="1:12" ht="15.75" x14ac:dyDescent="0.25">
      <c r="A19" s="2246"/>
      <c r="B19" s="2321"/>
      <c r="C19" s="13">
        <v>3</v>
      </c>
      <c r="D19" s="12"/>
      <c r="E19" s="12"/>
      <c r="F19" s="12"/>
      <c r="G19" s="12"/>
      <c r="H19" s="12"/>
      <c r="I19" s="12"/>
      <c r="J19" s="12"/>
      <c r="K19" s="12"/>
      <c r="L19" s="12"/>
    </row>
    <row r="20" spans="1:12" ht="15.75" x14ac:dyDescent="0.25">
      <c r="A20" s="2246"/>
      <c r="B20" s="2322"/>
      <c r="C20" s="13">
        <v>4</v>
      </c>
      <c r="D20" s="12"/>
      <c r="E20" s="12"/>
      <c r="F20" s="12"/>
      <c r="G20" s="12"/>
      <c r="H20" s="12"/>
      <c r="I20" s="12"/>
      <c r="J20" s="12"/>
      <c r="K20" s="12"/>
      <c r="L20" s="12"/>
    </row>
    <row r="21" spans="1:12" ht="15.75" x14ac:dyDescent="0.25">
      <c r="A21" s="2323" t="s">
        <v>1018</v>
      </c>
      <c r="B21" s="2324"/>
      <c r="C21" s="2324"/>
      <c r="D21" s="2324"/>
      <c r="E21" s="2324"/>
      <c r="F21" s="2324"/>
      <c r="G21" s="2324"/>
      <c r="H21" s="2325"/>
      <c r="I21" s="15"/>
      <c r="J21" s="15"/>
      <c r="K21" s="15"/>
      <c r="L21" s="15"/>
    </row>
    <row r="22" spans="1:12" ht="15.75" x14ac:dyDescent="0.25">
      <c r="A22" s="2246" t="s">
        <v>1183</v>
      </c>
      <c r="B22" s="2320" t="s">
        <v>1019</v>
      </c>
      <c r="C22" s="13">
        <v>1</v>
      </c>
      <c r="D22" s="12"/>
      <c r="E22" s="12"/>
      <c r="F22" s="12"/>
      <c r="G22" s="12"/>
      <c r="H22" s="12"/>
      <c r="I22" s="12"/>
      <c r="J22" s="12"/>
      <c r="K22" s="12"/>
      <c r="L22" s="12"/>
    </row>
    <row r="23" spans="1:12" ht="15.75" x14ac:dyDescent="0.25">
      <c r="A23" s="2246"/>
      <c r="B23" s="2321"/>
      <c r="C23" s="13">
        <v>2</v>
      </c>
      <c r="D23" s="12"/>
      <c r="E23" s="12"/>
      <c r="F23" s="12"/>
      <c r="G23" s="12"/>
      <c r="H23" s="12"/>
      <c r="I23" s="12"/>
      <c r="J23" s="12"/>
      <c r="K23" s="12"/>
      <c r="L23" s="12"/>
    </row>
    <row r="24" spans="1:12" ht="15.75" x14ac:dyDescent="0.25">
      <c r="A24" s="2246"/>
      <c r="B24" s="2321"/>
      <c r="C24" s="13">
        <v>3</v>
      </c>
      <c r="D24" s="12"/>
      <c r="E24" s="12"/>
      <c r="F24" s="12"/>
      <c r="G24" s="12"/>
      <c r="H24" s="12"/>
      <c r="I24" s="12"/>
      <c r="J24" s="12"/>
      <c r="K24" s="12"/>
      <c r="L24" s="12"/>
    </row>
    <row r="25" spans="1:12" ht="15.75" x14ac:dyDescent="0.25">
      <c r="A25" s="2246"/>
      <c r="B25" s="2322"/>
      <c r="C25" s="13">
        <v>4</v>
      </c>
      <c r="D25" s="12"/>
      <c r="E25" s="12"/>
      <c r="F25" s="12"/>
      <c r="G25" s="12"/>
      <c r="H25" s="12"/>
      <c r="I25" s="12"/>
      <c r="J25" s="12"/>
      <c r="K25" s="12"/>
      <c r="L25" s="12"/>
    </row>
    <row r="26" spans="1:12" ht="15.75" x14ac:dyDescent="0.25">
      <c r="A26" s="2323" t="s">
        <v>1020</v>
      </c>
      <c r="B26" s="2324"/>
      <c r="C26" s="2324"/>
      <c r="D26" s="2324"/>
      <c r="E26" s="2324"/>
      <c r="F26" s="2324"/>
      <c r="G26" s="2324"/>
      <c r="H26" s="2325"/>
      <c r="I26" s="15"/>
      <c r="J26" s="15"/>
      <c r="K26" s="15"/>
      <c r="L26" s="15"/>
    </row>
    <row r="27" spans="1:12" ht="15.75" x14ac:dyDescent="0.25">
      <c r="A27" s="2246" t="s">
        <v>1184</v>
      </c>
      <c r="B27" s="2320" t="s">
        <v>1021</v>
      </c>
      <c r="C27" s="13">
        <v>1</v>
      </c>
      <c r="D27" s="12"/>
      <c r="E27" s="12"/>
      <c r="F27" s="12"/>
      <c r="G27" s="12"/>
      <c r="H27" s="12"/>
      <c r="I27" s="12"/>
      <c r="J27" s="12"/>
      <c r="K27" s="12"/>
      <c r="L27" s="12"/>
    </row>
    <row r="28" spans="1:12" ht="15.75" x14ac:dyDescent="0.25">
      <c r="A28" s="2246"/>
      <c r="B28" s="2321"/>
      <c r="C28" s="13">
        <v>2</v>
      </c>
      <c r="D28" s="12"/>
      <c r="E28" s="12"/>
      <c r="F28" s="12"/>
      <c r="G28" s="12"/>
      <c r="H28" s="12"/>
      <c r="I28" s="12"/>
      <c r="J28" s="12"/>
      <c r="K28" s="12"/>
      <c r="L28" s="12"/>
    </row>
    <row r="29" spans="1:12" ht="15.75" x14ac:dyDescent="0.25">
      <c r="A29" s="2246"/>
      <c r="B29" s="2321"/>
      <c r="C29" s="13">
        <v>3</v>
      </c>
      <c r="D29" s="12"/>
      <c r="E29" s="12"/>
      <c r="F29" s="12"/>
      <c r="G29" s="12"/>
      <c r="H29" s="12"/>
      <c r="I29" s="12"/>
      <c r="J29" s="12"/>
      <c r="K29" s="12"/>
      <c r="L29" s="12"/>
    </row>
    <row r="30" spans="1:12" ht="15.75" x14ac:dyDescent="0.25">
      <c r="A30" s="2246"/>
      <c r="B30" s="2322"/>
      <c r="C30" s="13">
        <v>4</v>
      </c>
      <c r="D30" s="12"/>
      <c r="E30" s="12"/>
      <c r="F30" s="12"/>
      <c r="G30" s="12"/>
      <c r="H30" s="12"/>
      <c r="I30" s="12"/>
      <c r="J30" s="12"/>
      <c r="K30" s="12"/>
      <c r="L30" s="12"/>
    </row>
    <row r="31" spans="1:12" ht="15.75" x14ac:dyDescent="0.25">
      <c r="A31" s="2323" t="s">
        <v>1022</v>
      </c>
      <c r="B31" s="2324"/>
      <c r="C31" s="2324"/>
      <c r="D31" s="2324"/>
      <c r="E31" s="2324"/>
      <c r="F31" s="2324"/>
      <c r="G31" s="2324"/>
      <c r="H31" s="2325"/>
      <c r="I31" s="15"/>
      <c r="J31" s="15"/>
      <c r="K31" s="15"/>
      <c r="L31" s="15"/>
    </row>
    <row r="32" spans="1:12" ht="15.75" x14ac:dyDescent="0.25">
      <c r="A32" s="1909"/>
      <c r="B32" s="1909"/>
      <c r="C32" s="1909"/>
      <c r="D32" s="1909"/>
      <c r="E32" s="1909"/>
      <c r="F32" s="1909"/>
      <c r="G32" s="1909"/>
      <c r="H32" s="1909"/>
      <c r="I32" s="1909"/>
      <c r="J32" s="1909"/>
      <c r="K32" s="1909"/>
      <c r="L32" s="1909"/>
    </row>
    <row r="33" spans="1:12" ht="15.75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ht="15.75" x14ac:dyDescent="0.25">
      <c r="A34" s="7"/>
      <c r="B34" s="7"/>
      <c r="C34" s="7"/>
      <c r="D34" s="7"/>
      <c r="E34" s="7"/>
      <c r="F34" s="7"/>
      <c r="G34" s="7"/>
      <c r="H34" s="7" t="s">
        <v>1185</v>
      </c>
      <c r="I34" s="7"/>
      <c r="J34" s="7"/>
      <c r="K34" s="7"/>
      <c r="L34" s="7"/>
    </row>
    <row r="35" spans="1:12" ht="15.75" x14ac:dyDescent="0.25">
      <c r="A35" s="7"/>
      <c r="B35" s="1909" t="s">
        <v>1151</v>
      </c>
      <c r="C35" s="1909"/>
      <c r="D35" s="1909"/>
      <c r="E35" s="7"/>
      <c r="F35" s="7"/>
      <c r="G35" s="7"/>
      <c r="H35" s="7" t="s">
        <v>1023</v>
      </c>
      <c r="I35" s="7"/>
      <c r="J35" s="7"/>
      <c r="K35" s="7"/>
      <c r="L35" s="7"/>
    </row>
    <row r="36" spans="1:12" ht="15.75" x14ac:dyDescent="0.25">
      <c r="A36" s="7"/>
      <c r="B36" s="1909" t="s">
        <v>490</v>
      </c>
      <c r="C36" s="1909"/>
      <c r="D36" s="1909"/>
      <c r="E36" s="7"/>
      <c r="F36" s="7"/>
      <c r="G36" s="7"/>
      <c r="H36" s="7" t="s">
        <v>1152</v>
      </c>
      <c r="I36" s="7"/>
      <c r="J36" s="7"/>
      <c r="K36" s="7"/>
      <c r="L36" s="7"/>
    </row>
    <row r="37" spans="1:12" ht="15.75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5.75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 ht="15.75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5.75" x14ac:dyDescent="0.25">
      <c r="A40" s="7"/>
      <c r="B40" s="1909" t="s">
        <v>1024</v>
      </c>
      <c r="C40" s="1909"/>
      <c r="D40" s="1909"/>
      <c r="E40" s="7"/>
      <c r="F40" s="7"/>
      <c r="G40" s="7"/>
      <c r="H40" s="7" t="s">
        <v>1025</v>
      </c>
      <c r="I40" s="7"/>
      <c r="J40" s="7"/>
      <c r="K40" s="7"/>
      <c r="L40" s="7"/>
    </row>
  </sheetData>
  <mergeCells count="26">
    <mergeCell ref="A21:H21"/>
    <mergeCell ref="A1:L1"/>
    <mergeCell ref="A2:L2"/>
    <mergeCell ref="A9:A10"/>
    <mergeCell ref="B9:D9"/>
    <mergeCell ref="E9:E10"/>
    <mergeCell ref="F9:F10"/>
    <mergeCell ref="G9:G10"/>
    <mergeCell ref="H9:H10"/>
    <mergeCell ref="I9:J9"/>
    <mergeCell ref="K9:L9"/>
    <mergeCell ref="A12:A15"/>
    <mergeCell ref="B12:B15"/>
    <mergeCell ref="A16:H16"/>
    <mergeCell ref="A17:A20"/>
    <mergeCell ref="B17:B20"/>
    <mergeCell ref="A32:L32"/>
    <mergeCell ref="B35:D35"/>
    <mergeCell ref="B36:D36"/>
    <mergeCell ref="B40:D40"/>
    <mergeCell ref="A22:A25"/>
    <mergeCell ref="B22:B25"/>
    <mergeCell ref="A26:H26"/>
    <mergeCell ref="A27:A30"/>
    <mergeCell ref="B27:B30"/>
    <mergeCell ref="A31:H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571"/>
  <sheetViews>
    <sheetView zoomScaleNormal="100" workbookViewId="0">
      <pane ySplit="1680" activePane="bottomLeft"/>
      <selection activeCell="E4" sqref="E1:E1048576"/>
      <selection pane="bottomLeft" sqref="A1:G27"/>
    </sheetView>
  </sheetViews>
  <sheetFormatPr defaultRowHeight="15" x14ac:dyDescent="0.25"/>
  <cols>
    <col min="1" max="1" width="16.42578125" customWidth="1"/>
    <col min="2" max="2" width="30.85546875" customWidth="1"/>
    <col min="3" max="3" width="7.7109375" customWidth="1"/>
    <col min="4" max="4" width="5.85546875" customWidth="1"/>
    <col min="5" max="5" width="20.5703125" style="1775" customWidth="1"/>
    <col min="6" max="6" width="19" customWidth="1"/>
    <col min="7" max="7" width="6" customWidth="1"/>
    <col min="8" max="8" width="14.7109375" customWidth="1"/>
    <col min="9" max="9" width="25" customWidth="1"/>
    <col min="10" max="10" width="24.7109375" customWidth="1"/>
    <col min="11" max="11" width="20.7109375" customWidth="1"/>
    <col min="12" max="12" width="19.85546875" customWidth="1"/>
    <col min="13" max="13" width="17.85546875" customWidth="1"/>
    <col min="14" max="14" width="16.140625" customWidth="1"/>
    <col min="15" max="15" width="16" customWidth="1"/>
    <col min="16" max="16" width="18.5703125" customWidth="1"/>
    <col min="17" max="17" width="16.42578125" customWidth="1"/>
    <col min="18" max="18" width="16.5703125" customWidth="1"/>
    <col min="19" max="19" width="17.85546875" customWidth="1"/>
    <col min="20" max="20" width="17" customWidth="1"/>
    <col min="21" max="21" width="16.28515625" customWidth="1"/>
    <col min="22" max="22" width="17.7109375" customWidth="1"/>
    <col min="23" max="23" width="15.42578125" customWidth="1"/>
    <col min="24" max="24" width="13.42578125" customWidth="1"/>
    <col min="25" max="25" width="15.28515625" customWidth="1"/>
    <col min="26" max="26" width="16.7109375" customWidth="1"/>
  </cols>
  <sheetData>
    <row r="1" spans="1:26" ht="30" x14ac:dyDescent="0.25">
      <c r="A1" s="1947" t="s">
        <v>0</v>
      </c>
      <c r="B1" s="1947"/>
      <c r="C1" s="1947"/>
      <c r="D1" s="1947"/>
      <c r="E1" s="1947"/>
      <c r="F1" s="1947"/>
      <c r="G1" s="1947"/>
      <c r="I1" s="105" t="s">
        <v>1410</v>
      </c>
      <c r="J1" s="105" t="s">
        <v>1220</v>
      </c>
      <c r="K1" s="105" t="s">
        <v>1506</v>
      </c>
      <c r="L1" s="105" t="s">
        <v>2177</v>
      </c>
      <c r="M1" s="105" t="s">
        <v>1365</v>
      </c>
      <c r="N1" s="1150" t="s">
        <v>3294</v>
      </c>
      <c r="O1" s="105" t="s">
        <v>3295</v>
      </c>
      <c r="P1" s="105" t="s">
        <v>1223</v>
      </c>
      <c r="Q1" s="105" t="s">
        <v>2178</v>
      </c>
      <c r="R1" s="105" t="s">
        <v>2179</v>
      </c>
      <c r="S1" s="105" t="s">
        <v>1777</v>
      </c>
      <c r="T1" s="105" t="s">
        <v>1775</v>
      </c>
      <c r="U1" s="105" t="s">
        <v>2253</v>
      </c>
      <c r="V1" s="105" t="s">
        <v>3296</v>
      </c>
      <c r="W1" s="1150" t="s">
        <v>3297</v>
      </c>
      <c r="X1" s="1150" t="s">
        <v>3298</v>
      </c>
      <c r="Y1" s="105" t="s">
        <v>3299</v>
      </c>
      <c r="Z1" s="105" t="s">
        <v>3300</v>
      </c>
    </row>
    <row r="2" spans="1:26" x14ac:dyDescent="0.25">
      <c r="A2" s="1947" t="s">
        <v>1</v>
      </c>
      <c r="B2" s="1947"/>
      <c r="C2" s="1947"/>
      <c r="D2" s="1947"/>
      <c r="E2" s="1947"/>
      <c r="F2" s="1947"/>
      <c r="G2" s="1947"/>
      <c r="I2" s="68">
        <f t="shared" ref="I2:Z2" si="0">SUM(I3:I1558)</f>
        <v>0</v>
      </c>
      <c r="J2" s="68">
        <f t="shared" si="0"/>
        <v>1385765982</v>
      </c>
      <c r="K2" s="68">
        <f t="shared" si="0"/>
        <v>5346651835</v>
      </c>
      <c r="L2" s="68">
        <f t="shared" si="0"/>
        <v>8685000</v>
      </c>
      <c r="M2" s="68">
        <f t="shared" si="0"/>
        <v>0</v>
      </c>
      <c r="N2" s="68">
        <f t="shared" si="0"/>
        <v>74400000</v>
      </c>
      <c r="O2" s="68">
        <f t="shared" si="0"/>
        <v>18535000</v>
      </c>
      <c r="P2" s="68">
        <f t="shared" si="0"/>
        <v>176024020</v>
      </c>
      <c r="Q2" s="68">
        <f t="shared" si="0"/>
        <v>0</v>
      </c>
      <c r="R2" s="68">
        <f t="shared" si="0"/>
        <v>0</v>
      </c>
      <c r="S2" s="68">
        <f t="shared" si="0"/>
        <v>0</v>
      </c>
      <c r="T2" s="68">
        <f t="shared" si="0"/>
        <v>19115750</v>
      </c>
      <c r="U2" s="68">
        <f t="shared" si="0"/>
        <v>0</v>
      </c>
      <c r="V2" s="68">
        <f t="shared" si="0"/>
        <v>0</v>
      </c>
      <c r="W2" s="68">
        <f t="shared" si="0"/>
        <v>0</v>
      </c>
      <c r="X2" s="68">
        <f t="shared" si="0"/>
        <v>0</v>
      </c>
      <c r="Y2" s="68">
        <f t="shared" si="0"/>
        <v>21250000</v>
      </c>
      <c r="Z2" s="68">
        <f t="shared" si="0"/>
        <v>0</v>
      </c>
    </row>
    <row r="3" spans="1:26" x14ac:dyDescent="0.25">
      <c r="A3" s="1947" t="s">
        <v>2398</v>
      </c>
      <c r="B3" s="1947"/>
      <c r="C3" s="1947"/>
      <c r="D3" s="1947"/>
      <c r="E3" s="1947"/>
      <c r="F3" s="1947"/>
      <c r="G3" s="1947"/>
    </row>
    <row r="4" spans="1:26" x14ac:dyDescent="0.25">
      <c r="A4" s="148"/>
      <c r="B4" s="148"/>
      <c r="C4" s="148"/>
      <c r="D4" s="148"/>
      <c r="E4" s="1764"/>
      <c r="F4" s="148"/>
      <c r="G4" s="149"/>
    </row>
    <row r="5" spans="1:26" x14ac:dyDescent="0.25">
      <c r="A5" s="150" t="s">
        <v>2</v>
      </c>
      <c r="B5" s="151" t="s">
        <v>3</v>
      </c>
      <c r="C5" s="152"/>
      <c r="D5" s="153"/>
      <c r="E5" s="1765"/>
      <c r="F5" s="155"/>
      <c r="G5" s="152"/>
    </row>
    <row r="6" spans="1:26" ht="36.75" x14ac:dyDescent="0.25">
      <c r="A6" s="156" t="s">
        <v>4</v>
      </c>
      <c r="B6" s="151" t="s">
        <v>5</v>
      </c>
      <c r="C6" s="152"/>
      <c r="D6" s="153"/>
      <c r="E6" s="528" t="s">
        <v>6</v>
      </c>
      <c r="F6" s="158"/>
      <c r="G6" s="152"/>
    </row>
    <row r="7" spans="1:26" ht="24.75" x14ac:dyDescent="0.25">
      <c r="A7" s="156" t="s">
        <v>7</v>
      </c>
      <c r="B7" s="151" t="s">
        <v>8</v>
      </c>
      <c r="C7" s="152"/>
      <c r="D7" s="153"/>
      <c r="E7" s="1766" t="s">
        <v>9</v>
      </c>
      <c r="F7" s="160"/>
      <c r="G7" s="152"/>
    </row>
    <row r="8" spans="1:26" x14ac:dyDescent="0.25">
      <c r="A8" s="156" t="s">
        <v>35</v>
      </c>
      <c r="B8" s="151"/>
      <c r="C8" s="152"/>
      <c r="D8" s="153"/>
      <c r="E8" s="1765"/>
      <c r="F8" s="155"/>
      <c r="G8" s="152"/>
    </row>
    <row r="9" spans="1:26" x14ac:dyDescent="0.25">
      <c r="A9" s="156" t="s">
        <v>10</v>
      </c>
      <c r="B9" s="151"/>
      <c r="C9" s="152"/>
      <c r="D9" s="153"/>
      <c r="E9" s="1765"/>
      <c r="F9" s="155"/>
      <c r="G9" s="152"/>
    </row>
    <row r="10" spans="1:26" x14ac:dyDescent="0.25">
      <c r="A10" s="1953"/>
      <c r="B10" s="1953"/>
      <c r="C10" s="1953"/>
      <c r="D10" s="1953"/>
      <c r="E10" s="1953"/>
      <c r="F10" s="1953"/>
      <c r="G10" s="1953"/>
    </row>
    <row r="11" spans="1:26" x14ac:dyDescent="0.25">
      <c r="A11" s="161" t="s">
        <v>30</v>
      </c>
      <c r="B11" s="162" t="s">
        <v>31</v>
      </c>
      <c r="C11" s="1931" t="s">
        <v>12</v>
      </c>
      <c r="D11" s="1932"/>
      <c r="E11" s="1767" t="s">
        <v>32</v>
      </c>
      <c r="F11" s="163" t="s">
        <v>33</v>
      </c>
      <c r="G11" s="161" t="s">
        <v>34</v>
      </c>
    </row>
    <row r="12" spans="1:26" x14ac:dyDescent="0.25">
      <c r="A12" s="164">
        <v>1</v>
      </c>
      <c r="B12" s="164">
        <v>2</v>
      </c>
      <c r="C12" s="1943">
        <v>3</v>
      </c>
      <c r="D12" s="1943"/>
      <c r="E12" s="1768">
        <v>4</v>
      </c>
      <c r="F12" s="166">
        <v>5</v>
      </c>
      <c r="G12" s="166">
        <v>6</v>
      </c>
    </row>
    <row r="13" spans="1:26" x14ac:dyDescent="0.25">
      <c r="A13" s="167" t="s">
        <v>15</v>
      </c>
      <c r="B13" s="168" t="s">
        <v>16</v>
      </c>
      <c r="C13" s="169"/>
      <c r="D13" s="170"/>
      <c r="E13" s="1769"/>
      <c r="F13" s="172"/>
      <c r="G13" s="173"/>
    </row>
    <row r="14" spans="1:26" ht="27" customHeight="1" x14ac:dyDescent="0.25">
      <c r="A14" s="167" t="s">
        <v>17</v>
      </c>
      <c r="B14" s="168" t="s">
        <v>18</v>
      </c>
      <c r="C14" s="174"/>
      <c r="D14" s="175"/>
      <c r="E14" s="1769"/>
      <c r="F14" s="172"/>
      <c r="G14" s="173"/>
    </row>
    <row r="15" spans="1:26" x14ac:dyDescent="0.25">
      <c r="A15" s="176" t="s">
        <v>19</v>
      </c>
      <c r="B15" s="177" t="s">
        <v>20</v>
      </c>
      <c r="C15" s="178">
        <v>12</v>
      </c>
      <c r="D15" s="170" t="s">
        <v>21</v>
      </c>
      <c r="E15" s="389">
        <v>5445000</v>
      </c>
      <c r="F15" s="180">
        <f>C15*E15</f>
        <v>65340000</v>
      </c>
      <c r="G15" s="173" t="s">
        <v>1220</v>
      </c>
      <c r="H15" s="27"/>
      <c r="J15" s="27">
        <f>F15</f>
        <v>65340000</v>
      </c>
    </row>
    <row r="16" spans="1:26" x14ac:dyDescent="0.25">
      <c r="A16" s="176" t="s">
        <v>22</v>
      </c>
      <c r="B16" s="177" t="s">
        <v>23</v>
      </c>
      <c r="C16" s="178">
        <v>1</v>
      </c>
      <c r="D16" s="170" t="s">
        <v>21</v>
      </c>
      <c r="E16" s="389">
        <v>5500000</v>
      </c>
      <c r="F16" s="180">
        <f>C16*E16</f>
        <v>5500000</v>
      </c>
      <c r="G16" s="173" t="s">
        <v>1506</v>
      </c>
      <c r="K16" s="27">
        <f>F16</f>
        <v>5500000</v>
      </c>
    </row>
    <row r="17" spans="1:11" x14ac:dyDescent="0.25">
      <c r="A17" s="176" t="s">
        <v>22</v>
      </c>
      <c r="B17" s="177" t="s">
        <v>24</v>
      </c>
      <c r="C17" s="178">
        <v>12</v>
      </c>
      <c r="D17" s="170" t="s">
        <v>21</v>
      </c>
      <c r="E17" s="389">
        <v>8700000</v>
      </c>
      <c r="F17" s="180">
        <f>C17*E17</f>
        <v>104400000</v>
      </c>
      <c r="G17" s="173" t="s">
        <v>1506</v>
      </c>
      <c r="K17" s="27">
        <f t="shared" ref="K17:K18" si="1">F17</f>
        <v>104400000</v>
      </c>
    </row>
    <row r="18" spans="1:11" x14ac:dyDescent="0.25">
      <c r="A18" s="176" t="s">
        <v>22</v>
      </c>
      <c r="B18" s="177" t="s">
        <v>25</v>
      </c>
      <c r="C18" s="178">
        <v>1</v>
      </c>
      <c r="D18" s="170" t="s">
        <v>21</v>
      </c>
      <c r="E18" s="389">
        <v>5500000</v>
      </c>
      <c r="F18" s="180">
        <f>E18*C18</f>
        <v>5500000</v>
      </c>
      <c r="G18" s="173" t="s">
        <v>1506</v>
      </c>
      <c r="K18" s="27">
        <f t="shared" si="1"/>
        <v>5500000</v>
      </c>
    </row>
    <row r="19" spans="1:11" x14ac:dyDescent="0.25">
      <c r="A19" s="176"/>
      <c r="B19" s="177"/>
      <c r="C19" s="178"/>
      <c r="D19" s="170"/>
      <c r="E19" s="389"/>
      <c r="F19" s="180"/>
      <c r="G19" s="173"/>
    </row>
    <row r="20" spans="1:11" x14ac:dyDescent="0.25">
      <c r="A20" s="1944" t="s">
        <v>26</v>
      </c>
      <c r="B20" s="1945"/>
      <c r="C20" s="1945"/>
      <c r="D20" s="1945"/>
      <c r="E20" s="1946"/>
      <c r="F20" s="180">
        <f>SUM(F15:F19)</f>
        <v>180740000</v>
      </c>
      <c r="G20" s="181"/>
    </row>
    <row r="21" spans="1:11" x14ac:dyDescent="0.25">
      <c r="A21" s="150"/>
      <c r="B21" s="151"/>
      <c r="C21" s="152"/>
      <c r="D21" s="153"/>
      <c r="E21" s="1770"/>
      <c r="F21" s="152"/>
      <c r="G21" s="152"/>
    </row>
    <row r="22" spans="1:11" x14ac:dyDescent="0.25">
      <c r="A22" s="1926" t="s">
        <v>516</v>
      </c>
      <c r="B22" s="1926"/>
      <c r="C22" s="152" t="s">
        <v>27</v>
      </c>
      <c r="D22" s="1926" t="s">
        <v>3654</v>
      </c>
      <c r="E22" s="1926"/>
      <c r="F22" s="1926"/>
      <c r="G22" s="152"/>
    </row>
    <row r="23" spans="1:11" x14ac:dyDescent="0.25">
      <c r="A23" s="1926" t="s">
        <v>28</v>
      </c>
      <c r="B23" s="1926"/>
      <c r="C23" s="152"/>
      <c r="D23" s="1927" t="s">
        <v>3382</v>
      </c>
      <c r="E23" s="1927"/>
      <c r="F23" s="1927"/>
      <c r="G23" s="152"/>
    </row>
    <row r="24" spans="1:11" x14ac:dyDescent="0.25">
      <c r="A24" s="150"/>
      <c r="B24" s="151"/>
      <c r="C24" s="152"/>
      <c r="D24" s="153"/>
      <c r="E24" s="1770"/>
      <c r="F24" s="182"/>
      <c r="G24" s="152"/>
    </row>
    <row r="25" spans="1:11" x14ac:dyDescent="0.25">
      <c r="A25" s="150"/>
      <c r="B25" s="151"/>
      <c r="C25" s="152"/>
      <c r="D25" s="153"/>
      <c r="E25" s="1770"/>
      <c r="F25" s="182"/>
      <c r="G25" s="152"/>
    </row>
    <row r="26" spans="1:11" x14ac:dyDescent="0.25">
      <c r="A26" s="1926"/>
      <c r="B26" s="1926"/>
      <c r="C26" s="152"/>
      <c r="D26" s="153"/>
      <c r="E26" s="1926"/>
      <c r="F26" s="1926"/>
      <c r="G26" s="152"/>
    </row>
    <row r="27" spans="1:11" x14ac:dyDescent="0.25">
      <c r="A27" s="1926" t="s">
        <v>29</v>
      </c>
      <c r="B27" s="1926"/>
      <c r="C27" s="152"/>
      <c r="D27" s="1926" t="s">
        <v>3383</v>
      </c>
      <c r="E27" s="1926"/>
      <c r="F27" s="1926"/>
      <c r="G27" s="152"/>
    </row>
    <row r="30" spans="1:11" x14ac:dyDescent="0.25">
      <c r="A30" s="1947" t="s">
        <v>0</v>
      </c>
      <c r="B30" s="1947"/>
      <c r="C30" s="1947"/>
      <c r="D30" s="1947"/>
      <c r="E30" s="1947"/>
      <c r="F30" s="1947"/>
      <c r="G30" s="1947"/>
    </row>
    <row r="31" spans="1:11" x14ac:dyDescent="0.25">
      <c r="A31" s="1947" t="s">
        <v>1</v>
      </c>
      <c r="B31" s="1947"/>
      <c r="C31" s="1947"/>
      <c r="D31" s="1947"/>
      <c r="E31" s="1947"/>
      <c r="F31" s="1947"/>
      <c r="G31" s="1947"/>
    </row>
    <row r="32" spans="1:11" x14ac:dyDescent="0.25">
      <c r="A32" s="1947" t="s">
        <v>2398</v>
      </c>
      <c r="B32" s="1947"/>
      <c r="C32" s="1947"/>
      <c r="D32" s="1947"/>
      <c r="E32" s="1947"/>
      <c r="F32" s="1947"/>
      <c r="G32" s="1947"/>
    </row>
    <row r="33" spans="1:10" x14ac:dyDescent="0.25">
      <c r="A33" s="148"/>
      <c r="B33" s="148"/>
      <c r="C33" s="148"/>
      <c r="D33" s="148"/>
      <c r="E33" s="1764"/>
      <c r="F33" s="148"/>
      <c r="G33" s="149"/>
    </row>
    <row r="34" spans="1:10" x14ac:dyDescent="0.25">
      <c r="A34" s="150" t="s">
        <v>2</v>
      </c>
      <c r="B34" s="151" t="s">
        <v>3</v>
      </c>
      <c r="C34" s="152"/>
      <c r="D34" s="153"/>
      <c r="E34" s="1765"/>
      <c r="F34" s="155"/>
      <c r="G34" s="152"/>
    </row>
    <row r="35" spans="1:10" ht="36.75" x14ac:dyDescent="0.25">
      <c r="A35" s="156" t="s">
        <v>4</v>
      </c>
      <c r="B35" s="151" t="s">
        <v>5</v>
      </c>
      <c r="C35" s="152"/>
      <c r="D35" s="153"/>
      <c r="E35" s="528" t="s">
        <v>6</v>
      </c>
      <c r="F35" s="183" t="s">
        <v>62</v>
      </c>
      <c r="G35" s="152"/>
    </row>
    <row r="36" spans="1:10" ht="24.75" x14ac:dyDescent="0.25">
      <c r="A36" s="184" t="s">
        <v>7</v>
      </c>
      <c r="B36" s="151" t="s">
        <v>36</v>
      </c>
      <c r="C36" s="152"/>
      <c r="D36" s="153"/>
      <c r="E36" s="1766" t="s">
        <v>9</v>
      </c>
      <c r="F36" s="160" t="s">
        <v>62</v>
      </c>
      <c r="G36" s="152"/>
    </row>
    <row r="37" spans="1:10" x14ac:dyDescent="0.25">
      <c r="A37" s="185" t="s">
        <v>37</v>
      </c>
      <c r="B37" s="151"/>
      <c r="C37" s="152"/>
      <c r="D37" s="153"/>
      <c r="E37" s="1765"/>
      <c r="F37" s="155"/>
      <c r="G37" s="152"/>
    </row>
    <row r="38" spans="1:10" x14ac:dyDescent="0.25">
      <c r="A38" s="156" t="s">
        <v>38</v>
      </c>
      <c r="B38" s="151"/>
      <c r="C38" s="152"/>
      <c r="D38" s="153"/>
      <c r="E38" s="1765"/>
      <c r="F38" s="155"/>
      <c r="G38" s="152"/>
    </row>
    <row r="39" spans="1:10" x14ac:dyDescent="0.25">
      <c r="A39" s="161" t="s">
        <v>30</v>
      </c>
      <c r="B39" s="162" t="s">
        <v>31</v>
      </c>
      <c r="C39" s="1931" t="s">
        <v>12</v>
      </c>
      <c r="D39" s="1932"/>
      <c r="E39" s="1767" t="s">
        <v>32</v>
      </c>
      <c r="F39" s="163" t="s">
        <v>33</v>
      </c>
      <c r="G39" s="161" t="s">
        <v>34</v>
      </c>
    </row>
    <row r="40" spans="1:10" x14ac:dyDescent="0.25">
      <c r="A40" s="164">
        <v>1</v>
      </c>
      <c r="B40" s="164">
        <v>2</v>
      </c>
      <c r="C40" s="1943">
        <v>3</v>
      </c>
      <c r="D40" s="1943"/>
      <c r="E40" s="1768">
        <v>4</v>
      </c>
      <c r="F40" s="166">
        <v>5</v>
      </c>
      <c r="G40" s="166">
        <v>6</v>
      </c>
    </row>
    <row r="41" spans="1:10" x14ac:dyDescent="0.25">
      <c r="A41" s="167" t="s">
        <v>39</v>
      </c>
      <c r="B41" s="168" t="s">
        <v>16</v>
      </c>
      <c r="C41" s="169"/>
      <c r="D41" s="170"/>
      <c r="E41" s="645"/>
      <c r="F41" s="178"/>
      <c r="G41" s="186"/>
    </row>
    <row r="42" spans="1:10" ht="24" x14ac:dyDescent="0.25">
      <c r="A42" s="167" t="s">
        <v>40</v>
      </c>
      <c r="B42" s="168" t="s">
        <v>41</v>
      </c>
      <c r="C42" s="169"/>
      <c r="D42" s="170"/>
      <c r="E42" s="645"/>
      <c r="F42" s="178"/>
      <c r="G42" s="186"/>
    </row>
    <row r="43" spans="1:10" x14ac:dyDescent="0.25">
      <c r="A43" s="167" t="s">
        <v>42</v>
      </c>
      <c r="B43" s="168" t="s">
        <v>43</v>
      </c>
      <c r="C43" s="169"/>
      <c r="D43" s="170"/>
      <c r="E43" s="645"/>
      <c r="F43" s="178"/>
      <c r="G43" s="186"/>
    </row>
    <row r="44" spans="1:10" x14ac:dyDescent="0.25">
      <c r="A44" s="176"/>
      <c r="B44" s="177" t="s">
        <v>44</v>
      </c>
      <c r="C44" s="178">
        <v>12</v>
      </c>
      <c r="D44" s="170" t="s">
        <v>21</v>
      </c>
      <c r="E44" s="389">
        <v>3465000</v>
      </c>
      <c r="F44" s="180">
        <f>C44*E44</f>
        <v>41580000</v>
      </c>
      <c r="G44" s="163" t="s">
        <v>1220</v>
      </c>
      <c r="J44" s="27">
        <f>F44</f>
        <v>41580000</v>
      </c>
    </row>
    <row r="45" spans="1:10" x14ac:dyDescent="0.25">
      <c r="A45" s="176"/>
      <c r="B45" s="177" t="s">
        <v>45</v>
      </c>
      <c r="C45" s="178">
        <v>72</v>
      </c>
      <c r="D45" s="170" t="s">
        <v>21</v>
      </c>
      <c r="E45" s="1771">
        <v>2865001</v>
      </c>
      <c r="F45" s="180">
        <f>C45*E45</f>
        <v>206280072</v>
      </c>
      <c r="G45" s="163" t="s">
        <v>1220</v>
      </c>
      <c r="J45" s="27">
        <f t="shared" ref="J45:J46" si="2">F45</f>
        <v>206280072</v>
      </c>
    </row>
    <row r="46" spans="1:10" x14ac:dyDescent="0.25">
      <c r="A46" s="176"/>
      <c r="B46" s="177" t="s">
        <v>3551</v>
      </c>
      <c r="C46" s="178">
        <f>7*12</f>
        <v>84</v>
      </c>
      <c r="D46" s="170" t="s">
        <v>21</v>
      </c>
      <c r="E46" s="1771">
        <v>2865001</v>
      </c>
      <c r="F46" s="180">
        <f>C46*E46</f>
        <v>240660084</v>
      </c>
      <c r="G46" s="163" t="s">
        <v>1220</v>
      </c>
      <c r="J46" s="27">
        <f t="shared" si="2"/>
        <v>240660084</v>
      </c>
    </row>
    <row r="47" spans="1:10" x14ac:dyDescent="0.25">
      <c r="A47" s="176"/>
      <c r="B47" s="177" t="s">
        <v>3552</v>
      </c>
      <c r="C47" s="178">
        <v>11</v>
      </c>
      <c r="D47" s="170" t="s">
        <v>21</v>
      </c>
      <c r="E47" s="1771">
        <v>2865001</v>
      </c>
      <c r="F47" s="180">
        <f>C47*E47</f>
        <v>31515011</v>
      </c>
      <c r="G47" s="163" t="s">
        <v>1220</v>
      </c>
      <c r="J47" s="27">
        <f>F47</f>
        <v>31515011</v>
      </c>
    </row>
    <row r="48" spans="1:10" x14ac:dyDescent="0.25">
      <c r="A48" s="176"/>
      <c r="B48" s="177" t="s">
        <v>3553</v>
      </c>
      <c r="C48" s="178">
        <v>1</v>
      </c>
      <c r="D48" s="170" t="s">
        <v>21</v>
      </c>
      <c r="E48" s="1771">
        <v>2900000</v>
      </c>
      <c r="F48" s="180">
        <f>C48*E48</f>
        <v>2900000</v>
      </c>
      <c r="G48" s="163" t="s">
        <v>1220</v>
      </c>
      <c r="J48" s="27">
        <f>F48</f>
        <v>2900000</v>
      </c>
    </row>
    <row r="49" spans="1:11" x14ac:dyDescent="0.25">
      <c r="A49" s="176" t="s">
        <v>46</v>
      </c>
      <c r="B49" s="177" t="s">
        <v>47</v>
      </c>
      <c r="C49" s="178"/>
      <c r="D49" s="170"/>
      <c r="E49" s="389"/>
      <c r="F49" s="180"/>
      <c r="G49" s="163"/>
    </row>
    <row r="50" spans="1:11" x14ac:dyDescent="0.25">
      <c r="A50" s="176"/>
      <c r="B50" s="177" t="s">
        <v>48</v>
      </c>
      <c r="C50" s="178">
        <v>12</v>
      </c>
      <c r="D50" s="170" t="s">
        <v>21</v>
      </c>
      <c r="E50" s="389">
        <v>4500000</v>
      </c>
      <c r="F50" s="180">
        <f t="shared" ref="F50:F61" si="3">C50*E50</f>
        <v>54000000</v>
      </c>
      <c r="G50" s="163" t="s">
        <v>1506</v>
      </c>
      <c r="K50" s="27">
        <f>F50</f>
        <v>54000000</v>
      </c>
    </row>
    <row r="51" spans="1:11" x14ac:dyDescent="0.25">
      <c r="A51" s="176"/>
      <c r="B51" s="177" t="s">
        <v>49</v>
      </c>
      <c r="C51" s="178">
        <v>1</v>
      </c>
      <c r="D51" s="170" t="s">
        <v>21</v>
      </c>
      <c r="E51" s="389">
        <v>3500000</v>
      </c>
      <c r="F51" s="180">
        <f>C51*E51</f>
        <v>3500000</v>
      </c>
      <c r="G51" s="163" t="s">
        <v>1506</v>
      </c>
      <c r="K51" s="27">
        <f t="shared" ref="K51:K52" si="4">F51</f>
        <v>3500000</v>
      </c>
    </row>
    <row r="52" spans="1:11" x14ac:dyDescent="0.25">
      <c r="A52" s="176"/>
      <c r="B52" s="177" t="s">
        <v>1738</v>
      </c>
      <c r="C52" s="178">
        <v>1</v>
      </c>
      <c r="D52" s="170" t="s">
        <v>21</v>
      </c>
      <c r="E52" s="389">
        <v>3500000</v>
      </c>
      <c r="F52" s="180">
        <f t="shared" si="3"/>
        <v>3500000</v>
      </c>
      <c r="G52" s="163" t="s">
        <v>1506</v>
      </c>
      <c r="K52" s="27">
        <f t="shared" si="4"/>
        <v>3500000</v>
      </c>
    </row>
    <row r="53" spans="1:11" x14ac:dyDescent="0.25">
      <c r="A53" s="176"/>
      <c r="B53" s="177"/>
      <c r="C53" s="178"/>
      <c r="D53" s="170"/>
      <c r="E53" s="389"/>
      <c r="F53" s="180"/>
      <c r="G53" s="163"/>
    </row>
    <row r="54" spans="1:11" ht="24.75" x14ac:dyDescent="0.25">
      <c r="A54" s="176"/>
      <c r="B54" s="177" t="s">
        <v>50</v>
      </c>
      <c r="C54" s="178">
        <v>72</v>
      </c>
      <c r="D54" s="170" t="s">
        <v>21</v>
      </c>
      <c r="E54" s="389">
        <v>2500000</v>
      </c>
      <c r="F54" s="180">
        <f t="shared" si="3"/>
        <v>180000000</v>
      </c>
      <c r="G54" s="163" t="s">
        <v>1506</v>
      </c>
      <c r="K54" s="27">
        <f>F54</f>
        <v>180000000</v>
      </c>
    </row>
    <row r="55" spans="1:11" x14ac:dyDescent="0.25">
      <c r="A55" s="176"/>
      <c r="B55" s="177" t="s">
        <v>51</v>
      </c>
      <c r="C55" s="178">
        <v>6</v>
      </c>
      <c r="D55" s="170" t="s">
        <v>21</v>
      </c>
      <c r="E55" s="389">
        <v>2900000</v>
      </c>
      <c r="F55" s="180">
        <f>C55*E55</f>
        <v>17400000</v>
      </c>
      <c r="G55" s="163" t="s">
        <v>1506</v>
      </c>
      <c r="K55" s="27">
        <f t="shared" ref="K55:K56" si="5">F55</f>
        <v>17400000</v>
      </c>
    </row>
    <row r="56" spans="1:11" x14ac:dyDescent="0.25">
      <c r="A56" s="176"/>
      <c r="B56" s="177" t="s">
        <v>52</v>
      </c>
      <c r="C56" s="178">
        <v>6</v>
      </c>
      <c r="D56" s="170" t="s">
        <v>21</v>
      </c>
      <c r="E56" s="389">
        <v>2900000</v>
      </c>
      <c r="F56" s="180">
        <f t="shared" si="3"/>
        <v>17400000</v>
      </c>
      <c r="G56" s="163" t="s">
        <v>1506</v>
      </c>
      <c r="K56" s="27">
        <f t="shared" si="5"/>
        <v>17400000</v>
      </c>
    </row>
    <row r="57" spans="1:11" x14ac:dyDescent="0.25">
      <c r="A57" s="176"/>
      <c r="B57" s="177"/>
      <c r="C57" s="178"/>
      <c r="D57" s="170"/>
      <c r="E57" s="389"/>
      <c r="F57" s="180"/>
      <c r="G57" s="163"/>
    </row>
    <row r="58" spans="1:11" ht="24.75" x14ac:dyDescent="0.25">
      <c r="A58" s="176"/>
      <c r="B58" s="177" t="s">
        <v>53</v>
      </c>
      <c r="C58" s="178">
        <v>96</v>
      </c>
      <c r="D58" s="170" t="s">
        <v>21</v>
      </c>
      <c r="E58" s="389">
        <v>2100000</v>
      </c>
      <c r="F58" s="180">
        <f t="shared" si="3"/>
        <v>201600000</v>
      </c>
      <c r="G58" s="163" t="s">
        <v>1506</v>
      </c>
      <c r="K58" s="27">
        <f>F58</f>
        <v>201600000</v>
      </c>
    </row>
    <row r="59" spans="1:11" x14ac:dyDescent="0.25">
      <c r="A59" s="176"/>
      <c r="B59" s="177" t="s">
        <v>54</v>
      </c>
      <c r="C59" s="178">
        <v>8</v>
      </c>
      <c r="D59" s="170" t="s">
        <v>21</v>
      </c>
      <c r="E59" s="389">
        <v>2900000</v>
      </c>
      <c r="F59" s="180">
        <f>C59*E59</f>
        <v>23200000</v>
      </c>
      <c r="G59" s="163" t="s">
        <v>1506</v>
      </c>
      <c r="K59" s="27">
        <f t="shared" ref="K59:K61" si="6">F59</f>
        <v>23200000</v>
      </c>
    </row>
    <row r="60" spans="1:11" x14ac:dyDescent="0.25">
      <c r="A60" s="176"/>
      <c r="B60" s="177" t="s">
        <v>55</v>
      </c>
      <c r="C60" s="178">
        <v>8</v>
      </c>
      <c r="D60" s="170" t="s">
        <v>21</v>
      </c>
      <c r="E60" s="389">
        <v>2900000</v>
      </c>
      <c r="F60" s="180">
        <f t="shared" si="3"/>
        <v>23200000</v>
      </c>
      <c r="G60" s="163" t="s">
        <v>1506</v>
      </c>
      <c r="K60" s="27">
        <f t="shared" si="6"/>
        <v>23200000</v>
      </c>
    </row>
    <row r="61" spans="1:11" x14ac:dyDescent="0.25">
      <c r="A61" s="176"/>
      <c r="B61" s="177" t="s">
        <v>1491</v>
      </c>
      <c r="C61" s="178">
        <v>1</v>
      </c>
      <c r="D61" s="170" t="s">
        <v>1550</v>
      </c>
      <c r="E61" s="389">
        <v>2900000</v>
      </c>
      <c r="F61" s="180">
        <f t="shared" si="3"/>
        <v>2900000</v>
      </c>
      <c r="G61" s="163" t="s">
        <v>1506</v>
      </c>
      <c r="K61" s="27">
        <f t="shared" si="6"/>
        <v>2900000</v>
      </c>
    </row>
    <row r="62" spans="1:11" x14ac:dyDescent="0.25">
      <c r="A62" s="176"/>
      <c r="B62" s="177"/>
      <c r="C62" s="178"/>
      <c r="D62" s="170"/>
      <c r="E62" s="389"/>
      <c r="F62" s="180"/>
      <c r="G62" s="186"/>
    </row>
    <row r="63" spans="1:11" x14ac:dyDescent="0.25">
      <c r="A63" s="1944" t="s">
        <v>26</v>
      </c>
      <c r="B63" s="1945"/>
      <c r="C63" s="1945"/>
      <c r="D63" s="1945"/>
      <c r="E63" s="1946"/>
      <c r="F63" s="180">
        <f>SUM(F44:F62)</f>
        <v>1049635167</v>
      </c>
      <c r="G63" s="186"/>
    </row>
    <row r="64" spans="1:11" x14ac:dyDescent="0.25">
      <c r="A64" s="1926" t="s">
        <v>516</v>
      </c>
      <c r="B64" s="1926"/>
      <c r="C64" s="152" t="s">
        <v>27</v>
      </c>
      <c r="D64" s="1926" t="s">
        <v>3654</v>
      </c>
      <c r="E64" s="1926"/>
      <c r="F64" s="1926"/>
      <c r="G64" s="152"/>
    </row>
    <row r="65" spans="1:7" x14ac:dyDescent="0.25">
      <c r="A65" s="1926" t="s">
        <v>28</v>
      </c>
      <c r="B65" s="1926"/>
      <c r="C65" s="152"/>
      <c r="D65" s="1927" t="s">
        <v>3382</v>
      </c>
      <c r="E65" s="1927"/>
      <c r="F65" s="1927"/>
      <c r="G65" s="152"/>
    </row>
    <row r="66" spans="1:7" x14ac:dyDescent="0.25">
      <c r="A66" s="150"/>
      <c r="B66" s="151"/>
      <c r="C66" s="152"/>
      <c r="D66" s="153"/>
      <c r="E66" s="1770"/>
      <c r="F66" s="182"/>
      <c r="G66" s="152"/>
    </row>
    <row r="67" spans="1:7" x14ac:dyDescent="0.25">
      <c r="A67" s="150"/>
      <c r="B67" s="151"/>
      <c r="C67" s="152"/>
      <c r="D67" s="153"/>
      <c r="E67" s="1770"/>
      <c r="F67" s="182"/>
      <c r="G67" s="152"/>
    </row>
    <row r="68" spans="1:7" x14ac:dyDescent="0.25">
      <c r="A68" s="1926"/>
      <c r="B68" s="1926"/>
      <c r="C68" s="152"/>
      <c r="D68" s="153"/>
      <c r="E68" s="1926"/>
      <c r="F68" s="1926"/>
      <c r="G68" s="152"/>
    </row>
    <row r="69" spans="1:7" x14ac:dyDescent="0.25">
      <c r="A69" s="1926" t="s">
        <v>29</v>
      </c>
      <c r="B69" s="1926"/>
      <c r="C69" s="152"/>
      <c r="D69" s="1926" t="s">
        <v>3383</v>
      </c>
      <c r="E69" s="1926"/>
      <c r="F69" s="1926"/>
      <c r="G69" s="152"/>
    </row>
    <row r="73" spans="1:7" x14ac:dyDescent="0.25">
      <c r="A73" s="1947" t="s">
        <v>0</v>
      </c>
      <c r="B73" s="1947"/>
      <c r="C73" s="1947"/>
      <c r="D73" s="1947"/>
      <c r="E73" s="1947"/>
      <c r="F73" s="1947"/>
      <c r="G73" s="1947"/>
    </row>
    <row r="74" spans="1:7" x14ac:dyDescent="0.25">
      <c r="A74" s="1947" t="s">
        <v>1</v>
      </c>
      <c r="B74" s="1947"/>
      <c r="C74" s="1947"/>
      <c r="D74" s="1947"/>
      <c r="E74" s="1947"/>
      <c r="F74" s="1947"/>
      <c r="G74" s="1947"/>
    </row>
    <row r="75" spans="1:7" x14ac:dyDescent="0.25">
      <c r="A75" s="1947" t="s">
        <v>2398</v>
      </c>
      <c r="B75" s="1947"/>
      <c r="C75" s="1947"/>
      <c r="D75" s="1947"/>
      <c r="E75" s="1947"/>
      <c r="F75" s="1947"/>
      <c r="G75" s="1947"/>
    </row>
    <row r="76" spans="1:7" x14ac:dyDescent="0.25">
      <c r="A76" s="148"/>
      <c r="B76" s="148"/>
      <c r="C76" s="148"/>
      <c r="D76" s="148"/>
      <c r="E76" s="1764"/>
      <c r="F76" s="148"/>
      <c r="G76" s="187"/>
    </row>
    <row r="77" spans="1:7" x14ac:dyDescent="0.25">
      <c r="A77" s="188" t="s">
        <v>2</v>
      </c>
      <c r="B77" s="1951" t="s">
        <v>56</v>
      </c>
      <c r="C77" s="1951"/>
      <c r="D77" s="1951"/>
      <c r="E77" s="1765"/>
      <c r="F77" s="155"/>
      <c r="G77" s="187"/>
    </row>
    <row r="78" spans="1:7" ht="51" x14ac:dyDescent="0.25">
      <c r="A78" s="188" t="s">
        <v>4</v>
      </c>
      <c r="B78" s="189" t="s">
        <v>57</v>
      </c>
      <c r="C78" s="189"/>
      <c r="D78" s="189"/>
      <c r="E78" s="528" t="s">
        <v>6</v>
      </c>
      <c r="F78" s="157"/>
      <c r="G78" s="187"/>
    </row>
    <row r="79" spans="1:7" ht="38.25" x14ac:dyDescent="0.25">
      <c r="A79" s="188" t="s">
        <v>7</v>
      </c>
      <c r="B79" s="189" t="s">
        <v>58</v>
      </c>
      <c r="C79" s="189"/>
      <c r="D79" s="189"/>
      <c r="E79" s="1766" t="s">
        <v>9</v>
      </c>
      <c r="F79" s="159"/>
      <c r="G79" s="187"/>
    </row>
    <row r="80" spans="1:7" x14ac:dyDescent="0.25">
      <c r="A80" s="190" t="s">
        <v>59</v>
      </c>
      <c r="B80" s="190" t="s">
        <v>60</v>
      </c>
      <c r="C80" s="190"/>
      <c r="D80" s="152"/>
      <c r="E80" s="1772"/>
      <c r="F80" s="192"/>
    </row>
    <row r="81" spans="1:11" x14ac:dyDescent="0.25">
      <c r="A81" s="190" t="s">
        <v>61</v>
      </c>
      <c r="B81" s="190" t="s">
        <v>62</v>
      </c>
      <c r="C81" s="190"/>
      <c r="D81" s="1952"/>
      <c r="E81" s="1952"/>
      <c r="F81" s="152"/>
    </row>
    <row r="82" spans="1:11" x14ac:dyDescent="0.25">
      <c r="A82" s="161" t="s">
        <v>30</v>
      </c>
      <c r="B82" s="162" t="s">
        <v>31</v>
      </c>
      <c r="C82" s="1931" t="s">
        <v>12</v>
      </c>
      <c r="D82" s="1932"/>
      <c r="E82" s="1767" t="s">
        <v>32</v>
      </c>
      <c r="F82" s="161" t="s">
        <v>33</v>
      </c>
      <c r="G82" s="161" t="s">
        <v>34</v>
      </c>
    </row>
    <row r="83" spans="1:11" x14ac:dyDescent="0.25">
      <c r="A83" s="164">
        <v>1</v>
      </c>
      <c r="B83" s="164">
        <v>2</v>
      </c>
      <c r="C83" s="1943">
        <v>3</v>
      </c>
      <c r="D83" s="1943"/>
      <c r="E83" s="1768">
        <v>4</v>
      </c>
      <c r="F83" s="166">
        <v>5</v>
      </c>
      <c r="G83" s="166">
        <v>6</v>
      </c>
    </row>
    <row r="84" spans="1:11" x14ac:dyDescent="0.25">
      <c r="A84" s="167" t="s">
        <v>63</v>
      </c>
      <c r="B84" s="168" t="s">
        <v>64</v>
      </c>
      <c r="C84" s="169"/>
      <c r="D84" s="170"/>
      <c r="E84" s="645"/>
      <c r="F84" s="178"/>
      <c r="G84" s="161"/>
    </row>
    <row r="85" spans="1:11" ht="24.75" x14ac:dyDescent="0.25">
      <c r="A85" s="167" t="s">
        <v>65</v>
      </c>
      <c r="B85" s="177" t="s">
        <v>66</v>
      </c>
      <c r="C85" s="178"/>
      <c r="D85" s="170"/>
      <c r="E85" s="389"/>
      <c r="F85" s="180"/>
      <c r="G85" s="163"/>
    </row>
    <row r="86" spans="1:11" x14ac:dyDescent="0.25">
      <c r="A86" s="167" t="s">
        <v>67</v>
      </c>
      <c r="B86" s="177" t="s">
        <v>68</v>
      </c>
      <c r="C86" s="178">
        <v>12</v>
      </c>
      <c r="D86" s="170" t="s">
        <v>21</v>
      </c>
      <c r="E86" s="389">
        <v>55000</v>
      </c>
      <c r="F86" s="180">
        <f>E86*C86</f>
        <v>660000</v>
      </c>
      <c r="G86" s="163" t="s">
        <v>1220</v>
      </c>
      <c r="H86" s="27">
        <f>SUM(F86:F91)</f>
        <v>6924833</v>
      </c>
      <c r="J86" s="27">
        <f>F86</f>
        <v>660000</v>
      </c>
    </row>
    <row r="87" spans="1:11" x14ac:dyDescent="0.25">
      <c r="A87" s="167" t="s">
        <v>69</v>
      </c>
      <c r="B87" s="177" t="s">
        <v>70</v>
      </c>
      <c r="C87" s="178"/>
      <c r="D87" s="170"/>
      <c r="E87" s="389"/>
      <c r="F87" s="180"/>
      <c r="G87" s="163"/>
      <c r="J87" s="27">
        <f t="shared" ref="J87:J91" si="7">F87</f>
        <v>0</v>
      </c>
    </row>
    <row r="88" spans="1:11" x14ac:dyDescent="0.25">
      <c r="A88" s="193"/>
      <c r="B88" s="177" t="s">
        <v>71</v>
      </c>
      <c r="C88" s="178">
        <v>12</v>
      </c>
      <c r="D88" s="170" t="s">
        <v>21</v>
      </c>
      <c r="E88" s="389">
        <v>35000</v>
      </c>
      <c r="F88" s="180">
        <f>E88*C88</f>
        <v>420000</v>
      </c>
      <c r="G88" s="163" t="s">
        <v>1220</v>
      </c>
      <c r="J88" s="27">
        <f t="shared" si="7"/>
        <v>420000</v>
      </c>
    </row>
    <row r="89" spans="1:11" ht="24.75" x14ac:dyDescent="0.25">
      <c r="A89" s="193"/>
      <c r="B89" s="177" t="s">
        <v>72</v>
      </c>
      <c r="C89" s="178">
        <v>72</v>
      </c>
      <c r="D89" s="170" t="s">
        <v>21</v>
      </c>
      <c r="E89" s="1879">
        <v>34999</v>
      </c>
      <c r="F89" s="180">
        <f>E89*C89</f>
        <v>2519928</v>
      </c>
      <c r="G89" s="163" t="s">
        <v>1220</v>
      </c>
      <c r="J89" s="27">
        <f t="shared" si="7"/>
        <v>2519928</v>
      </c>
    </row>
    <row r="90" spans="1:11" x14ac:dyDescent="0.25">
      <c r="A90" s="193"/>
      <c r="B90" s="177" t="s">
        <v>3554</v>
      </c>
      <c r="C90" s="178">
        <f>7*12</f>
        <v>84</v>
      </c>
      <c r="D90" s="170" t="s">
        <v>21</v>
      </c>
      <c r="E90" s="1879">
        <v>34999</v>
      </c>
      <c r="F90" s="180">
        <f>E90*C90</f>
        <v>2939916</v>
      </c>
      <c r="G90" s="163" t="s">
        <v>1220</v>
      </c>
      <c r="J90" s="27">
        <f t="shared" si="7"/>
        <v>2939916</v>
      </c>
    </row>
    <row r="91" spans="1:11" x14ac:dyDescent="0.25">
      <c r="A91" s="193"/>
      <c r="B91" s="177" t="s">
        <v>3552</v>
      </c>
      <c r="C91" s="178">
        <v>11</v>
      </c>
      <c r="D91" s="170" t="s">
        <v>21</v>
      </c>
      <c r="E91" s="1879">
        <v>34999</v>
      </c>
      <c r="F91" s="180">
        <f>E91*C91</f>
        <v>384989</v>
      </c>
      <c r="G91" s="163" t="s">
        <v>1220</v>
      </c>
      <c r="J91" s="27">
        <f t="shared" si="7"/>
        <v>384989</v>
      </c>
    </row>
    <row r="92" spans="1:11" x14ac:dyDescent="0.25">
      <c r="A92" s="176" t="s">
        <v>73</v>
      </c>
      <c r="B92" s="177" t="s">
        <v>74</v>
      </c>
      <c r="C92" s="178">
        <v>12</v>
      </c>
      <c r="D92" s="170" t="s">
        <v>21</v>
      </c>
      <c r="E92" s="389">
        <v>886080</v>
      </c>
      <c r="F92" s="180">
        <f>E92*C92</f>
        <v>10632960</v>
      </c>
      <c r="G92" s="163" t="s">
        <v>1506</v>
      </c>
      <c r="K92" s="27">
        <f>F92</f>
        <v>10632960</v>
      </c>
    </row>
    <row r="93" spans="1:11" x14ac:dyDescent="0.25">
      <c r="A93" s="176" t="s">
        <v>75</v>
      </c>
      <c r="B93" s="177" t="s">
        <v>76</v>
      </c>
      <c r="C93" s="178"/>
      <c r="D93" s="170"/>
      <c r="E93" s="1773"/>
      <c r="F93" s="180"/>
      <c r="G93" s="163"/>
    </row>
    <row r="94" spans="1:11" x14ac:dyDescent="0.25">
      <c r="A94" s="176"/>
      <c r="B94" s="177" t="s">
        <v>77</v>
      </c>
      <c r="C94" s="178">
        <v>12</v>
      </c>
      <c r="D94" s="170" t="s">
        <v>21</v>
      </c>
      <c r="E94" s="389">
        <v>499200</v>
      </c>
      <c r="F94" s="180">
        <f>E94*C94</f>
        <v>5990400</v>
      </c>
      <c r="G94" s="186" t="s">
        <v>1506</v>
      </c>
      <c r="K94" s="27">
        <f>F94</f>
        <v>5990400</v>
      </c>
    </row>
    <row r="95" spans="1:11" ht="24.75" x14ac:dyDescent="0.25">
      <c r="A95" s="176"/>
      <c r="B95" s="177" t="s">
        <v>78</v>
      </c>
      <c r="C95" s="178">
        <v>72</v>
      </c>
      <c r="D95" s="170" t="s">
        <v>21</v>
      </c>
      <c r="E95" s="1774">
        <v>336960</v>
      </c>
      <c r="F95" s="180">
        <f>E95*C95</f>
        <v>24261120</v>
      </c>
      <c r="G95" s="186" t="s">
        <v>1506</v>
      </c>
      <c r="H95" s="68"/>
      <c r="K95" s="27">
        <f t="shared" ref="K95:K96" si="8">F95</f>
        <v>24261120</v>
      </c>
    </row>
    <row r="96" spans="1:11" ht="24.75" x14ac:dyDescent="0.25">
      <c r="A96" s="193"/>
      <c r="B96" s="177" t="s">
        <v>79</v>
      </c>
      <c r="C96" s="178">
        <v>96</v>
      </c>
      <c r="D96" s="170" t="s">
        <v>21</v>
      </c>
      <c r="E96" s="389">
        <v>312000</v>
      </c>
      <c r="F96" s="180">
        <f>E96*C96</f>
        <v>29952000</v>
      </c>
      <c r="G96" s="186" t="s">
        <v>1506</v>
      </c>
      <c r="H96" s="23"/>
      <c r="K96" s="27">
        <f t="shared" si="8"/>
        <v>29952000</v>
      </c>
    </row>
    <row r="97" spans="1:13" x14ac:dyDescent="0.25">
      <c r="A97" s="193"/>
      <c r="B97" s="177"/>
      <c r="C97" s="178"/>
      <c r="D97" s="170"/>
      <c r="E97" s="389"/>
      <c r="F97" s="180"/>
      <c r="G97" s="186"/>
      <c r="H97" s="23"/>
    </row>
    <row r="98" spans="1:13" x14ac:dyDescent="0.25">
      <c r="A98" s="1944" t="s">
        <v>26</v>
      </c>
      <c r="B98" s="1945"/>
      <c r="C98" s="1945"/>
      <c r="D98" s="1945"/>
      <c r="E98" s="1946"/>
      <c r="F98" s="180">
        <f>SUM(F86:F97)</f>
        <v>77761313</v>
      </c>
      <c r="G98" s="186"/>
      <c r="K98" s="27"/>
    </row>
    <row r="99" spans="1:13" x14ac:dyDescent="0.25">
      <c r="A99" s="1926" t="s">
        <v>516</v>
      </c>
      <c r="B99" s="1926"/>
      <c r="C99" s="152" t="s">
        <v>27</v>
      </c>
      <c r="D99" s="1926" t="s">
        <v>3654</v>
      </c>
      <c r="E99" s="1926"/>
      <c r="F99" s="1926"/>
      <c r="G99" s="152"/>
    </row>
    <row r="100" spans="1:13" x14ac:dyDescent="0.25">
      <c r="A100" s="1926" t="s">
        <v>28</v>
      </c>
      <c r="B100" s="1926"/>
      <c r="C100" s="152"/>
      <c r="D100" s="1927" t="s">
        <v>3382</v>
      </c>
      <c r="E100" s="1927"/>
      <c r="F100" s="1927"/>
      <c r="G100" s="152"/>
    </row>
    <row r="101" spans="1:13" x14ac:dyDescent="0.25">
      <c r="A101" s="150"/>
      <c r="B101" s="151"/>
      <c r="C101" s="152"/>
      <c r="D101" s="153"/>
      <c r="E101" s="1770"/>
      <c r="F101" s="182"/>
      <c r="G101" s="152"/>
    </row>
    <row r="102" spans="1:13" x14ac:dyDescent="0.25">
      <c r="A102" s="150"/>
      <c r="B102" s="151"/>
      <c r="C102" s="152"/>
      <c r="D102" s="153"/>
      <c r="E102" s="1770"/>
      <c r="F102" s="182"/>
      <c r="G102" s="152"/>
    </row>
    <row r="103" spans="1:13" x14ac:dyDescent="0.25">
      <c r="A103" s="1926"/>
      <c r="B103" s="1926"/>
      <c r="C103" s="152"/>
      <c r="D103" s="153"/>
      <c r="E103" s="1926"/>
      <c r="F103" s="1926"/>
      <c r="G103" s="152"/>
    </row>
    <row r="104" spans="1:13" x14ac:dyDescent="0.25">
      <c r="A104" s="1926" t="s">
        <v>29</v>
      </c>
      <c r="B104" s="1926"/>
      <c r="C104" s="152"/>
      <c r="D104" s="1926" t="s">
        <v>3383</v>
      </c>
      <c r="E104" s="1926"/>
      <c r="F104" s="1926"/>
      <c r="G104" s="152"/>
    </row>
    <row r="106" spans="1:13" x14ac:dyDescent="0.25">
      <c r="B106" s="68">
        <f>1600000*364</f>
        <v>582400000</v>
      </c>
    </row>
    <row r="107" spans="1:13" x14ac:dyDescent="0.25">
      <c r="A107" s="1947" t="s">
        <v>0</v>
      </c>
      <c r="B107" s="1947"/>
      <c r="C107" s="1947"/>
      <c r="D107" s="1947"/>
      <c r="E107" s="1947"/>
      <c r="F107" s="1947"/>
      <c r="G107" s="1947"/>
      <c r="H107" s="149"/>
      <c r="I107" s="149"/>
      <c r="J107" s="149"/>
      <c r="K107" s="149"/>
      <c r="L107" s="149"/>
      <c r="M107" s="149"/>
    </row>
    <row r="108" spans="1:13" x14ac:dyDescent="0.25">
      <c r="A108" s="1947" t="s">
        <v>1</v>
      </c>
      <c r="B108" s="1947"/>
      <c r="C108" s="1947"/>
      <c r="D108" s="1947"/>
      <c r="E108" s="1947"/>
      <c r="F108" s="1947"/>
      <c r="G108" s="1947"/>
      <c r="H108" s="149"/>
      <c r="I108" s="149"/>
      <c r="J108" s="149"/>
      <c r="K108" s="149"/>
      <c r="L108" s="149"/>
      <c r="M108" s="149"/>
    </row>
    <row r="109" spans="1:13" x14ac:dyDescent="0.25">
      <c r="A109" s="1947" t="s">
        <v>2398</v>
      </c>
      <c r="B109" s="1947"/>
      <c r="C109" s="1947"/>
      <c r="D109" s="1947"/>
      <c r="E109" s="1947"/>
      <c r="F109" s="1947"/>
      <c r="G109" s="1947"/>
      <c r="H109" s="149"/>
      <c r="I109" s="149"/>
      <c r="J109" s="149"/>
      <c r="K109" s="149"/>
      <c r="L109" s="149"/>
      <c r="M109" s="149"/>
    </row>
    <row r="110" spans="1:13" x14ac:dyDescent="0.25">
      <c r="A110" s="148"/>
      <c r="B110" s="148"/>
      <c r="C110" s="148"/>
      <c r="D110" s="148"/>
      <c r="E110" s="1764"/>
      <c r="F110" s="148"/>
      <c r="G110" s="149"/>
      <c r="H110" s="149"/>
      <c r="I110" s="149"/>
      <c r="J110" s="149"/>
      <c r="K110" s="149"/>
      <c r="L110" s="149"/>
      <c r="M110" s="149"/>
    </row>
    <row r="111" spans="1:13" x14ac:dyDescent="0.25">
      <c r="A111" s="150" t="s">
        <v>2</v>
      </c>
      <c r="B111" s="151" t="s">
        <v>3</v>
      </c>
      <c r="C111" s="152"/>
      <c r="D111" s="153"/>
      <c r="E111" s="528" t="s">
        <v>6</v>
      </c>
      <c r="F111" s="155"/>
      <c r="G111" s="152"/>
      <c r="H111" s="152"/>
      <c r="I111" s="152"/>
      <c r="J111" s="152"/>
      <c r="K111" s="152"/>
      <c r="L111" s="152"/>
      <c r="M111" s="152"/>
    </row>
    <row r="112" spans="1:13" ht="36.75" x14ac:dyDescent="0.25">
      <c r="A112" s="156" t="s">
        <v>4</v>
      </c>
      <c r="B112" s="151" t="s">
        <v>5</v>
      </c>
      <c r="C112" s="152"/>
      <c r="D112" s="153"/>
      <c r="E112" s="1766" t="s">
        <v>9</v>
      </c>
      <c r="F112" s="155"/>
      <c r="G112" s="152"/>
      <c r="H112" s="152"/>
      <c r="I112" s="152"/>
      <c r="J112" s="157"/>
      <c r="K112" s="152"/>
      <c r="L112" s="152"/>
      <c r="M112" s="152"/>
    </row>
    <row r="113" spans="1:16" ht="24" x14ac:dyDescent="0.25">
      <c r="A113" s="156" t="s">
        <v>7</v>
      </c>
      <c r="B113" s="196" t="s">
        <v>80</v>
      </c>
      <c r="C113" s="152"/>
      <c r="D113" s="153"/>
      <c r="E113" s="1766"/>
      <c r="F113" s="160"/>
      <c r="G113" s="152"/>
      <c r="H113" s="152"/>
      <c r="I113" s="152"/>
      <c r="J113" s="159"/>
      <c r="K113" s="152"/>
      <c r="L113" s="152"/>
      <c r="M113" s="152"/>
    </row>
    <row r="114" spans="1:16" x14ac:dyDescent="0.25">
      <c r="A114" s="156" t="s">
        <v>235</v>
      </c>
      <c r="B114" s="151"/>
      <c r="C114" s="152"/>
      <c r="D114" s="153"/>
      <c r="E114" s="1765"/>
      <c r="F114" s="155"/>
      <c r="G114" s="152"/>
      <c r="H114" s="152"/>
      <c r="I114" s="152"/>
      <c r="J114" s="152"/>
      <c r="K114" s="152"/>
      <c r="L114" s="152"/>
      <c r="M114" s="152"/>
    </row>
    <row r="115" spans="1:16" x14ac:dyDescent="0.25">
      <c r="A115" s="156" t="s">
        <v>10</v>
      </c>
      <c r="B115" s="151"/>
      <c r="C115" s="152"/>
      <c r="D115" s="153"/>
      <c r="E115" s="1765"/>
      <c r="F115" s="155"/>
      <c r="G115" s="152"/>
      <c r="H115" s="152"/>
      <c r="I115" s="152"/>
      <c r="J115" s="152"/>
      <c r="K115" s="152"/>
      <c r="L115" s="152"/>
      <c r="M115" s="152"/>
    </row>
    <row r="116" spans="1:16" x14ac:dyDescent="0.25">
      <c r="A116" s="161" t="s">
        <v>30</v>
      </c>
      <c r="B116" s="162" t="s">
        <v>31</v>
      </c>
      <c r="C116" s="1931" t="s">
        <v>12</v>
      </c>
      <c r="D116" s="1932"/>
      <c r="E116" s="1767" t="s">
        <v>32</v>
      </c>
      <c r="F116" s="161" t="s">
        <v>33</v>
      </c>
      <c r="G116" s="161" t="s">
        <v>34</v>
      </c>
    </row>
    <row r="117" spans="1:16" x14ac:dyDescent="0.25">
      <c r="A117" s="164">
        <v>1</v>
      </c>
      <c r="B117" s="164">
        <v>2</v>
      </c>
      <c r="C117" s="1943">
        <v>3</v>
      </c>
      <c r="D117" s="1943"/>
      <c r="E117" s="1768">
        <v>4</v>
      </c>
      <c r="F117" s="166">
        <v>5</v>
      </c>
      <c r="G117" s="520">
        <v>6</v>
      </c>
    </row>
    <row r="118" spans="1:16" x14ac:dyDescent="0.25">
      <c r="A118" s="167" t="s">
        <v>81</v>
      </c>
      <c r="B118" s="168" t="s">
        <v>82</v>
      </c>
      <c r="C118" s="169"/>
      <c r="D118" s="170"/>
      <c r="E118" s="1769"/>
      <c r="F118" s="172"/>
      <c r="G118" s="161"/>
      <c r="H118" s="153"/>
      <c r="I118" s="153"/>
      <c r="J118" s="153"/>
      <c r="K118" s="153"/>
      <c r="L118" s="153"/>
      <c r="M118" s="153"/>
    </row>
    <row r="119" spans="1:16" x14ac:dyDescent="0.25">
      <c r="A119" s="167" t="s">
        <v>83</v>
      </c>
      <c r="B119" s="177" t="s">
        <v>84</v>
      </c>
      <c r="C119" s="178"/>
      <c r="D119" s="170"/>
      <c r="E119" s="1776"/>
      <c r="F119" s="206"/>
      <c r="G119" s="163"/>
      <c r="H119" s="223"/>
      <c r="I119" s="223"/>
      <c r="J119" s="223"/>
      <c r="K119" s="223"/>
      <c r="L119" s="223"/>
      <c r="M119" s="223"/>
    </row>
    <row r="120" spans="1:16" ht="24.75" x14ac:dyDescent="0.25">
      <c r="A120" s="167" t="s">
        <v>85</v>
      </c>
      <c r="B120" s="197" t="s">
        <v>86</v>
      </c>
      <c r="C120" s="198"/>
      <c r="D120" s="199"/>
      <c r="E120" s="1776"/>
      <c r="F120" s="206"/>
      <c r="G120" s="163"/>
      <c r="H120" s="223"/>
      <c r="I120" s="223"/>
      <c r="J120" s="223"/>
      <c r="K120" s="223"/>
      <c r="L120" s="223"/>
      <c r="M120" s="223"/>
    </row>
    <row r="121" spans="1:16" x14ac:dyDescent="0.25">
      <c r="A121" s="176"/>
      <c r="B121" s="177" t="s">
        <v>2606</v>
      </c>
      <c r="C121" s="178">
        <v>60</v>
      </c>
      <c r="D121" s="170" t="s">
        <v>87</v>
      </c>
      <c r="E121" s="214">
        <v>70000</v>
      </c>
      <c r="F121" s="180">
        <f>E121*C121</f>
        <v>4200000</v>
      </c>
      <c r="G121" s="163" t="s">
        <v>1220</v>
      </c>
      <c r="H121" s="153"/>
      <c r="I121" s="224"/>
      <c r="J121" s="224">
        <f>F121</f>
        <v>4200000</v>
      </c>
      <c r="K121" s="914"/>
      <c r="L121" s="223"/>
      <c r="M121" s="223"/>
      <c r="P121" s="27"/>
    </row>
    <row r="122" spans="1:16" x14ac:dyDescent="0.25">
      <c r="A122" s="176"/>
      <c r="B122" s="177" t="s">
        <v>2607</v>
      </c>
      <c r="C122" s="178">
        <v>120</v>
      </c>
      <c r="D122" s="170" t="s">
        <v>87</v>
      </c>
      <c r="E122" s="214">
        <v>61000</v>
      </c>
      <c r="F122" s="180">
        <f>E122*C122</f>
        <v>7320000</v>
      </c>
      <c r="G122" s="163" t="s">
        <v>1220</v>
      </c>
      <c r="H122" s="153"/>
      <c r="I122" s="224"/>
      <c r="J122" s="224">
        <f t="shared" ref="J122:J185" si="9">F122</f>
        <v>7320000</v>
      </c>
      <c r="K122" s="914"/>
      <c r="L122" s="223"/>
      <c r="M122" s="223"/>
      <c r="P122" s="27"/>
    </row>
    <row r="123" spans="1:16" x14ac:dyDescent="0.25">
      <c r="A123" s="176"/>
      <c r="B123" s="177" t="s">
        <v>88</v>
      </c>
      <c r="C123" s="178">
        <v>8</v>
      </c>
      <c r="D123" s="170" t="s">
        <v>89</v>
      </c>
      <c r="E123" s="214">
        <v>55000</v>
      </c>
      <c r="F123" s="180">
        <f t="shared" ref="F123:F182" si="10">E123*C123</f>
        <v>440000</v>
      </c>
      <c r="G123" s="163" t="s">
        <v>1220</v>
      </c>
      <c r="H123" s="153"/>
      <c r="I123" s="224"/>
      <c r="J123" s="224">
        <f t="shared" si="9"/>
        <v>440000</v>
      </c>
      <c r="K123" s="914"/>
      <c r="L123" s="223"/>
      <c r="M123" s="223"/>
      <c r="P123" s="27"/>
    </row>
    <row r="124" spans="1:16" x14ac:dyDescent="0.25">
      <c r="A124" s="176"/>
      <c r="B124" s="177" t="s">
        <v>2608</v>
      </c>
      <c r="C124" s="178">
        <v>6</v>
      </c>
      <c r="D124" s="170" t="s">
        <v>89</v>
      </c>
      <c r="E124" s="214">
        <v>109000</v>
      </c>
      <c r="F124" s="180">
        <f t="shared" si="10"/>
        <v>654000</v>
      </c>
      <c r="G124" s="163" t="s">
        <v>1220</v>
      </c>
      <c r="H124" s="153"/>
      <c r="I124" s="224"/>
      <c r="J124" s="224">
        <f t="shared" si="9"/>
        <v>654000</v>
      </c>
      <c r="K124" s="914"/>
      <c r="L124" s="223"/>
      <c r="M124" s="223"/>
      <c r="P124" s="27"/>
    </row>
    <row r="125" spans="1:16" x14ac:dyDescent="0.25">
      <c r="A125" s="176"/>
      <c r="B125" s="201" t="s">
        <v>1613</v>
      </c>
      <c r="C125" s="178">
        <v>8</v>
      </c>
      <c r="D125" s="170" t="s">
        <v>93</v>
      </c>
      <c r="E125" s="1774">
        <v>45000</v>
      </c>
      <c r="F125" s="180">
        <f t="shared" si="10"/>
        <v>360000</v>
      </c>
      <c r="G125" s="163" t="s">
        <v>1220</v>
      </c>
      <c r="H125" s="153"/>
      <c r="I125" s="915"/>
      <c r="J125" s="224">
        <f t="shared" si="9"/>
        <v>360000</v>
      </c>
      <c r="K125" s="914"/>
      <c r="L125" s="223"/>
      <c r="M125" s="223"/>
      <c r="P125" s="27"/>
    </row>
    <row r="126" spans="1:16" x14ac:dyDescent="0.25">
      <c r="A126" s="176"/>
      <c r="B126" s="201" t="s">
        <v>2609</v>
      </c>
      <c r="C126" s="172">
        <v>2</v>
      </c>
      <c r="D126" s="170" t="s">
        <v>93</v>
      </c>
      <c r="E126" s="1777">
        <v>94000</v>
      </c>
      <c r="F126" s="180">
        <f t="shared" si="10"/>
        <v>188000</v>
      </c>
      <c r="G126" s="163" t="s">
        <v>1220</v>
      </c>
      <c r="H126" s="153"/>
      <c r="I126" s="915"/>
      <c r="J126" s="224">
        <f t="shared" si="9"/>
        <v>188000</v>
      </c>
      <c r="K126" s="914"/>
      <c r="L126" s="223"/>
      <c r="M126" s="223"/>
      <c r="P126" s="27"/>
    </row>
    <row r="127" spans="1:16" x14ac:dyDescent="0.25">
      <c r="A127" s="176"/>
      <c r="B127" s="201" t="s">
        <v>2621</v>
      </c>
      <c r="C127" s="172">
        <v>1</v>
      </c>
      <c r="D127" s="170" t="s">
        <v>93</v>
      </c>
      <c r="E127" s="1777">
        <v>250000</v>
      </c>
      <c r="F127" s="180">
        <f t="shared" si="10"/>
        <v>250000</v>
      </c>
      <c r="G127" s="163" t="s">
        <v>1220</v>
      </c>
      <c r="H127" s="153"/>
      <c r="I127" s="915"/>
      <c r="J127" s="224">
        <f t="shared" si="9"/>
        <v>250000</v>
      </c>
      <c r="K127" s="914"/>
      <c r="L127" s="223"/>
      <c r="M127" s="223"/>
      <c r="P127" s="27"/>
    </row>
    <row r="128" spans="1:16" x14ac:dyDescent="0.25">
      <c r="A128" s="176"/>
      <c r="B128" s="177" t="s">
        <v>91</v>
      </c>
      <c r="C128" s="172">
        <v>30</v>
      </c>
      <c r="D128" s="170" t="s">
        <v>89</v>
      </c>
      <c r="E128" s="214">
        <v>76000</v>
      </c>
      <c r="F128" s="180">
        <f t="shared" si="10"/>
        <v>2280000</v>
      </c>
      <c r="G128" s="163" t="s">
        <v>1220</v>
      </c>
      <c r="H128" s="153"/>
      <c r="I128" s="224"/>
      <c r="J128" s="224">
        <f t="shared" si="9"/>
        <v>2280000</v>
      </c>
      <c r="K128" s="914"/>
      <c r="L128" s="223"/>
      <c r="M128" s="223"/>
      <c r="P128" s="27"/>
    </row>
    <row r="129" spans="1:16" x14ac:dyDescent="0.25">
      <c r="A129" s="176"/>
      <c r="B129" s="177" t="s">
        <v>2142</v>
      </c>
      <c r="C129" s="178">
        <v>10</v>
      </c>
      <c r="D129" s="170" t="s">
        <v>449</v>
      </c>
      <c r="E129" s="214">
        <v>6000</v>
      </c>
      <c r="F129" s="180">
        <f t="shared" si="10"/>
        <v>60000</v>
      </c>
      <c r="G129" s="163" t="s">
        <v>1220</v>
      </c>
      <c r="H129" s="153"/>
      <c r="I129" s="224"/>
      <c r="J129" s="224">
        <f t="shared" si="9"/>
        <v>60000</v>
      </c>
      <c r="K129" s="914"/>
      <c r="L129" s="223"/>
      <c r="M129" s="223"/>
      <c r="P129" s="27"/>
    </row>
    <row r="130" spans="1:16" x14ac:dyDescent="0.25">
      <c r="A130" s="176"/>
      <c r="B130" s="177" t="s">
        <v>2143</v>
      </c>
      <c r="C130" s="178">
        <v>30</v>
      </c>
      <c r="D130" s="170" t="s">
        <v>449</v>
      </c>
      <c r="E130" s="214">
        <v>11000</v>
      </c>
      <c r="F130" s="180">
        <f t="shared" si="10"/>
        <v>330000</v>
      </c>
      <c r="G130" s="163" t="s">
        <v>1220</v>
      </c>
      <c r="H130" s="153"/>
      <c r="I130" s="224"/>
      <c r="J130" s="224">
        <f t="shared" si="9"/>
        <v>330000</v>
      </c>
      <c r="K130" s="914"/>
      <c r="L130" s="223"/>
      <c r="M130" s="223"/>
      <c r="P130" s="27"/>
    </row>
    <row r="131" spans="1:16" x14ac:dyDescent="0.25">
      <c r="A131" s="167"/>
      <c r="B131" s="177" t="s">
        <v>2144</v>
      </c>
      <c r="C131" s="178">
        <v>10</v>
      </c>
      <c r="D131" s="170" t="s">
        <v>449</v>
      </c>
      <c r="E131" s="214">
        <v>19000</v>
      </c>
      <c r="F131" s="180">
        <f t="shared" si="10"/>
        <v>190000</v>
      </c>
      <c r="G131" s="163" t="s">
        <v>1220</v>
      </c>
      <c r="H131" s="153"/>
      <c r="I131" s="224"/>
      <c r="J131" s="224">
        <f t="shared" si="9"/>
        <v>190000</v>
      </c>
      <c r="K131" s="914"/>
      <c r="L131" s="223"/>
      <c r="M131" s="223"/>
      <c r="P131" s="27"/>
    </row>
    <row r="132" spans="1:16" x14ac:dyDescent="0.25">
      <c r="A132" s="167"/>
      <c r="B132" s="177" t="s">
        <v>2610</v>
      </c>
      <c r="C132" s="178">
        <v>10</v>
      </c>
      <c r="D132" s="170" t="s">
        <v>449</v>
      </c>
      <c r="E132" s="214">
        <v>21000</v>
      </c>
      <c r="F132" s="180">
        <f t="shared" ref="F132" si="11">E132*C132</f>
        <v>210000</v>
      </c>
      <c r="G132" s="163" t="s">
        <v>1220</v>
      </c>
      <c r="H132" s="153"/>
      <c r="I132" s="224"/>
      <c r="J132" s="224">
        <f t="shared" si="9"/>
        <v>210000</v>
      </c>
      <c r="K132" s="914"/>
      <c r="L132" s="223"/>
      <c r="M132" s="223"/>
      <c r="P132" s="27"/>
    </row>
    <row r="133" spans="1:16" x14ac:dyDescent="0.25">
      <c r="A133" s="176"/>
      <c r="B133" s="203" t="s">
        <v>92</v>
      </c>
      <c r="C133" s="178">
        <v>5</v>
      </c>
      <c r="D133" s="170" t="s">
        <v>90</v>
      </c>
      <c r="E133" s="214">
        <v>88000</v>
      </c>
      <c r="F133" s="180">
        <f t="shared" si="10"/>
        <v>440000</v>
      </c>
      <c r="G133" s="163" t="s">
        <v>1220</v>
      </c>
      <c r="H133" s="153"/>
      <c r="I133" s="224"/>
      <c r="J133" s="224">
        <f t="shared" si="9"/>
        <v>440000</v>
      </c>
      <c r="K133" s="914"/>
      <c r="L133" s="223"/>
      <c r="M133" s="223"/>
      <c r="P133" s="27"/>
    </row>
    <row r="134" spans="1:16" x14ac:dyDescent="0.25">
      <c r="A134" s="176"/>
      <c r="B134" s="177" t="s">
        <v>94</v>
      </c>
      <c r="C134" s="178">
        <v>120</v>
      </c>
      <c r="D134" s="170" t="s">
        <v>90</v>
      </c>
      <c r="E134" s="1777">
        <v>3000</v>
      </c>
      <c r="F134" s="180">
        <f t="shared" si="10"/>
        <v>360000</v>
      </c>
      <c r="G134" s="163" t="s">
        <v>1220</v>
      </c>
      <c r="H134" s="153"/>
      <c r="I134" s="916"/>
      <c r="J134" s="224">
        <f t="shared" si="9"/>
        <v>360000</v>
      </c>
      <c r="K134" s="914"/>
      <c r="L134" s="223"/>
      <c r="M134" s="223"/>
      <c r="N134" s="139"/>
      <c r="P134" s="27"/>
    </row>
    <row r="135" spans="1:16" x14ac:dyDescent="0.25">
      <c r="A135" s="176"/>
      <c r="B135" s="177" t="s">
        <v>95</v>
      </c>
      <c r="C135" s="178">
        <v>100</v>
      </c>
      <c r="D135" s="170" t="s">
        <v>93</v>
      </c>
      <c r="E135" s="1777">
        <v>29000</v>
      </c>
      <c r="F135" s="180">
        <f t="shared" si="10"/>
        <v>2900000</v>
      </c>
      <c r="G135" s="163" t="s">
        <v>1220</v>
      </c>
      <c r="H135" s="153"/>
      <c r="I135" s="916"/>
      <c r="J135" s="224">
        <f t="shared" si="9"/>
        <v>2900000</v>
      </c>
      <c r="K135" s="914"/>
      <c r="L135" s="223"/>
      <c r="M135" s="223"/>
      <c r="P135" s="27"/>
    </row>
    <row r="136" spans="1:16" x14ac:dyDescent="0.25">
      <c r="A136" s="176"/>
      <c r="B136" s="177" t="s">
        <v>2145</v>
      </c>
      <c r="C136" s="178">
        <v>1573</v>
      </c>
      <c r="D136" s="170" t="s">
        <v>93</v>
      </c>
      <c r="E136" s="214">
        <v>5000</v>
      </c>
      <c r="F136" s="180">
        <f t="shared" si="10"/>
        <v>7865000</v>
      </c>
      <c r="G136" s="163" t="s">
        <v>1220</v>
      </c>
      <c r="H136" s="153"/>
      <c r="I136" s="224"/>
      <c r="J136" s="224">
        <f t="shared" si="9"/>
        <v>7865000</v>
      </c>
      <c r="K136" s="914"/>
      <c r="L136" s="223"/>
      <c r="M136" s="223"/>
      <c r="P136" s="27"/>
    </row>
    <row r="137" spans="1:16" x14ac:dyDescent="0.25">
      <c r="A137" s="176"/>
      <c r="B137" s="177" t="s">
        <v>96</v>
      </c>
      <c r="C137" s="178">
        <v>10</v>
      </c>
      <c r="D137" s="170" t="s">
        <v>93</v>
      </c>
      <c r="E137" s="214">
        <v>8000</v>
      </c>
      <c r="F137" s="180">
        <f t="shared" si="10"/>
        <v>80000</v>
      </c>
      <c r="G137" s="163" t="s">
        <v>1220</v>
      </c>
      <c r="H137" s="153"/>
      <c r="I137" s="224"/>
      <c r="J137" s="224">
        <f t="shared" si="9"/>
        <v>80000</v>
      </c>
      <c r="K137" s="914"/>
      <c r="L137" s="223"/>
      <c r="M137" s="223"/>
      <c r="P137" s="27"/>
    </row>
    <row r="138" spans="1:16" x14ac:dyDescent="0.25">
      <c r="A138" s="167"/>
      <c r="B138" s="177" t="s">
        <v>97</v>
      </c>
      <c r="C138" s="178">
        <v>1000</v>
      </c>
      <c r="D138" s="170" t="s">
        <v>93</v>
      </c>
      <c r="E138" s="214">
        <v>11000</v>
      </c>
      <c r="F138" s="180">
        <f t="shared" si="10"/>
        <v>11000000</v>
      </c>
      <c r="G138" s="163" t="s">
        <v>1220</v>
      </c>
      <c r="H138" s="153"/>
      <c r="I138" s="224"/>
      <c r="J138" s="224">
        <f t="shared" si="9"/>
        <v>11000000</v>
      </c>
      <c r="K138" s="914"/>
      <c r="L138" s="223"/>
      <c r="M138" s="223"/>
      <c r="P138" s="27"/>
    </row>
    <row r="139" spans="1:16" x14ac:dyDescent="0.25">
      <c r="A139" s="167"/>
      <c r="B139" s="177" t="s">
        <v>2623</v>
      </c>
      <c r="C139" s="178">
        <v>20</v>
      </c>
      <c r="D139" s="170" t="s">
        <v>93</v>
      </c>
      <c r="E139" s="214">
        <v>20000</v>
      </c>
      <c r="F139" s="180">
        <f t="shared" si="10"/>
        <v>400000</v>
      </c>
      <c r="G139" s="163" t="s">
        <v>1220</v>
      </c>
      <c r="H139" s="153"/>
      <c r="I139" s="224"/>
      <c r="J139" s="224">
        <f t="shared" si="9"/>
        <v>400000</v>
      </c>
      <c r="K139" s="914"/>
      <c r="L139" s="223"/>
      <c r="M139" s="223"/>
      <c r="P139" s="27"/>
    </row>
    <row r="140" spans="1:16" x14ac:dyDescent="0.25">
      <c r="A140" s="167"/>
      <c r="B140" s="177" t="s">
        <v>3505</v>
      </c>
      <c r="C140" s="178">
        <v>4</v>
      </c>
      <c r="D140" s="170" t="s">
        <v>93</v>
      </c>
      <c r="E140" s="214">
        <v>150000</v>
      </c>
      <c r="F140" s="180">
        <f t="shared" si="10"/>
        <v>600000</v>
      </c>
      <c r="G140" s="163" t="s">
        <v>1220</v>
      </c>
      <c r="H140" s="153"/>
      <c r="I140" s="224"/>
      <c r="J140" s="224">
        <f t="shared" si="9"/>
        <v>600000</v>
      </c>
      <c r="K140" s="914"/>
      <c r="L140" s="223"/>
      <c r="M140" s="223"/>
      <c r="P140" s="27"/>
    </row>
    <row r="141" spans="1:16" x14ac:dyDescent="0.25">
      <c r="A141" s="167"/>
      <c r="B141" s="177" t="s">
        <v>2611</v>
      </c>
      <c r="C141" s="178">
        <v>2</v>
      </c>
      <c r="D141" s="170" t="s">
        <v>93</v>
      </c>
      <c r="E141" s="214">
        <v>41000</v>
      </c>
      <c r="F141" s="180">
        <f t="shared" si="10"/>
        <v>82000</v>
      </c>
      <c r="G141" s="163" t="s">
        <v>1220</v>
      </c>
      <c r="H141" s="153"/>
      <c r="I141" s="224"/>
      <c r="J141" s="224">
        <f t="shared" si="9"/>
        <v>82000</v>
      </c>
      <c r="K141" s="914"/>
      <c r="L141" s="223"/>
      <c r="M141" s="223"/>
      <c r="P141" s="27"/>
    </row>
    <row r="142" spans="1:16" x14ac:dyDescent="0.25">
      <c r="A142" s="167"/>
      <c r="B142" s="177" t="s">
        <v>2146</v>
      </c>
      <c r="C142" s="178">
        <v>6</v>
      </c>
      <c r="D142" s="170" t="s">
        <v>93</v>
      </c>
      <c r="E142" s="214">
        <v>39000</v>
      </c>
      <c r="F142" s="180">
        <f t="shared" si="10"/>
        <v>234000</v>
      </c>
      <c r="G142" s="163" t="s">
        <v>1220</v>
      </c>
      <c r="H142" s="153"/>
      <c r="I142" s="224"/>
      <c r="J142" s="224">
        <f t="shared" si="9"/>
        <v>234000</v>
      </c>
      <c r="K142" s="914"/>
      <c r="L142" s="223"/>
      <c r="M142" s="223"/>
      <c r="P142" s="27"/>
    </row>
    <row r="143" spans="1:16" x14ac:dyDescent="0.25">
      <c r="A143" s="167"/>
      <c r="B143" s="177" t="s">
        <v>98</v>
      </c>
      <c r="C143" s="178">
        <v>84</v>
      </c>
      <c r="D143" s="170" t="s">
        <v>93</v>
      </c>
      <c r="E143" s="214">
        <v>14000</v>
      </c>
      <c r="F143" s="180">
        <f t="shared" si="10"/>
        <v>1176000</v>
      </c>
      <c r="G143" s="163" t="s">
        <v>1220</v>
      </c>
      <c r="H143" s="153"/>
      <c r="I143" s="224"/>
      <c r="J143" s="224">
        <f t="shared" si="9"/>
        <v>1176000</v>
      </c>
      <c r="K143" s="914"/>
      <c r="L143" s="223"/>
      <c r="M143" s="223"/>
      <c r="P143" s="27"/>
    </row>
    <row r="144" spans="1:16" x14ac:dyDescent="0.25">
      <c r="A144" s="176"/>
      <c r="B144" s="177" t="s">
        <v>2147</v>
      </c>
      <c r="C144" s="178">
        <v>50</v>
      </c>
      <c r="D144" s="170" t="s">
        <v>99</v>
      </c>
      <c r="E144" s="214">
        <v>118000</v>
      </c>
      <c r="F144" s="180">
        <f t="shared" si="10"/>
        <v>5900000</v>
      </c>
      <c r="G144" s="163" t="s">
        <v>1220</v>
      </c>
      <c r="H144" s="153"/>
      <c r="I144" s="224"/>
      <c r="J144" s="224">
        <f t="shared" si="9"/>
        <v>5900000</v>
      </c>
      <c r="K144" s="914"/>
      <c r="L144" s="223"/>
      <c r="M144" s="223"/>
      <c r="P144" s="27"/>
    </row>
    <row r="145" spans="1:17" x14ac:dyDescent="0.25">
      <c r="A145" s="167"/>
      <c r="B145" s="177" t="s">
        <v>100</v>
      </c>
      <c r="C145" s="178">
        <v>20</v>
      </c>
      <c r="D145" s="170" t="s">
        <v>93</v>
      </c>
      <c r="E145" s="214">
        <v>25000</v>
      </c>
      <c r="F145" s="180">
        <f t="shared" si="10"/>
        <v>500000</v>
      </c>
      <c r="G145" s="163" t="s">
        <v>1220</v>
      </c>
      <c r="H145" s="153"/>
      <c r="I145" s="224"/>
      <c r="J145" s="224">
        <f t="shared" si="9"/>
        <v>500000</v>
      </c>
      <c r="K145" s="914"/>
      <c r="L145" s="223"/>
      <c r="M145" s="223"/>
      <c r="P145" s="27"/>
    </row>
    <row r="146" spans="1:17" x14ac:dyDescent="0.25">
      <c r="A146" s="167"/>
      <c r="B146" s="177" t="s">
        <v>101</v>
      </c>
      <c r="C146" s="178">
        <v>50</v>
      </c>
      <c r="D146" s="170" t="s">
        <v>93</v>
      </c>
      <c r="E146" s="214">
        <v>15000</v>
      </c>
      <c r="F146" s="180">
        <f t="shared" si="10"/>
        <v>750000</v>
      </c>
      <c r="G146" s="163" t="s">
        <v>1220</v>
      </c>
      <c r="H146" s="153"/>
      <c r="I146" s="224"/>
      <c r="J146" s="224">
        <f t="shared" si="9"/>
        <v>750000</v>
      </c>
      <c r="K146" s="914"/>
      <c r="L146" s="223"/>
      <c r="M146" s="223"/>
      <c r="P146" s="27"/>
    </row>
    <row r="147" spans="1:17" x14ac:dyDescent="0.25">
      <c r="A147" s="167"/>
      <c r="B147" s="177" t="s">
        <v>1492</v>
      </c>
      <c r="C147" s="178">
        <v>16</v>
      </c>
      <c r="D147" s="170" t="s">
        <v>93</v>
      </c>
      <c r="E147" s="214">
        <v>15000</v>
      </c>
      <c r="F147" s="180">
        <f t="shared" si="10"/>
        <v>240000</v>
      </c>
      <c r="G147" s="163" t="s">
        <v>1220</v>
      </c>
      <c r="H147" s="153"/>
      <c r="I147" s="224"/>
      <c r="J147" s="224">
        <f t="shared" si="9"/>
        <v>240000</v>
      </c>
      <c r="K147" s="914"/>
      <c r="L147" s="223"/>
      <c r="M147" s="223"/>
      <c r="P147" s="27"/>
    </row>
    <row r="148" spans="1:17" x14ac:dyDescent="0.25">
      <c r="A148" s="167"/>
      <c r="B148" s="177" t="s">
        <v>2148</v>
      </c>
      <c r="C148" s="178">
        <v>5</v>
      </c>
      <c r="D148" s="170" t="s">
        <v>474</v>
      </c>
      <c r="E148" s="214">
        <v>21000</v>
      </c>
      <c r="F148" s="180">
        <f t="shared" si="10"/>
        <v>105000</v>
      </c>
      <c r="G148" s="163" t="s">
        <v>1220</v>
      </c>
      <c r="H148" s="153"/>
      <c r="I148" s="224"/>
      <c r="J148" s="224">
        <f t="shared" si="9"/>
        <v>105000</v>
      </c>
      <c r="K148" s="914"/>
      <c r="L148" s="223"/>
      <c r="M148" s="223"/>
      <c r="P148" s="27"/>
    </row>
    <row r="149" spans="1:17" x14ac:dyDescent="0.25">
      <c r="A149" s="167"/>
      <c r="B149" s="177" t="s">
        <v>2149</v>
      </c>
      <c r="C149" s="178">
        <v>2</v>
      </c>
      <c r="D149" s="170" t="s">
        <v>93</v>
      </c>
      <c r="E149" s="214">
        <v>42000</v>
      </c>
      <c r="F149" s="180">
        <f t="shared" si="10"/>
        <v>84000</v>
      </c>
      <c r="G149" s="163" t="s">
        <v>1220</v>
      </c>
      <c r="H149" s="153"/>
      <c r="I149" s="224"/>
      <c r="J149" s="224">
        <f t="shared" si="9"/>
        <v>84000</v>
      </c>
      <c r="K149" s="914"/>
      <c r="L149" s="223"/>
      <c r="M149" s="223"/>
      <c r="P149" s="27"/>
    </row>
    <row r="150" spans="1:17" x14ac:dyDescent="0.25">
      <c r="A150" s="167"/>
      <c r="B150" s="177" t="s">
        <v>2150</v>
      </c>
      <c r="C150" s="178">
        <v>10</v>
      </c>
      <c r="D150" s="170" t="s">
        <v>474</v>
      </c>
      <c r="E150" s="214">
        <v>48000</v>
      </c>
      <c r="F150" s="180">
        <f t="shared" si="10"/>
        <v>480000</v>
      </c>
      <c r="G150" s="163" t="s">
        <v>1220</v>
      </c>
      <c r="H150" s="153"/>
      <c r="I150" s="224"/>
      <c r="J150" s="224">
        <f t="shared" si="9"/>
        <v>480000</v>
      </c>
      <c r="K150" s="914"/>
      <c r="L150" s="223"/>
      <c r="M150" s="223"/>
      <c r="P150" s="27"/>
    </row>
    <row r="151" spans="1:17" x14ac:dyDescent="0.25">
      <c r="A151" s="167"/>
      <c r="B151" s="177" t="s">
        <v>2612</v>
      </c>
      <c r="C151" s="178">
        <v>2</v>
      </c>
      <c r="D151" s="170" t="s">
        <v>102</v>
      </c>
      <c r="E151" s="214">
        <v>525000</v>
      </c>
      <c r="F151" s="180">
        <f t="shared" si="10"/>
        <v>1050000</v>
      </c>
      <c r="G151" s="163" t="s">
        <v>1220</v>
      </c>
      <c r="H151" s="153"/>
      <c r="I151" s="224"/>
      <c r="J151" s="224">
        <f t="shared" si="9"/>
        <v>1050000</v>
      </c>
      <c r="K151" s="914"/>
      <c r="L151" s="223"/>
      <c r="M151" s="223"/>
      <c r="P151" s="27"/>
    </row>
    <row r="152" spans="1:17" x14ac:dyDescent="0.25">
      <c r="A152" s="167"/>
      <c r="B152" s="177" t="s">
        <v>103</v>
      </c>
      <c r="C152" s="178">
        <v>19357</v>
      </c>
      <c r="D152" s="170" t="s">
        <v>104</v>
      </c>
      <c r="E152" s="214">
        <v>350</v>
      </c>
      <c r="F152" s="180">
        <f t="shared" si="10"/>
        <v>6774950</v>
      </c>
      <c r="G152" s="163" t="s">
        <v>1220</v>
      </c>
      <c r="H152" s="153"/>
      <c r="I152" s="224"/>
      <c r="J152" s="224">
        <f t="shared" si="9"/>
        <v>6774950</v>
      </c>
      <c r="K152" s="914"/>
      <c r="L152" s="223"/>
      <c r="M152" s="223"/>
      <c r="P152" s="27"/>
    </row>
    <row r="153" spans="1:17" x14ac:dyDescent="0.25">
      <c r="A153" s="167"/>
      <c r="B153" s="205" t="s">
        <v>1460</v>
      </c>
      <c r="C153" s="178">
        <v>1112</v>
      </c>
      <c r="D153" s="170" t="s">
        <v>106</v>
      </c>
      <c r="E153" s="214">
        <v>7000</v>
      </c>
      <c r="F153" s="180">
        <f t="shared" si="10"/>
        <v>7784000</v>
      </c>
      <c r="G153" s="163" t="s">
        <v>1220</v>
      </c>
      <c r="H153" s="153"/>
      <c r="I153" s="224"/>
      <c r="J153" s="224">
        <f t="shared" si="9"/>
        <v>7784000</v>
      </c>
      <c r="K153" s="914"/>
      <c r="L153" s="223"/>
      <c r="M153" s="223"/>
      <c r="P153" s="27"/>
    </row>
    <row r="154" spans="1:17" x14ac:dyDescent="0.25">
      <c r="A154" s="167"/>
      <c r="B154" s="177" t="s">
        <v>2151</v>
      </c>
      <c r="C154" s="178">
        <v>10</v>
      </c>
      <c r="D154" s="170" t="s">
        <v>106</v>
      </c>
      <c r="E154" s="214">
        <v>38000</v>
      </c>
      <c r="F154" s="180">
        <f t="shared" si="10"/>
        <v>380000</v>
      </c>
      <c r="G154" s="163" t="s">
        <v>1220</v>
      </c>
      <c r="H154" s="153"/>
      <c r="I154" s="224"/>
      <c r="J154" s="224">
        <f t="shared" si="9"/>
        <v>380000</v>
      </c>
      <c r="K154" s="914"/>
      <c r="L154" s="223"/>
      <c r="M154" s="223"/>
      <c r="P154" s="27"/>
    </row>
    <row r="155" spans="1:17" x14ac:dyDescent="0.25">
      <c r="A155" s="167"/>
      <c r="B155" s="177" t="s">
        <v>107</v>
      </c>
      <c r="C155" s="178">
        <v>2</v>
      </c>
      <c r="D155" s="170" t="s">
        <v>93</v>
      </c>
      <c r="E155" s="214">
        <v>286000</v>
      </c>
      <c r="F155" s="180">
        <f t="shared" si="10"/>
        <v>572000</v>
      </c>
      <c r="G155" s="163" t="s">
        <v>1220</v>
      </c>
      <c r="H155" s="153"/>
      <c r="I155" s="224"/>
      <c r="J155" s="224">
        <f t="shared" si="9"/>
        <v>572000</v>
      </c>
      <c r="K155" s="914"/>
      <c r="L155" s="223"/>
      <c r="M155" s="223"/>
      <c r="P155" s="27"/>
    </row>
    <row r="156" spans="1:17" x14ac:dyDescent="0.25">
      <c r="A156" s="167"/>
      <c r="B156" s="177" t="s">
        <v>2152</v>
      </c>
      <c r="C156" s="178">
        <v>2</v>
      </c>
      <c r="D156" s="170" t="s">
        <v>106</v>
      </c>
      <c r="E156" s="214">
        <v>187000</v>
      </c>
      <c r="F156" s="180">
        <f t="shared" si="10"/>
        <v>374000</v>
      </c>
      <c r="G156" s="163" t="s">
        <v>1220</v>
      </c>
      <c r="H156" s="153"/>
      <c r="I156" s="224"/>
      <c r="J156" s="224">
        <f t="shared" si="9"/>
        <v>374000</v>
      </c>
      <c r="K156" s="27"/>
      <c r="Q156" s="27"/>
    </row>
    <row r="157" spans="1:17" x14ac:dyDescent="0.25">
      <c r="A157" s="167"/>
      <c r="B157" s="177" t="s">
        <v>2613</v>
      </c>
      <c r="C157" s="178">
        <v>1</v>
      </c>
      <c r="D157" s="170" t="s">
        <v>106</v>
      </c>
      <c r="E157" s="214">
        <v>150000</v>
      </c>
      <c r="F157" s="180">
        <f t="shared" si="10"/>
        <v>150000</v>
      </c>
      <c r="G157" s="163" t="s">
        <v>1220</v>
      </c>
      <c r="H157" s="153"/>
      <c r="I157" s="224"/>
      <c r="J157" s="224">
        <f t="shared" si="9"/>
        <v>150000</v>
      </c>
      <c r="K157" s="27"/>
      <c r="Q157" s="27"/>
    </row>
    <row r="158" spans="1:17" x14ac:dyDescent="0.25">
      <c r="A158" s="167"/>
      <c r="B158" s="177" t="s">
        <v>2614</v>
      </c>
      <c r="C158" s="178">
        <v>12</v>
      </c>
      <c r="D158" s="170" t="s">
        <v>106</v>
      </c>
      <c r="E158" s="214">
        <v>4000</v>
      </c>
      <c r="F158" s="180">
        <f t="shared" si="10"/>
        <v>48000</v>
      </c>
      <c r="G158" s="163" t="s">
        <v>1220</v>
      </c>
      <c r="H158" s="153"/>
      <c r="I158" s="224"/>
      <c r="J158" s="224">
        <f t="shared" si="9"/>
        <v>48000</v>
      </c>
      <c r="K158" s="27"/>
      <c r="Q158" s="27"/>
    </row>
    <row r="159" spans="1:17" x14ac:dyDescent="0.25">
      <c r="A159" s="167"/>
      <c r="B159" s="177" t="s">
        <v>593</v>
      </c>
      <c r="C159" s="178">
        <v>5</v>
      </c>
      <c r="D159" s="170" t="s">
        <v>106</v>
      </c>
      <c r="E159" s="214">
        <v>30000</v>
      </c>
      <c r="F159" s="180">
        <f t="shared" si="10"/>
        <v>150000</v>
      </c>
      <c r="G159" s="163" t="s">
        <v>1220</v>
      </c>
      <c r="H159" s="153"/>
      <c r="I159" s="224"/>
      <c r="J159" s="224">
        <f t="shared" si="9"/>
        <v>150000</v>
      </c>
      <c r="K159" s="914"/>
      <c r="L159" s="223"/>
      <c r="M159" s="223"/>
      <c r="P159" s="27"/>
    </row>
    <row r="160" spans="1:17" x14ac:dyDescent="0.25">
      <c r="A160" s="167" t="s">
        <v>108</v>
      </c>
      <c r="B160" s="201" t="s">
        <v>109</v>
      </c>
      <c r="C160" s="206"/>
      <c r="D160" s="170"/>
      <c r="E160" s="214"/>
      <c r="F160" s="180"/>
      <c r="G160" s="181"/>
      <c r="H160" s="153"/>
      <c r="I160" s="223"/>
      <c r="J160" s="224"/>
      <c r="K160" s="914"/>
      <c r="L160" s="152"/>
      <c r="M160" s="152"/>
      <c r="P160" s="27"/>
    </row>
    <row r="161" spans="1:16" x14ac:dyDescent="0.25">
      <c r="A161" s="167"/>
      <c r="B161" s="177" t="s">
        <v>2615</v>
      </c>
      <c r="C161" s="178">
        <v>20</v>
      </c>
      <c r="D161" s="170" t="s">
        <v>93</v>
      </c>
      <c r="E161" s="1777">
        <v>47000</v>
      </c>
      <c r="F161" s="180">
        <f t="shared" si="10"/>
        <v>940000</v>
      </c>
      <c r="G161" s="163" t="s">
        <v>1220</v>
      </c>
      <c r="H161" s="1110"/>
      <c r="I161" s="915"/>
      <c r="J161" s="224">
        <f t="shared" si="9"/>
        <v>940000</v>
      </c>
      <c r="K161" s="914"/>
      <c r="L161" s="223"/>
      <c r="M161" s="223"/>
      <c r="P161" s="27"/>
    </row>
    <row r="162" spans="1:16" x14ac:dyDescent="0.25">
      <c r="A162" s="167"/>
      <c r="B162" s="177" t="s">
        <v>2616</v>
      </c>
      <c r="C162" s="178">
        <v>10</v>
      </c>
      <c r="D162" s="170" t="s">
        <v>93</v>
      </c>
      <c r="E162" s="1777">
        <v>163000</v>
      </c>
      <c r="F162" s="180">
        <f>E162*C162</f>
        <v>1630000</v>
      </c>
      <c r="G162" s="163" t="s">
        <v>1220</v>
      </c>
      <c r="H162" s="153"/>
      <c r="I162" s="916"/>
      <c r="J162" s="224">
        <f t="shared" si="9"/>
        <v>1630000</v>
      </c>
      <c r="K162" s="914"/>
      <c r="L162" s="223"/>
      <c r="M162" s="223"/>
      <c r="P162" s="27"/>
    </row>
    <row r="163" spans="1:16" x14ac:dyDescent="0.25">
      <c r="A163" s="167"/>
      <c r="B163" s="177" t="s">
        <v>2617</v>
      </c>
      <c r="C163" s="178">
        <v>5</v>
      </c>
      <c r="D163" s="170" t="s">
        <v>93</v>
      </c>
      <c r="E163" s="1777">
        <v>250000</v>
      </c>
      <c r="F163" s="180">
        <f>E163*C163</f>
        <v>1250000</v>
      </c>
      <c r="G163" s="163" t="s">
        <v>1220</v>
      </c>
      <c r="H163" s="153"/>
      <c r="I163" s="916"/>
      <c r="J163" s="224">
        <f t="shared" si="9"/>
        <v>1250000</v>
      </c>
      <c r="K163" s="914"/>
      <c r="L163" s="223"/>
      <c r="M163" s="223"/>
      <c r="P163" s="27"/>
    </row>
    <row r="164" spans="1:16" x14ac:dyDescent="0.25">
      <c r="A164" s="167"/>
      <c r="B164" s="177"/>
      <c r="C164" s="178"/>
      <c r="D164" s="170"/>
      <c r="E164" s="1777"/>
      <c r="F164" s="180"/>
      <c r="G164" s="163"/>
      <c r="H164" s="153"/>
      <c r="I164" s="916"/>
      <c r="J164" s="224"/>
      <c r="K164" s="914"/>
      <c r="L164" s="223"/>
      <c r="M164" s="223"/>
      <c r="P164" s="27"/>
    </row>
    <row r="165" spans="1:16" ht="24.75" x14ac:dyDescent="0.25">
      <c r="A165" s="167" t="s">
        <v>111</v>
      </c>
      <c r="B165" s="177" t="s">
        <v>112</v>
      </c>
      <c r="C165" s="178"/>
      <c r="D165" s="170"/>
      <c r="E165" s="1777"/>
      <c r="F165" s="180"/>
      <c r="G165" s="163"/>
      <c r="H165" s="153"/>
      <c r="I165" s="916"/>
      <c r="J165" s="224"/>
      <c r="K165" s="914"/>
      <c r="L165" s="223"/>
      <c r="M165" s="223"/>
      <c r="P165" s="27"/>
    </row>
    <row r="166" spans="1:16" x14ac:dyDescent="0.25">
      <c r="A166" s="167"/>
      <c r="B166" s="177" t="s">
        <v>2153</v>
      </c>
      <c r="C166" s="178">
        <v>100</v>
      </c>
      <c r="D166" s="170" t="s">
        <v>474</v>
      </c>
      <c r="E166" s="1777">
        <v>26000</v>
      </c>
      <c r="F166" s="180">
        <f>E166*C166</f>
        <v>2600000</v>
      </c>
      <c r="G166" s="163" t="s">
        <v>1220</v>
      </c>
      <c r="H166" s="153"/>
      <c r="I166" s="916"/>
      <c r="J166" s="224">
        <f t="shared" si="9"/>
        <v>2600000</v>
      </c>
      <c r="K166" s="914"/>
      <c r="L166" s="223"/>
      <c r="M166" s="223"/>
      <c r="P166" s="27"/>
    </row>
    <row r="167" spans="1:16" x14ac:dyDescent="0.25">
      <c r="A167" s="167"/>
      <c r="B167" s="177" t="s">
        <v>1497</v>
      </c>
      <c r="C167" s="178">
        <v>2</v>
      </c>
      <c r="D167" s="170" t="s">
        <v>90</v>
      </c>
      <c r="E167" s="1777">
        <v>536000</v>
      </c>
      <c r="F167" s="180">
        <f>E167*C167</f>
        <v>1072000</v>
      </c>
      <c r="G167" s="163" t="s">
        <v>1220</v>
      </c>
      <c r="H167" s="153"/>
      <c r="I167" s="916"/>
      <c r="J167" s="224">
        <f t="shared" si="9"/>
        <v>1072000</v>
      </c>
      <c r="K167" s="914"/>
      <c r="L167" s="223"/>
      <c r="M167" s="223"/>
      <c r="P167" s="27"/>
    </row>
    <row r="168" spans="1:16" x14ac:dyDescent="0.25">
      <c r="A168" s="176"/>
      <c r="B168" s="177" t="s">
        <v>113</v>
      </c>
      <c r="C168" s="178">
        <v>6</v>
      </c>
      <c r="D168" s="170" t="s">
        <v>90</v>
      </c>
      <c r="E168" s="1777">
        <v>54000</v>
      </c>
      <c r="F168" s="180">
        <f t="shared" si="10"/>
        <v>324000</v>
      </c>
      <c r="G168" s="163" t="s">
        <v>1220</v>
      </c>
      <c r="H168" s="153"/>
      <c r="I168" s="916"/>
      <c r="J168" s="224">
        <f t="shared" si="9"/>
        <v>324000</v>
      </c>
      <c r="K168" s="914"/>
      <c r="L168" s="223"/>
      <c r="M168" s="223"/>
      <c r="P168" s="27"/>
    </row>
    <row r="169" spans="1:16" x14ac:dyDescent="0.25">
      <c r="A169" s="176"/>
      <c r="B169" s="177" t="s">
        <v>114</v>
      </c>
      <c r="C169" s="178">
        <v>4</v>
      </c>
      <c r="D169" s="170" t="s">
        <v>90</v>
      </c>
      <c r="E169" s="1777">
        <v>9000</v>
      </c>
      <c r="F169" s="180">
        <f t="shared" si="10"/>
        <v>36000</v>
      </c>
      <c r="G169" s="163" t="s">
        <v>1220</v>
      </c>
      <c r="H169" s="153"/>
      <c r="I169" s="916"/>
      <c r="J169" s="224">
        <f t="shared" si="9"/>
        <v>36000</v>
      </c>
      <c r="K169" s="914"/>
      <c r="L169" s="223"/>
      <c r="M169" s="223"/>
      <c r="P169" s="27"/>
    </row>
    <row r="170" spans="1:16" x14ac:dyDescent="0.25">
      <c r="A170" s="176"/>
      <c r="B170" s="177" t="s">
        <v>1493</v>
      </c>
      <c r="C170" s="178">
        <v>4</v>
      </c>
      <c r="D170" s="170" t="s">
        <v>93</v>
      </c>
      <c r="E170" s="1777">
        <v>35000</v>
      </c>
      <c r="F170" s="180">
        <f t="shared" si="10"/>
        <v>140000</v>
      </c>
      <c r="G170" s="163" t="s">
        <v>1220</v>
      </c>
      <c r="H170" s="153"/>
      <c r="I170" s="916"/>
      <c r="J170" s="224">
        <f t="shared" si="9"/>
        <v>140000</v>
      </c>
      <c r="K170" s="914"/>
      <c r="L170" s="223"/>
      <c r="M170" s="223"/>
      <c r="P170" s="27"/>
    </row>
    <row r="171" spans="1:16" x14ac:dyDescent="0.25">
      <c r="A171" s="176"/>
      <c r="B171" s="203" t="s">
        <v>115</v>
      </c>
      <c r="C171" s="178">
        <v>4</v>
      </c>
      <c r="D171" s="170" t="s">
        <v>90</v>
      </c>
      <c r="E171" s="209">
        <v>27000</v>
      </c>
      <c r="F171" s="180">
        <f t="shared" si="10"/>
        <v>108000</v>
      </c>
      <c r="G171" s="163" t="s">
        <v>1220</v>
      </c>
      <c r="H171" s="153"/>
      <c r="I171" s="917"/>
      <c r="J171" s="224">
        <f t="shared" si="9"/>
        <v>108000</v>
      </c>
      <c r="K171" s="914"/>
      <c r="L171" s="223"/>
      <c r="M171" s="223"/>
      <c r="P171" s="27"/>
    </row>
    <row r="172" spans="1:16" x14ac:dyDescent="0.25">
      <c r="A172" s="176"/>
      <c r="B172" s="177" t="s">
        <v>2618</v>
      </c>
      <c r="C172" s="178">
        <v>4</v>
      </c>
      <c r="D172" s="170" t="s">
        <v>93</v>
      </c>
      <c r="E172" s="1777">
        <v>30000</v>
      </c>
      <c r="F172" s="180">
        <f t="shared" si="10"/>
        <v>120000</v>
      </c>
      <c r="G172" s="163" t="s">
        <v>1220</v>
      </c>
      <c r="H172" s="153"/>
      <c r="I172" s="916"/>
      <c r="J172" s="224">
        <f t="shared" si="9"/>
        <v>120000</v>
      </c>
      <c r="K172" s="914"/>
      <c r="L172" s="223"/>
      <c r="M172" s="223"/>
      <c r="P172" s="27"/>
    </row>
    <row r="173" spans="1:16" x14ac:dyDescent="0.25">
      <c r="A173" s="176"/>
      <c r="B173" s="177" t="s">
        <v>2619</v>
      </c>
      <c r="C173" s="178">
        <v>10</v>
      </c>
      <c r="D173" s="170" t="s">
        <v>93</v>
      </c>
      <c r="E173" s="1777">
        <v>55000</v>
      </c>
      <c r="F173" s="180">
        <f t="shared" si="10"/>
        <v>550000</v>
      </c>
      <c r="G173" s="163" t="s">
        <v>1220</v>
      </c>
      <c r="H173" s="153"/>
      <c r="I173" s="916"/>
      <c r="J173" s="224">
        <f t="shared" si="9"/>
        <v>550000</v>
      </c>
      <c r="K173" s="914"/>
      <c r="L173" s="818"/>
      <c r="M173" s="818"/>
      <c r="P173" s="27"/>
    </row>
    <row r="174" spans="1:16" x14ac:dyDescent="0.25">
      <c r="A174" s="176"/>
      <c r="B174" s="177" t="s">
        <v>2620</v>
      </c>
      <c r="C174" s="178">
        <v>50</v>
      </c>
      <c r="D174" s="170" t="s">
        <v>116</v>
      </c>
      <c r="E174" s="1777">
        <v>30000</v>
      </c>
      <c r="F174" s="180">
        <f t="shared" si="10"/>
        <v>1500000</v>
      </c>
      <c r="G174" s="163" t="s">
        <v>1220</v>
      </c>
      <c r="H174" s="153"/>
      <c r="I174" s="916"/>
      <c r="J174" s="224">
        <f t="shared" si="9"/>
        <v>1500000</v>
      </c>
      <c r="K174" s="914"/>
      <c r="L174" s="223"/>
      <c r="M174" s="223"/>
      <c r="P174" s="27"/>
    </row>
    <row r="175" spans="1:16" x14ac:dyDescent="0.25">
      <c r="A175" s="176"/>
      <c r="B175" s="177" t="s">
        <v>1494</v>
      </c>
      <c r="C175" s="178">
        <v>48</v>
      </c>
      <c r="D175" s="170" t="s">
        <v>3439</v>
      </c>
      <c r="E175" s="1777">
        <v>55000</v>
      </c>
      <c r="F175" s="180">
        <f t="shared" si="10"/>
        <v>2640000</v>
      </c>
      <c r="G175" s="163" t="s">
        <v>1220</v>
      </c>
      <c r="H175" s="153"/>
      <c r="I175" s="916"/>
      <c r="J175" s="224">
        <f t="shared" si="9"/>
        <v>2640000</v>
      </c>
      <c r="K175" s="914"/>
      <c r="L175" s="223"/>
      <c r="M175" s="223"/>
      <c r="P175" s="27"/>
    </row>
    <row r="176" spans="1:16" x14ac:dyDescent="0.25">
      <c r="A176" s="176"/>
      <c r="B176" s="177" t="s">
        <v>577</v>
      </c>
      <c r="C176" s="178">
        <v>40</v>
      </c>
      <c r="D176" s="170" t="s">
        <v>117</v>
      </c>
      <c r="E176" s="1777">
        <v>52000</v>
      </c>
      <c r="F176" s="180">
        <f t="shared" si="10"/>
        <v>2080000</v>
      </c>
      <c r="G176" s="163" t="s">
        <v>1220</v>
      </c>
      <c r="H176" s="153"/>
      <c r="I176" s="916"/>
      <c r="J176" s="224">
        <f t="shared" si="9"/>
        <v>2080000</v>
      </c>
      <c r="K176" s="914"/>
      <c r="L176" s="223"/>
      <c r="M176" s="223"/>
      <c r="P176" s="27"/>
    </row>
    <row r="177" spans="1:16" x14ac:dyDescent="0.25">
      <c r="A177" s="176"/>
      <c r="B177" s="177" t="s">
        <v>1495</v>
      </c>
      <c r="C177" s="178">
        <v>12</v>
      </c>
      <c r="D177" s="170" t="s">
        <v>118</v>
      </c>
      <c r="E177" s="1777">
        <v>36000</v>
      </c>
      <c r="F177" s="180">
        <f t="shared" si="10"/>
        <v>432000</v>
      </c>
      <c r="G177" s="163" t="s">
        <v>1220</v>
      </c>
      <c r="H177" s="153"/>
      <c r="I177" s="916"/>
      <c r="J177" s="224">
        <f t="shared" si="9"/>
        <v>432000</v>
      </c>
      <c r="K177" s="914"/>
      <c r="L177" s="223"/>
      <c r="M177" s="223"/>
      <c r="P177" s="27"/>
    </row>
    <row r="178" spans="1:16" ht="24.75" x14ac:dyDescent="0.25">
      <c r="A178" s="167" t="s">
        <v>119</v>
      </c>
      <c r="B178" s="177" t="s">
        <v>120</v>
      </c>
      <c r="C178" s="178"/>
      <c r="D178" s="170"/>
      <c r="E178" s="214"/>
      <c r="F178" s="180"/>
      <c r="G178" s="163"/>
      <c r="H178" s="153"/>
      <c r="I178" s="224"/>
      <c r="J178" s="224"/>
      <c r="K178" s="914"/>
      <c r="L178" s="223"/>
      <c r="M178" s="223"/>
      <c r="P178" s="27"/>
    </row>
    <row r="179" spans="1:16" x14ac:dyDescent="0.25">
      <c r="A179" s="167"/>
      <c r="B179" s="177" t="s">
        <v>3351</v>
      </c>
      <c r="C179" s="178">
        <v>2</v>
      </c>
      <c r="D179" s="170" t="s">
        <v>90</v>
      </c>
      <c r="E179" s="1778">
        <v>1342000</v>
      </c>
      <c r="F179" s="180">
        <f>E179*C179</f>
        <v>2684000</v>
      </c>
      <c r="G179" s="163" t="s">
        <v>1220</v>
      </c>
      <c r="H179" s="153"/>
      <c r="I179" s="224"/>
      <c r="J179" s="224">
        <f t="shared" si="9"/>
        <v>2684000</v>
      </c>
      <c r="K179" s="914"/>
      <c r="L179" s="223"/>
      <c r="M179" s="223"/>
      <c r="P179" s="27"/>
    </row>
    <row r="180" spans="1:16" x14ac:dyDescent="0.25">
      <c r="A180" s="176"/>
      <c r="B180" s="177" t="s">
        <v>121</v>
      </c>
      <c r="C180" s="178">
        <f>3*12</f>
        <v>36</v>
      </c>
      <c r="D180" s="170" t="s">
        <v>122</v>
      </c>
      <c r="E180" s="1777">
        <v>150000</v>
      </c>
      <c r="F180" s="180">
        <f t="shared" si="10"/>
        <v>5400000</v>
      </c>
      <c r="G180" s="163" t="s">
        <v>1220</v>
      </c>
      <c r="H180" s="153"/>
      <c r="I180" s="916"/>
      <c r="J180" s="224">
        <f t="shared" si="9"/>
        <v>5400000</v>
      </c>
      <c r="K180" s="914"/>
      <c r="L180" s="223"/>
      <c r="M180" s="223"/>
      <c r="P180" s="27"/>
    </row>
    <row r="181" spans="1:16" x14ac:dyDescent="0.25">
      <c r="A181" s="176"/>
      <c r="B181" s="177" t="s">
        <v>123</v>
      </c>
      <c r="C181" s="178">
        <v>12</v>
      </c>
      <c r="D181" s="170" t="s">
        <v>122</v>
      </c>
      <c r="E181" s="1777">
        <v>1000000</v>
      </c>
      <c r="F181" s="180">
        <f t="shared" si="10"/>
        <v>12000000</v>
      </c>
      <c r="G181" s="163" t="s">
        <v>1220</v>
      </c>
      <c r="H181" s="153"/>
      <c r="I181" s="916"/>
      <c r="J181" s="224">
        <f t="shared" si="9"/>
        <v>12000000</v>
      </c>
      <c r="K181" s="914"/>
      <c r="L181" s="223"/>
      <c r="M181" s="223"/>
      <c r="P181" s="27"/>
    </row>
    <row r="182" spans="1:16" ht="24.75" x14ac:dyDescent="0.25">
      <c r="A182" s="167"/>
      <c r="B182" s="177" t="s">
        <v>125</v>
      </c>
      <c r="C182" s="178">
        <v>6</v>
      </c>
      <c r="D182" s="170" t="s">
        <v>90</v>
      </c>
      <c r="E182" s="1777">
        <v>267000</v>
      </c>
      <c r="F182" s="180">
        <f t="shared" si="10"/>
        <v>1602000</v>
      </c>
      <c r="G182" s="163" t="s">
        <v>1220</v>
      </c>
      <c r="H182" s="153"/>
      <c r="I182" s="916"/>
      <c r="J182" s="224">
        <f t="shared" si="9"/>
        <v>1602000</v>
      </c>
      <c r="K182" s="914"/>
      <c r="L182" s="223"/>
      <c r="M182" s="223"/>
      <c r="P182" s="27"/>
    </row>
    <row r="183" spans="1:16" x14ac:dyDescent="0.25">
      <c r="A183" s="167"/>
      <c r="B183" s="177"/>
      <c r="C183" s="178"/>
      <c r="D183" s="170"/>
      <c r="E183" s="1777"/>
      <c r="F183" s="180"/>
      <c r="G183" s="163"/>
      <c r="H183" s="153"/>
      <c r="I183" s="916"/>
      <c r="J183" s="224"/>
      <c r="K183" s="914"/>
      <c r="L183" s="223"/>
      <c r="M183" s="223"/>
      <c r="P183" s="27"/>
    </row>
    <row r="184" spans="1:16" ht="24.75" x14ac:dyDescent="0.25">
      <c r="A184" s="167" t="s">
        <v>127</v>
      </c>
      <c r="B184" s="177" t="s">
        <v>128</v>
      </c>
      <c r="C184" s="178"/>
      <c r="D184" s="170"/>
      <c r="E184" s="1777"/>
      <c r="F184" s="180"/>
      <c r="G184" s="163"/>
      <c r="H184" s="153"/>
      <c r="I184" s="916"/>
      <c r="J184" s="224"/>
      <c r="K184" s="914"/>
      <c r="L184" s="223"/>
      <c r="M184" s="223"/>
      <c r="P184" s="27"/>
    </row>
    <row r="185" spans="1:16" x14ac:dyDescent="0.25">
      <c r="A185" s="167"/>
      <c r="B185" s="177" t="s">
        <v>129</v>
      </c>
      <c r="C185" s="178">
        <v>8</v>
      </c>
      <c r="D185" s="170" t="s">
        <v>93</v>
      </c>
      <c r="E185" s="1777">
        <v>93000</v>
      </c>
      <c r="F185" s="180">
        <f>E185*C185</f>
        <v>744000</v>
      </c>
      <c r="G185" s="163" t="s">
        <v>1220</v>
      </c>
      <c r="H185" s="153"/>
      <c r="I185" s="916"/>
      <c r="J185" s="224">
        <f t="shared" si="9"/>
        <v>744000</v>
      </c>
      <c r="K185" s="914"/>
      <c r="L185" s="223"/>
      <c r="M185" s="223"/>
      <c r="P185" s="27"/>
    </row>
    <row r="186" spans="1:16" x14ac:dyDescent="0.25">
      <c r="A186" s="176"/>
      <c r="B186" s="177" t="s">
        <v>130</v>
      </c>
      <c r="C186" s="178">
        <v>12</v>
      </c>
      <c r="D186" s="170" t="s">
        <v>93</v>
      </c>
      <c r="E186" s="1777">
        <v>42000</v>
      </c>
      <c r="F186" s="180">
        <f t="shared" ref="F186:F259" si="12">E186*C186</f>
        <v>504000</v>
      </c>
      <c r="G186" s="163" t="s">
        <v>1220</v>
      </c>
      <c r="H186" s="153"/>
      <c r="I186" s="916"/>
      <c r="J186" s="224">
        <f t="shared" ref="J186:J248" si="13">F186</f>
        <v>504000</v>
      </c>
      <c r="K186" s="914"/>
      <c r="L186" s="223"/>
      <c r="M186" s="223"/>
      <c r="P186" s="27"/>
    </row>
    <row r="187" spans="1:16" x14ac:dyDescent="0.25">
      <c r="A187" s="176"/>
      <c r="B187" s="177" t="s">
        <v>132</v>
      </c>
      <c r="C187" s="178">
        <v>20</v>
      </c>
      <c r="D187" s="170" t="s">
        <v>93</v>
      </c>
      <c r="E187" s="1777">
        <v>21000</v>
      </c>
      <c r="F187" s="180">
        <f t="shared" si="12"/>
        <v>420000</v>
      </c>
      <c r="G187" s="163" t="s">
        <v>1220</v>
      </c>
      <c r="H187" s="153"/>
      <c r="I187" s="916"/>
      <c r="J187" s="224">
        <f t="shared" si="13"/>
        <v>420000</v>
      </c>
      <c r="K187" s="914"/>
      <c r="L187" s="223"/>
      <c r="M187" s="223"/>
      <c r="P187" s="27"/>
    </row>
    <row r="188" spans="1:16" x14ac:dyDescent="0.25">
      <c r="A188" s="176"/>
      <c r="B188" s="177" t="s">
        <v>134</v>
      </c>
      <c r="C188" s="178">
        <v>2</v>
      </c>
      <c r="D188" s="170" t="s">
        <v>93</v>
      </c>
      <c r="E188" s="1777">
        <v>93000</v>
      </c>
      <c r="F188" s="180">
        <f t="shared" si="12"/>
        <v>186000</v>
      </c>
      <c r="G188" s="163" t="s">
        <v>1220</v>
      </c>
      <c r="H188" s="153"/>
      <c r="I188" s="916"/>
      <c r="J188" s="224">
        <f t="shared" si="13"/>
        <v>186000</v>
      </c>
      <c r="K188" s="914"/>
      <c r="L188" s="223"/>
      <c r="M188" s="223"/>
      <c r="P188" s="27"/>
    </row>
    <row r="189" spans="1:16" x14ac:dyDescent="0.25">
      <c r="A189" s="176"/>
      <c r="B189" s="177" t="s">
        <v>135</v>
      </c>
      <c r="C189" s="178">
        <v>1</v>
      </c>
      <c r="D189" s="170" t="s">
        <v>93</v>
      </c>
      <c r="E189" s="1777">
        <v>93000</v>
      </c>
      <c r="F189" s="180">
        <f>E189*C189</f>
        <v>93000</v>
      </c>
      <c r="G189" s="163" t="s">
        <v>1220</v>
      </c>
      <c r="H189" s="153"/>
      <c r="I189" s="916"/>
      <c r="J189" s="224">
        <f t="shared" si="13"/>
        <v>93000</v>
      </c>
      <c r="K189" s="914"/>
      <c r="L189" s="223"/>
      <c r="M189" s="223"/>
      <c r="P189" s="27"/>
    </row>
    <row r="190" spans="1:16" x14ac:dyDescent="0.25">
      <c r="A190" s="176"/>
      <c r="B190" s="177" t="s">
        <v>136</v>
      </c>
      <c r="C190" s="178">
        <v>7</v>
      </c>
      <c r="D190" s="170" t="s">
        <v>93</v>
      </c>
      <c r="E190" s="1777">
        <v>93000</v>
      </c>
      <c r="F190" s="180">
        <f t="shared" si="12"/>
        <v>651000</v>
      </c>
      <c r="G190" s="163" t="s">
        <v>1220</v>
      </c>
      <c r="H190" s="153"/>
      <c r="I190" s="916"/>
      <c r="J190" s="224">
        <f t="shared" si="13"/>
        <v>651000</v>
      </c>
      <c r="K190" s="914"/>
      <c r="L190" s="223"/>
      <c r="M190" s="223"/>
      <c r="P190" s="27"/>
    </row>
    <row r="191" spans="1:16" x14ac:dyDescent="0.25">
      <c r="A191" s="176"/>
      <c r="B191" s="177" t="s">
        <v>137</v>
      </c>
      <c r="C191" s="178">
        <v>8</v>
      </c>
      <c r="D191" s="170" t="s">
        <v>93</v>
      </c>
      <c r="E191" s="1777">
        <v>93000</v>
      </c>
      <c r="F191" s="180">
        <f t="shared" si="12"/>
        <v>744000</v>
      </c>
      <c r="G191" s="163" t="s">
        <v>1220</v>
      </c>
      <c r="H191" s="153"/>
      <c r="I191" s="916"/>
      <c r="J191" s="224">
        <f t="shared" si="13"/>
        <v>744000</v>
      </c>
      <c r="K191" s="914"/>
      <c r="L191" s="223"/>
      <c r="M191" s="223"/>
      <c r="P191" s="27"/>
    </row>
    <row r="192" spans="1:16" x14ac:dyDescent="0.25">
      <c r="A192" s="176"/>
      <c r="B192" s="177" t="s">
        <v>138</v>
      </c>
      <c r="C192" s="178">
        <v>10</v>
      </c>
      <c r="D192" s="170" t="s">
        <v>93</v>
      </c>
      <c r="E192" s="1777">
        <v>93000</v>
      </c>
      <c r="F192" s="180">
        <f t="shared" si="12"/>
        <v>930000</v>
      </c>
      <c r="G192" s="163" t="s">
        <v>1220</v>
      </c>
      <c r="H192" s="153"/>
      <c r="I192" s="916"/>
      <c r="J192" s="224">
        <f t="shared" si="13"/>
        <v>930000</v>
      </c>
      <c r="K192" s="914"/>
      <c r="L192" s="223"/>
      <c r="M192" s="223"/>
      <c r="P192" s="27"/>
    </row>
    <row r="193" spans="1:16" x14ac:dyDescent="0.25">
      <c r="A193" s="176"/>
      <c r="B193" s="177" t="s">
        <v>139</v>
      </c>
      <c r="C193" s="178">
        <v>2</v>
      </c>
      <c r="D193" s="170" t="s">
        <v>93</v>
      </c>
      <c r="E193" s="1777">
        <v>93000</v>
      </c>
      <c r="F193" s="180">
        <f t="shared" si="12"/>
        <v>186000</v>
      </c>
      <c r="G193" s="163" t="s">
        <v>1220</v>
      </c>
      <c r="H193" s="153"/>
      <c r="I193" s="916"/>
      <c r="J193" s="224">
        <f t="shared" si="13"/>
        <v>186000</v>
      </c>
      <c r="K193" s="914"/>
      <c r="L193" s="223"/>
      <c r="M193" s="223"/>
      <c r="P193" s="27"/>
    </row>
    <row r="194" spans="1:16" x14ac:dyDescent="0.25">
      <c r="A194" s="176"/>
      <c r="B194" s="177" t="s">
        <v>140</v>
      </c>
      <c r="C194" s="178">
        <v>2</v>
      </c>
      <c r="D194" s="170" t="s">
        <v>93</v>
      </c>
      <c r="E194" s="1777">
        <v>93000</v>
      </c>
      <c r="F194" s="180">
        <f t="shared" si="12"/>
        <v>186000</v>
      </c>
      <c r="G194" s="163" t="s">
        <v>1220</v>
      </c>
      <c r="H194" s="153"/>
      <c r="I194" s="916"/>
      <c r="J194" s="224">
        <f t="shared" si="13"/>
        <v>186000</v>
      </c>
      <c r="K194" s="914"/>
      <c r="L194" s="223"/>
      <c r="M194" s="223"/>
      <c r="P194" s="27"/>
    </row>
    <row r="195" spans="1:16" x14ac:dyDescent="0.25">
      <c r="A195" s="176"/>
      <c r="B195" s="177" t="s">
        <v>141</v>
      </c>
      <c r="C195" s="178">
        <v>2</v>
      </c>
      <c r="D195" s="170" t="s">
        <v>93</v>
      </c>
      <c r="E195" s="1777">
        <v>93000</v>
      </c>
      <c r="F195" s="180">
        <f t="shared" si="12"/>
        <v>186000</v>
      </c>
      <c r="G195" s="163" t="s">
        <v>1220</v>
      </c>
      <c r="H195" s="153"/>
      <c r="I195" s="916"/>
      <c r="J195" s="224">
        <f t="shared" si="13"/>
        <v>186000</v>
      </c>
      <c r="K195" s="914"/>
      <c r="L195" s="223"/>
      <c r="M195" s="223"/>
      <c r="P195" s="27"/>
    </row>
    <row r="196" spans="1:16" x14ac:dyDescent="0.25">
      <c r="A196" s="176"/>
      <c r="B196" s="177" t="s">
        <v>142</v>
      </c>
      <c r="C196" s="178">
        <v>200</v>
      </c>
      <c r="D196" s="170" t="s">
        <v>90</v>
      </c>
      <c r="E196" s="1777">
        <v>15000</v>
      </c>
      <c r="F196" s="180">
        <f t="shared" si="12"/>
        <v>3000000</v>
      </c>
      <c r="G196" s="163" t="s">
        <v>1220</v>
      </c>
      <c r="H196" s="153"/>
      <c r="I196" s="916"/>
      <c r="J196" s="224">
        <f t="shared" si="13"/>
        <v>3000000</v>
      </c>
      <c r="K196" s="914"/>
      <c r="L196" s="223"/>
      <c r="M196" s="223"/>
      <c r="P196" s="27"/>
    </row>
    <row r="197" spans="1:16" x14ac:dyDescent="0.25">
      <c r="A197" s="176"/>
      <c r="B197" s="177" t="s">
        <v>143</v>
      </c>
      <c r="C197" s="178">
        <v>1</v>
      </c>
      <c r="D197" s="170" t="s">
        <v>90</v>
      </c>
      <c r="E197" s="1777">
        <v>600000</v>
      </c>
      <c r="F197" s="180">
        <f t="shared" si="12"/>
        <v>600000</v>
      </c>
      <c r="G197" s="163" t="s">
        <v>1220</v>
      </c>
      <c r="H197" s="153"/>
      <c r="I197" s="916"/>
      <c r="J197" s="224">
        <f t="shared" si="13"/>
        <v>600000</v>
      </c>
      <c r="K197" s="914"/>
      <c r="L197" s="223"/>
      <c r="M197" s="223"/>
      <c r="P197" s="27"/>
    </row>
    <row r="198" spans="1:16" x14ac:dyDescent="0.25">
      <c r="A198" s="176"/>
      <c r="B198" s="177" t="s">
        <v>3122</v>
      </c>
      <c r="C198" s="178">
        <v>1</v>
      </c>
      <c r="D198" s="170" t="s">
        <v>90</v>
      </c>
      <c r="E198" s="1777">
        <v>10000000</v>
      </c>
      <c r="F198" s="180">
        <f t="shared" si="12"/>
        <v>10000000</v>
      </c>
      <c r="G198" s="163" t="s">
        <v>1220</v>
      </c>
      <c r="H198" s="153"/>
      <c r="I198" s="916"/>
      <c r="J198" s="224">
        <f t="shared" si="13"/>
        <v>10000000</v>
      </c>
      <c r="K198" s="914"/>
      <c r="L198" s="223"/>
      <c r="M198" s="223"/>
      <c r="P198" s="27"/>
    </row>
    <row r="199" spans="1:16" ht="28.5" customHeight="1" x14ac:dyDescent="0.25">
      <c r="A199" s="176"/>
      <c r="B199" s="177" t="s">
        <v>144</v>
      </c>
      <c r="C199" s="169">
        <v>10</v>
      </c>
      <c r="D199" s="170" t="s">
        <v>106</v>
      </c>
      <c r="E199" s="1779">
        <v>500000</v>
      </c>
      <c r="F199" s="180">
        <f t="shared" si="12"/>
        <v>5000000</v>
      </c>
      <c r="G199" s="163" t="s">
        <v>1220</v>
      </c>
      <c r="H199" s="153"/>
      <c r="I199" s="918"/>
      <c r="J199" s="224">
        <f t="shared" si="13"/>
        <v>5000000</v>
      </c>
      <c r="K199" s="914"/>
      <c r="L199" s="223"/>
      <c r="M199" s="223"/>
      <c r="P199" s="27"/>
    </row>
    <row r="200" spans="1:16" x14ac:dyDescent="0.25">
      <c r="A200" s="176"/>
      <c r="B200" s="177"/>
      <c r="C200" s="178"/>
      <c r="D200" s="170"/>
      <c r="E200" s="1777"/>
      <c r="F200" s="180"/>
      <c r="G200" s="163"/>
      <c r="H200" s="153"/>
      <c r="I200" s="916"/>
      <c r="J200" s="224"/>
      <c r="K200" s="914"/>
      <c r="L200" s="223"/>
      <c r="M200" s="223"/>
      <c r="P200" s="27"/>
    </row>
    <row r="201" spans="1:16" ht="24.75" x14ac:dyDescent="0.25">
      <c r="A201" s="167" t="s">
        <v>145</v>
      </c>
      <c r="B201" s="197" t="s">
        <v>146</v>
      </c>
      <c r="C201" s="178"/>
      <c r="D201" s="170"/>
      <c r="E201" s="1777"/>
      <c r="F201" s="180"/>
      <c r="G201" s="163"/>
      <c r="H201" s="153"/>
      <c r="I201" s="916"/>
      <c r="J201" s="224"/>
      <c r="K201" s="914"/>
      <c r="L201" s="223"/>
      <c r="M201" s="223"/>
      <c r="P201" s="27"/>
    </row>
    <row r="202" spans="1:16" x14ac:dyDescent="0.25">
      <c r="A202" s="167"/>
      <c r="B202" s="197" t="s">
        <v>147</v>
      </c>
      <c r="C202" s="178">
        <v>24</v>
      </c>
      <c r="D202" s="170" t="s">
        <v>148</v>
      </c>
      <c r="E202" s="1777">
        <v>45000</v>
      </c>
      <c r="F202" s="180">
        <f>E202*C202</f>
        <v>1080000</v>
      </c>
      <c r="G202" s="163" t="s">
        <v>1220</v>
      </c>
      <c r="H202" s="153"/>
      <c r="I202" s="916"/>
      <c r="J202" s="224">
        <f t="shared" si="13"/>
        <v>1080000</v>
      </c>
      <c r="K202" s="914"/>
      <c r="L202" s="818"/>
      <c r="M202" s="818"/>
      <c r="P202" s="27"/>
    </row>
    <row r="203" spans="1:16" x14ac:dyDescent="0.25">
      <c r="A203" s="167"/>
      <c r="B203" s="197" t="s">
        <v>409</v>
      </c>
      <c r="C203" s="178">
        <v>5</v>
      </c>
      <c r="D203" s="170" t="s">
        <v>148</v>
      </c>
      <c r="E203" s="1777">
        <v>55000</v>
      </c>
      <c r="F203" s="180">
        <f>E203*C203</f>
        <v>275000</v>
      </c>
      <c r="G203" s="163" t="s">
        <v>1220</v>
      </c>
      <c r="H203" s="153"/>
      <c r="I203" s="916"/>
      <c r="J203" s="224">
        <f t="shared" si="13"/>
        <v>275000</v>
      </c>
      <c r="K203" s="914"/>
      <c r="L203" s="223"/>
      <c r="M203" s="223"/>
      <c r="P203" s="27"/>
    </row>
    <row r="204" spans="1:16" x14ac:dyDescent="0.25">
      <c r="A204" s="167"/>
      <c r="B204" s="177" t="s">
        <v>149</v>
      </c>
      <c r="C204" s="178">
        <v>325</v>
      </c>
      <c r="D204" s="170" t="s">
        <v>150</v>
      </c>
      <c r="E204" s="1777">
        <v>6000</v>
      </c>
      <c r="F204" s="180">
        <f t="shared" si="12"/>
        <v>1950000</v>
      </c>
      <c r="G204" s="163" t="s">
        <v>1220</v>
      </c>
      <c r="H204" s="153"/>
      <c r="I204" s="916"/>
      <c r="J204" s="224">
        <f t="shared" si="13"/>
        <v>1950000</v>
      </c>
      <c r="K204" s="914"/>
      <c r="L204" s="223"/>
      <c r="M204" s="223"/>
      <c r="P204" s="27"/>
    </row>
    <row r="205" spans="1:16" x14ac:dyDescent="0.25">
      <c r="A205" s="167"/>
      <c r="B205" s="177" t="s">
        <v>151</v>
      </c>
      <c r="C205" s="178">
        <v>96</v>
      </c>
      <c r="D205" s="170" t="s">
        <v>152</v>
      </c>
      <c r="E205" s="1777">
        <v>35000</v>
      </c>
      <c r="F205" s="180">
        <f t="shared" si="12"/>
        <v>3360000</v>
      </c>
      <c r="G205" s="163" t="s">
        <v>1220</v>
      </c>
      <c r="H205" s="153"/>
      <c r="I205" s="916"/>
      <c r="J205" s="224">
        <f t="shared" si="13"/>
        <v>3360000</v>
      </c>
      <c r="K205" s="914"/>
      <c r="L205" s="223"/>
      <c r="M205" s="223"/>
      <c r="P205" s="27"/>
    </row>
    <row r="206" spans="1:16" x14ac:dyDescent="0.25">
      <c r="A206" s="167"/>
      <c r="B206" s="177" t="s">
        <v>153</v>
      </c>
      <c r="C206" s="178">
        <v>48</v>
      </c>
      <c r="D206" s="170" t="s">
        <v>154</v>
      </c>
      <c r="E206" s="1777">
        <v>25000</v>
      </c>
      <c r="F206" s="180">
        <f t="shared" si="12"/>
        <v>1200000</v>
      </c>
      <c r="G206" s="163" t="s">
        <v>1220</v>
      </c>
      <c r="H206" s="153"/>
      <c r="I206" s="916"/>
      <c r="J206" s="224">
        <f t="shared" si="13"/>
        <v>1200000</v>
      </c>
      <c r="K206" s="914"/>
      <c r="L206" s="223"/>
      <c r="M206" s="223"/>
      <c r="P206" s="27"/>
    </row>
    <row r="207" spans="1:16" x14ac:dyDescent="0.25">
      <c r="A207" s="167"/>
      <c r="B207" s="177" t="s">
        <v>155</v>
      </c>
      <c r="C207" s="178">
        <v>200</v>
      </c>
      <c r="D207" s="170" t="s">
        <v>156</v>
      </c>
      <c r="E207" s="1777">
        <v>20000</v>
      </c>
      <c r="F207" s="180">
        <f t="shared" si="12"/>
        <v>4000000</v>
      </c>
      <c r="G207" s="163" t="s">
        <v>1220</v>
      </c>
      <c r="H207" s="153"/>
      <c r="I207" s="916"/>
      <c r="J207" s="224">
        <f t="shared" si="13"/>
        <v>4000000</v>
      </c>
      <c r="K207" s="914"/>
      <c r="L207" s="223"/>
      <c r="M207" s="223"/>
      <c r="P207" s="27"/>
    </row>
    <row r="208" spans="1:16" ht="18" customHeight="1" x14ac:dyDescent="0.25">
      <c r="A208" s="167"/>
      <c r="B208" s="177"/>
      <c r="C208" s="178"/>
      <c r="D208" s="170"/>
      <c r="E208" s="1777"/>
      <c r="F208" s="180"/>
      <c r="G208" s="163"/>
      <c r="H208" s="153"/>
      <c r="I208" s="916"/>
      <c r="J208" s="224"/>
      <c r="K208" s="914"/>
      <c r="L208" s="223"/>
      <c r="M208" s="223"/>
      <c r="P208" s="27"/>
    </row>
    <row r="209" spans="1:16" x14ac:dyDescent="0.25">
      <c r="A209" s="167" t="s">
        <v>3214</v>
      </c>
      <c r="B209" s="177" t="s">
        <v>930</v>
      </c>
      <c r="C209" s="178"/>
      <c r="D209" s="170"/>
      <c r="E209" s="1777"/>
      <c r="F209" s="180"/>
      <c r="G209" s="163"/>
      <c r="H209" s="153"/>
      <c r="I209" s="916"/>
      <c r="J209" s="224"/>
      <c r="K209" s="914"/>
      <c r="L209" s="223"/>
      <c r="M209" s="223"/>
      <c r="P209" s="27"/>
    </row>
    <row r="210" spans="1:16" x14ac:dyDescent="0.25">
      <c r="A210" s="167"/>
      <c r="B210" s="177" t="s">
        <v>3215</v>
      </c>
      <c r="C210" s="178">
        <v>1</v>
      </c>
      <c r="D210" s="170" t="s">
        <v>566</v>
      </c>
      <c r="E210" s="1777">
        <v>15000000</v>
      </c>
      <c r="F210" s="180">
        <f>E210*C210</f>
        <v>15000000</v>
      </c>
      <c r="G210" s="163" t="s">
        <v>1220</v>
      </c>
      <c r="H210" s="153"/>
      <c r="I210" s="916"/>
      <c r="J210" s="224">
        <f t="shared" si="13"/>
        <v>15000000</v>
      </c>
      <c r="K210" s="914"/>
      <c r="L210" s="223"/>
      <c r="M210" s="223"/>
      <c r="P210" s="27"/>
    </row>
    <row r="211" spans="1:16" x14ac:dyDescent="0.25">
      <c r="A211" s="167"/>
      <c r="B211" s="177"/>
      <c r="C211" s="178"/>
      <c r="D211" s="170"/>
      <c r="E211" s="1777"/>
      <c r="F211" s="180"/>
      <c r="G211" s="163"/>
      <c r="H211" s="153"/>
      <c r="I211" s="916"/>
      <c r="J211" s="224"/>
      <c r="K211" s="914"/>
      <c r="L211" s="223"/>
      <c r="M211" s="223"/>
      <c r="P211" s="27"/>
    </row>
    <row r="212" spans="1:16" x14ac:dyDescent="0.25">
      <c r="A212" s="167" t="s">
        <v>159</v>
      </c>
      <c r="B212" s="177" t="s">
        <v>160</v>
      </c>
      <c r="C212" s="178"/>
      <c r="D212" s="170"/>
      <c r="E212" s="214"/>
      <c r="F212" s="180"/>
      <c r="G212" s="163"/>
      <c r="H212" s="153"/>
      <c r="I212" s="224"/>
      <c r="J212" s="224"/>
      <c r="K212" s="914"/>
      <c r="L212" s="223"/>
      <c r="M212" s="223"/>
      <c r="P212" s="27"/>
    </row>
    <row r="213" spans="1:16" ht="24.75" x14ac:dyDescent="0.25">
      <c r="A213" s="176"/>
      <c r="B213" s="177" t="s">
        <v>161</v>
      </c>
      <c r="C213" s="178">
        <v>15</v>
      </c>
      <c r="D213" s="170" t="s">
        <v>90</v>
      </c>
      <c r="E213" s="1777">
        <v>150000</v>
      </c>
      <c r="F213" s="180">
        <f t="shared" si="12"/>
        <v>2250000</v>
      </c>
      <c r="G213" s="163" t="s">
        <v>1220</v>
      </c>
      <c r="H213" s="153"/>
      <c r="I213" s="916"/>
      <c r="J213" s="224">
        <f t="shared" si="13"/>
        <v>2250000</v>
      </c>
      <c r="K213" s="914"/>
      <c r="L213" s="223"/>
      <c r="M213" s="223"/>
      <c r="P213" s="27"/>
    </row>
    <row r="214" spans="1:16" x14ac:dyDescent="0.25">
      <c r="A214" s="176"/>
      <c r="B214" s="177" t="s">
        <v>1499</v>
      </c>
      <c r="C214" s="178">
        <v>4</v>
      </c>
      <c r="D214" s="170" t="s">
        <v>171</v>
      </c>
      <c r="E214" s="1777">
        <v>140000</v>
      </c>
      <c r="F214" s="180">
        <f>E214*C214</f>
        <v>560000</v>
      </c>
      <c r="G214" s="163" t="s">
        <v>1220</v>
      </c>
      <c r="H214" s="153"/>
      <c r="I214" s="916"/>
      <c r="J214" s="224">
        <f t="shared" si="13"/>
        <v>560000</v>
      </c>
      <c r="K214" s="914"/>
      <c r="L214" s="223"/>
      <c r="M214" s="223"/>
      <c r="P214" s="27"/>
    </row>
    <row r="215" spans="1:16" x14ac:dyDescent="0.25">
      <c r="A215" s="176"/>
      <c r="B215" s="177" t="s">
        <v>162</v>
      </c>
      <c r="C215" s="178">
        <v>5</v>
      </c>
      <c r="D215" s="170" t="s">
        <v>90</v>
      </c>
      <c r="E215" s="1777">
        <v>125000</v>
      </c>
      <c r="F215" s="180">
        <f t="shared" si="12"/>
        <v>625000</v>
      </c>
      <c r="G215" s="163" t="s">
        <v>1220</v>
      </c>
      <c r="H215" s="153"/>
      <c r="I215" s="916"/>
      <c r="J215" s="224">
        <f t="shared" si="13"/>
        <v>625000</v>
      </c>
      <c r="K215" s="914"/>
      <c r="L215" s="223"/>
      <c r="M215" s="223"/>
      <c r="P215" s="27"/>
    </row>
    <row r="216" spans="1:16" x14ac:dyDescent="0.25">
      <c r="A216" s="176"/>
      <c r="B216" s="177" t="s">
        <v>163</v>
      </c>
      <c r="C216" s="178">
        <v>5</v>
      </c>
      <c r="D216" s="170" t="s">
        <v>90</v>
      </c>
      <c r="E216" s="1777">
        <v>100000</v>
      </c>
      <c r="F216" s="180">
        <f t="shared" si="12"/>
        <v>500000</v>
      </c>
      <c r="G216" s="163" t="s">
        <v>1220</v>
      </c>
      <c r="H216" s="153"/>
      <c r="I216" s="916"/>
      <c r="J216" s="224">
        <f t="shared" si="13"/>
        <v>500000</v>
      </c>
      <c r="K216" s="914"/>
      <c r="L216" s="223"/>
      <c r="M216" s="223"/>
      <c r="P216" s="27"/>
    </row>
    <row r="217" spans="1:16" x14ac:dyDescent="0.25">
      <c r="A217" s="176"/>
      <c r="B217" s="177" t="s">
        <v>165</v>
      </c>
      <c r="C217" s="178">
        <v>3</v>
      </c>
      <c r="D217" s="170" t="s">
        <v>171</v>
      </c>
      <c r="E217" s="1777">
        <v>1000000</v>
      </c>
      <c r="F217" s="180">
        <f t="shared" si="12"/>
        <v>3000000</v>
      </c>
      <c r="G217" s="163" t="s">
        <v>1220</v>
      </c>
      <c r="H217" s="153"/>
      <c r="I217" s="916"/>
      <c r="J217" s="224">
        <f t="shared" si="13"/>
        <v>3000000</v>
      </c>
      <c r="K217" s="914"/>
      <c r="L217" s="223"/>
      <c r="M217" s="223"/>
      <c r="P217" s="27"/>
    </row>
    <row r="218" spans="1:16" x14ac:dyDescent="0.25">
      <c r="A218" s="669"/>
      <c r="B218" s="662" t="s">
        <v>2711</v>
      </c>
      <c r="C218" s="234">
        <v>1</v>
      </c>
      <c r="D218" s="235" t="s">
        <v>106</v>
      </c>
      <c r="E218" s="671">
        <v>10000000</v>
      </c>
      <c r="F218" s="664">
        <f>E218*C218</f>
        <v>10000000</v>
      </c>
      <c r="G218" s="163" t="s">
        <v>1220</v>
      </c>
      <c r="J218" s="224">
        <f t="shared" si="13"/>
        <v>10000000</v>
      </c>
    </row>
    <row r="219" spans="1:16" x14ac:dyDescent="0.25">
      <c r="A219" s="167"/>
      <c r="B219" s="177"/>
      <c r="C219" s="178"/>
      <c r="D219" s="170"/>
      <c r="E219" s="1777"/>
      <c r="F219" s="180"/>
      <c r="G219" s="163"/>
      <c r="H219" s="153"/>
      <c r="I219" s="916"/>
      <c r="J219" s="224"/>
      <c r="K219" s="914"/>
      <c r="L219" s="223"/>
      <c r="M219" s="223"/>
      <c r="P219" s="27"/>
    </row>
    <row r="220" spans="1:16" x14ac:dyDescent="0.25">
      <c r="A220" s="167" t="s">
        <v>166</v>
      </c>
      <c r="B220" s="177" t="s">
        <v>167</v>
      </c>
      <c r="C220" s="178"/>
      <c r="D220" s="170"/>
      <c r="E220" s="214"/>
      <c r="F220" s="180"/>
      <c r="G220" s="163"/>
      <c r="H220" s="153"/>
      <c r="I220" s="224"/>
      <c r="J220" s="224"/>
      <c r="K220" s="914"/>
      <c r="L220" s="223"/>
      <c r="M220" s="223"/>
      <c r="P220" s="27"/>
    </row>
    <row r="221" spans="1:16" ht="24.75" x14ac:dyDescent="0.25">
      <c r="A221" s="176"/>
      <c r="B221" s="177" t="s">
        <v>3474</v>
      </c>
      <c r="C221" s="178">
        <v>31</v>
      </c>
      <c r="D221" s="170" t="s">
        <v>168</v>
      </c>
      <c r="E221" s="1777">
        <v>818000</v>
      </c>
      <c r="F221" s="180">
        <f t="shared" si="12"/>
        <v>25358000</v>
      </c>
      <c r="G221" s="163" t="s">
        <v>1220</v>
      </c>
      <c r="H221" s="153"/>
      <c r="I221" s="916"/>
      <c r="J221" s="224">
        <f t="shared" si="13"/>
        <v>25358000</v>
      </c>
      <c r="K221" s="914"/>
      <c r="L221" s="223"/>
      <c r="M221" s="223"/>
      <c r="P221" s="27"/>
    </row>
    <row r="222" spans="1:16" x14ac:dyDescent="0.25">
      <c r="A222" s="243"/>
      <c r="B222" s="233" t="s">
        <v>3476</v>
      </c>
      <c r="C222" s="234">
        <v>31</v>
      </c>
      <c r="D222" s="235" t="s">
        <v>90</v>
      </c>
      <c r="E222" s="1780">
        <v>101000</v>
      </c>
      <c r="F222" s="242">
        <f>E222*C222</f>
        <v>3131000</v>
      </c>
      <c r="G222" s="163" t="s">
        <v>1220</v>
      </c>
      <c r="J222" s="224">
        <f t="shared" si="13"/>
        <v>3131000</v>
      </c>
    </row>
    <row r="223" spans="1:16" x14ac:dyDescent="0.25">
      <c r="A223" s="176"/>
      <c r="B223" s="177"/>
      <c r="C223" s="178"/>
      <c r="D223" s="170"/>
      <c r="E223" s="1777"/>
      <c r="F223" s="180"/>
      <c r="G223" s="163"/>
      <c r="H223" s="153"/>
      <c r="I223" s="916"/>
      <c r="J223" s="224"/>
      <c r="K223" s="914"/>
      <c r="L223" s="223"/>
      <c r="M223" s="223"/>
      <c r="P223" s="27"/>
    </row>
    <row r="224" spans="1:16" x14ac:dyDescent="0.25">
      <c r="A224" s="167" t="s">
        <v>169</v>
      </c>
      <c r="B224" s="177" t="s">
        <v>170</v>
      </c>
      <c r="C224" s="178"/>
      <c r="D224" s="170"/>
      <c r="E224" s="1777"/>
      <c r="F224" s="180"/>
      <c r="G224" s="163"/>
      <c r="H224" s="153"/>
      <c r="I224" s="916"/>
      <c r="J224" s="224"/>
      <c r="K224" s="914"/>
      <c r="L224" s="223"/>
      <c r="M224" s="223"/>
      <c r="P224" s="27"/>
    </row>
    <row r="225" spans="1:16" x14ac:dyDescent="0.25">
      <c r="A225" s="167"/>
      <c r="B225" s="177" t="s">
        <v>1498</v>
      </c>
      <c r="C225" s="178">
        <v>1</v>
      </c>
      <c r="D225" s="170" t="s">
        <v>312</v>
      </c>
      <c r="E225" s="1777">
        <v>309000</v>
      </c>
      <c r="F225" s="180">
        <f t="shared" si="12"/>
        <v>309000</v>
      </c>
      <c r="G225" s="163" t="s">
        <v>1220</v>
      </c>
      <c r="H225" s="153"/>
      <c r="I225" s="916"/>
      <c r="J225" s="224">
        <f t="shared" si="13"/>
        <v>309000</v>
      </c>
      <c r="K225" s="914"/>
      <c r="L225" s="818"/>
      <c r="M225" s="818"/>
      <c r="P225" s="27"/>
    </row>
    <row r="226" spans="1:16" x14ac:dyDescent="0.25">
      <c r="A226" s="167"/>
      <c r="B226" s="177"/>
      <c r="C226" s="178"/>
      <c r="D226" s="170"/>
      <c r="E226" s="1777"/>
      <c r="F226" s="180"/>
      <c r="G226" s="163"/>
      <c r="H226" s="153"/>
      <c r="I226" s="916"/>
      <c r="J226" s="224"/>
      <c r="K226" s="914"/>
      <c r="L226" s="223"/>
      <c r="M226" s="223"/>
      <c r="P226" s="27"/>
    </row>
    <row r="227" spans="1:16" x14ac:dyDescent="0.25">
      <c r="A227" s="167" t="s">
        <v>447</v>
      </c>
      <c r="B227" s="177" t="s">
        <v>2300</v>
      </c>
      <c r="C227" s="178"/>
      <c r="D227" s="170"/>
      <c r="E227" s="1777"/>
      <c r="F227" s="180"/>
      <c r="G227" s="163"/>
      <c r="H227" s="153"/>
      <c r="I227" s="916"/>
      <c r="J227" s="224"/>
      <c r="K227" s="914"/>
      <c r="L227" s="223"/>
      <c r="M227" s="223"/>
      <c r="P227" s="27"/>
    </row>
    <row r="228" spans="1:16" x14ac:dyDescent="0.25">
      <c r="A228" s="167"/>
      <c r="B228" s="210" t="s">
        <v>157</v>
      </c>
      <c r="C228" s="178">
        <v>6000</v>
      </c>
      <c r="D228" s="211" t="s">
        <v>158</v>
      </c>
      <c r="E228" s="1777">
        <v>2000</v>
      </c>
      <c r="F228" s="180">
        <f>E228*C228</f>
        <v>12000000</v>
      </c>
      <c r="G228" s="163" t="s">
        <v>1220</v>
      </c>
      <c r="H228" s="152"/>
      <c r="I228" s="916"/>
      <c r="J228" s="224">
        <f t="shared" si="13"/>
        <v>12000000</v>
      </c>
      <c r="K228" s="914"/>
      <c r="L228" s="223"/>
      <c r="M228" s="223"/>
      <c r="N228" s="27"/>
      <c r="P228" s="27"/>
    </row>
    <row r="229" spans="1:16" x14ac:dyDescent="0.25">
      <c r="A229" s="167"/>
      <c r="B229" s="177" t="s">
        <v>1496</v>
      </c>
      <c r="C229" s="178">
        <v>12</v>
      </c>
      <c r="D229" s="170" t="s">
        <v>106</v>
      </c>
      <c r="E229" s="1777">
        <v>50000</v>
      </c>
      <c r="F229" s="180">
        <f>E229*C229</f>
        <v>600000</v>
      </c>
      <c r="G229" s="163" t="s">
        <v>1220</v>
      </c>
      <c r="H229" s="153"/>
      <c r="I229" s="916"/>
      <c r="J229" s="224">
        <f t="shared" si="13"/>
        <v>600000</v>
      </c>
      <c r="K229" s="914"/>
      <c r="L229" s="223"/>
      <c r="M229" s="223"/>
      <c r="N229" s="68"/>
      <c r="P229" s="27"/>
    </row>
    <row r="230" spans="1:16" x14ac:dyDescent="0.25">
      <c r="A230" s="167"/>
      <c r="B230" s="177"/>
      <c r="C230" s="178"/>
      <c r="D230" s="170"/>
      <c r="E230" s="1777"/>
      <c r="F230" s="180"/>
      <c r="G230" s="163"/>
      <c r="H230" s="153"/>
      <c r="I230" s="916"/>
      <c r="J230" s="224"/>
      <c r="K230" s="914"/>
      <c r="L230" s="223"/>
      <c r="M230" s="223"/>
      <c r="N230" s="68"/>
      <c r="P230" s="27"/>
    </row>
    <row r="231" spans="1:16" x14ac:dyDescent="0.25">
      <c r="A231" s="167" t="s">
        <v>172</v>
      </c>
      <c r="B231" s="177" t="s">
        <v>173</v>
      </c>
      <c r="C231" s="178"/>
      <c r="D231" s="170"/>
      <c r="E231" s="1777"/>
      <c r="F231" s="180"/>
      <c r="G231" s="163"/>
      <c r="H231" s="153"/>
      <c r="I231" s="916"/>
      <c r="J231" s="224"/>
      <c r="K231" s="914"/>
      <c r="L231" s="223"/>
      <c r="M231" s="223"/>
      <c r="P231" s="27"/>
    </row>
    <row r="232" spans="1:16" x14ac:dyDescent="0.25">
      <c r="A232" s="212" t="s">
        <v>2301</v>
      </c>
      <c r="B232" s="177" t="s">
        <v>2302</v>
      </c>
      <c r="C232" s="178"/>
      <c r="D232" s="170"/>
      <c r="E232" s="1777"/>
      <c r="F232" s="180"/>
      <c r="G232" s="163"/>
      <c r="H232" s="153"/>
      <c r="I232" s="916"/>
      <c r="J232" s="224"/>
      <c r="K232" s="914"/>
      <c r="L232" s="223"/>
      <c r="M232" s="223"/>
      <c r="P232" s="27"/>
    </row>
    <row r="233" spans="1:16" x14ac:dyDescent="0.25">
      <c r="A233" s="167"/>
      <c r="B233" s="177" t="s">
        <v>174</v>
      </c>
      <c r="C233" s="178">
        <v>12</v>
      </c>
      <c r="D233" s="170" t="s">
        <v>175</v>
      </c>
      <c r="E233" s="1777">
        <v>2500000</v>
      </c>
      <c r="F233" s="180">
        <f t="shared" si="12"/>
        <v>30000000</v>
      </c>
      <c r="G233" s="163" t="s">
        <v>1220</v>
      </c>
      <c r="H233" s="153"/>
      <c r="I233" s="916"/>
      <c r="J233" s="224">
        <f t="shared" si="13"/>
        <v>30000000</v>
      </c>
      <c r="K233" s="914"/>
      <c r="L233" s="223"/>
      <c r="M233" s="223"/>
      <c r="N233" s="27"/>
      <c r="P233" s="27"/>
    </row>
    <row r="234" spans="1:16" x14ac:dyDescent="0.25">
      <c r="A234" s="167"/>
      <c r="B234" s="177" t="s">
        <v>176</v>
      </c>
      <c r="C234" s="178">
        <v>12</v>
      </c>
      <c r="D234" s="170" t="s">
        <v>175</v>
      </c>
      <c r="E234" s="1777">
        <v>1700000</v>
      </c>
      <c r="F234" s="180">
        <f t="shared" si="12"/>
        <v>20400000</v>
      </c>
      <c r="G234" s="163" t="s">
        <v>1220</v>
      </c>
      <c r="H234" s="153"/>
      <c r="I234" s="916"/>
      <c r="J234" s="224">
        <f t="shared" si="13"/>
        <v>20400000</v>
      </c>
      <c r="K234" s="914"/>
      <c r="L234" s="223"/>
      <c r="M234" s="223"/>
      <c r="N234" s="68"/>
      <c r="P234" s="27"/>
    </row>
    <row r="235" spans="1:16" x14ac:dyDescent="0.25">
      <c r="A235" s="167"/>
      <c r="B235" s="177" t="s">
        <v>177</v>
      </c>
      <c r="C235" s="178">
        <f>12*6</f>
        <v>72</v>
      </c>
      <c r="D235" s="170" t="s">
        <v>175</v>
      </c>
      <c r="E235" s="1777">
        <v>1500000</v>
      </c>
      <c r="F235" s="180">
        <f t="shared" si="12"/>
        <v>108000000</v>
      </c>
      <c r="G235" s="163" t="s">
        <v>1220</v>
      </c>
      <c r="H235" s="153"/>
      <c r="I235" s="916"/>
      <c r="J235" s="224">
        <f t="shared" si="13"/>
        <v>108000000</v>
      </c>
      <c r="K235" s="914"/>
      <c r="L235" s="223"/>
      <c r="M235" s="223"/>
      <c r="P235" s="27"/>
    </row>
    <row r="236" spans="1:16" x14ac:dyDescent="0.25">
      <c r="A236" s="167"/>
      <c r="B236" s="177" t="s">
        <v>178</v>
      </c>
      <c r="C236" s="178"/>
      <c r="D236" s="170"/>
      <c r="E236" s="1777"/>
      <c r="F236" s="180"/>
      <c r="G236" s="163"/>
      <c r="H236" s="153"/>
      <c r="I236" s="916"/>
      <c r="J236" s="224"/>
      <c r="K236" s="914"/>
      <c r="L236" s="223"/>
      <c r="M236" s="223"/>
      <c r="N236" s="27"/>
      <c r="P236" s="27"/>
    </row>
    <row r="237" spans="1:16" x14ac:dyDescent="0.25">
      <c r="A237" s="167"/>
      <c r="B237" s="177" t="s">
        <v>179</v>
      </c>
      <c r="C237" s="178">
        <v>1</v>
      </c>
      <c r="D237" s="170" t="s">
        <v>213</v>
      </c>
      <c r="E237" s="1777">
        <v>300000</v>
      </c>
      <c r="F237" s="180">
        <f>E237*C237</f>
        <v>300000</v>
      </c>
      <c r="G237" s="163" t="s">
        <v>1220</v>
      </c>
      <c r="H237" s="153"/>
      <c r="I237" s="916"/>
      <c r="J237" s="224">
        <f t="shared" si="13"/>
        <v>300000</v>
      </c>
      <c r="K237" s="914"/>
      <c r="L237" s="223"/>
      <c r="M237" s="223"/>
      <c r="N237" s="23"/>
      <c r="P237" s="27"/>
    </row>
    <row r="238" spans="1:16" x14ac:dyDescent="0.25">
      <c r="A238" s="167"/>
      <c r="B238" s="177" t="s">
        <v>180</v>
      </c>
      <c r="C238" s="178">
        <v>1</v>
      </c>
      <c r="D238" s="170" t="s">
        <v>213</v>
      </c>
      <c r="E238" s="1777">
        <v>250000</v>
      </c>
      <c r="F238" s="180">
        <f>E238*C238</f>
        <v>250000</v>
      </c>
      <c r="G238" s="163" t="s">
        <v>1220</v>
      </c>
      <c r="H238" s="153"/>
      <c r="I238" s="916"/>
      <c r="J238" s="224">
        <f t="shared" si="13"/>
        <v>250000</v>
      </c>
      <c r="K238" s="914"/>
      <c r="L238" s="223"/>
      <c r="M238" s="223"/>
      <c r="N238" s="23"/>
      <c r="P238" s="27"/>
    </row>
    <row r="239" spans="1:16" x14ac:dyDescent="0.25">
      <c r="A239" s="167"/>
      <c r="B239" s="177" t="s">
        <v>181</v>
      </c>
      <c r="C239" s="178">
        <v>1</v>
      </c>
      <c r="D239" s="170" t="s">
        <v>213</v>
      </c>
      <c r="E239" s="1777">
        <v>200000</v>
      </c>
      <c r="F239" s="180">
        <f>E239*C239</f>
        <v>200000</v>
      </c>
      <c r="G239" s="163" t="s">
        <v>1220</v>
      </c>
      <c r="H239" s="153"/>
      <c r="I239" s="916"/>
      <c r="J239" s="224">
        <f t="shared" si="13"/>
        <v>200000</v>
      </c>
      <c r="K239" s="914"/>
      <c r="L239" s="223"/>
      <c r="M239" s="223"/>
      <c r="P239" s="27"/>
    </row>
    <row r="240" spans="1:16" x14ac:dyDescent="0.25">
      <c r="A240" s="167"/>
      <c r="B240" s="177"/>
      <c r="C240" s="178"/>
      <c r="D240" s="170"/>
      <c r="E240" s="1777"/>
      <c r="F240" s="180"/>
      <c r="G240" s="163"/>
      <c r="H240" s="153"/>
      <c r="I240" s="916"/>
      <c r="J240" s="224"/>
      <c r="K240" s="914"/>
      <c r="L240" s="223"/>
      <c r="M240" s="223"/>
      <c r="P240" s="27"/>
    </row>
    <row r="241" spans="1:23" x14ac:dyDescent="0.25">
      <c r="A241" s="167" t="s">
        <v>182</v>
      </c>
      <c r="B241" s="177" t="s">
        <v>183</v>
      </c>
      <c r="C241" s="178"/>
      <c r="D241" s="170"/>
      <c r="E241" s="1777"/>
      <c r="F241" s="180"/>
      <c r="G241" s="163"/>
      <c r="H241" s="153"/>
      <c r="I241" s="916"/>
      <c r="J241" s="224"/>
      <c r="K241" s="914"/>
      <c r="L241" s="223"/>
      <c r="M241" s="223"/>
      <c r="P241" s="27"/>
    </row>
    <row r="242" spans="1:23" x14ac:dyDescent="0.25">
      <c r="A242" s="176" t="s">
        <v>184</v>
      </c>
      <c r="B242" s="177" t="s">
        <v>185</v>
      </c>
      <c r="C242" s="178">
        <v>1</v>
      </c>
      <c r="D242" s="170" t="s">
        <v>186</v>
      </c>
      <c r="E242" s="1777">
        <v>50000000</v>
      </c>
      <c r="F242" s="180">
        <f t="shared" si="12"/>
        <v>50000000</v>
      </c>
      <c r="G242" s="163" t="s">
        <v>1220</v>
      </c>
      <c r="H242" s="153"/>
      <c r="I242" s="916"/>
      <c r="J242" s="224">
        <f t="shared" si="13"/>
        <v>50000000</v>
      </c>
      <c r="K242" s="914"/>
      <c r="L242" s="223"/>
      <c r="M242" s="223"/>
      <c r="P242" s="27"/>
    </row>
    <row r="243" spans="1:23" x14ac:dyDescent="0.25">
      <c r="A243" s="167"/>
      <c r="B243" s="177"/>
      <c r="C243" s="178"/>
      <c r="D243" s="170"/>
      <c r="E243" s="1777"/>
      <c r="F243" s="180"/>
      <c r="G243" s="163"/>
      <c r="H243" s="153"/>
      <c r="I243" s="916"/>
      <c r="J243" s="224"/>
      <c r="K243" s="914"/>
      <c r="L243" s="223"/>
      <c r="M243" s="223"/>
      <c r="P243" s="27"/>
    </row>
    <row r="244" spans="1:23" x14ac:dyDescent="0.25">
      <c r="A244" s="167" t="s">
        <v>187</v>
      </c>
      <c r="B244" s="177" t="s">
        <v>188</v>
      </c>
      <c r="C244" s="178"/>
      <c r="D244" s="170"/>
      <c r="E244" s="1777"/>
      <c r="F244" s="180"/>
      <c r="G244" s="163"/>
      <c r="H244" s="153"/>
      <c r="I244" s="916"/>
      <c r="J244" s="224"/>
      <c r="K244" s="914"/>
      <c r="L244" s="223"/>
      <c r="M244" s="223"/>
      <c r="P244" s="27"/>
    </row>
    <row r="245" spans="1:23" x14ac:dyDescent="0.25">
      <c r="A245" s="167" t="s">
        <v>189</v>
      </c>
      <c r="B245" s="177" t="s">
        <v>190</v>
      </c>
      <c r="C245" s="178">
        <v>1</v>
      </c>
      <c r="D245" s="170" t="s">
        <v>186</v>
      </c>
      <c r="E245" s="1777">
        <v>36600000</v>
      </c>
      <c r="F245" s="180">
        <f t="shared" si="12"/>
        <v>36600000</v>
      </c>
      <c r="G245" s="163" t="s">
        <v>1220</v>
      </c>
      <c r="H245" s="153"/>
      <c r="I245" s="916"/>
      <c r="J245" s="224">
        <f t="shared" si="13"/>
        <v>36600000</v>
      </c>
      <c r="K245" s="914"/>
      <c r="L245" s="223"/>
      <c r="M245" s="223"/>
      <c r="N245" s="23"/>
      <c r="P245" s="27"/>
    </row>
    <row r="246" spans="1:23" ht="30.75" customHeight="1" x14ac:dyDescent="0.25">
      <c r="A246" s="167" t="s">
        <v>191</v>
      </c>
      <c r="B246" s="177" t="s">
        <v>192</v>
      </c>
      <c r="C246" s="178">
        <v>1</v>
      </c>
      <c r="D246" s="170" t="s">
        <v>186</v>
      </c>
      <c r="E246" s="1777">
        <v>1440000</v>
      </c>
      <c r="F246" s="180">
        <f t="shared" si="12"/>
        <v>1440000</v>
      </c>
      <c r="G246" s="163" t="s">
        <v>1220</v>
      </c>
      <c r="H246" s="153"/>
      <c r="I246" s="916"/>
      <c r="J246" s="224">
        <f t="shared" si="13"/>
        <v>1440000</v>
      </c>
      <c r="K246" s="914"/>
      <c r="L246" s="223"/>
      <c r="M246" s="223"/>
      <c r="N246" s="68"/>
      <c r="P246" s="27"/>
    </row>
    <row r="247" spans="1:23" x14ac:dyDescent="0.25">
      <c r="A247" s="167" t="s">
        <v>193</v>
      </c>
      <c r="B247" s="177" t="s">
        <v>194</v>
      </c>
      <c r="C247" s="178">
        <v>1</v>
      </c>
      <c r="D247" s="170" t="s">
        <v>186</v>
      </c>
      <c r="E247" s="1777">
        <v>1200000</v>
      </c>
      <c r="F247" s="180">
        <f t="shared" si="12"/>
        <v>1200000</v>
      </c>
      <c r="G247" s="163" t="s">
        <v>1220</v>
      </c>
      <c r="H247" s="153"/>
      <c r="I247" s="916"/>
      <c r="J247" s="224">
        <f t="shared" si="13"/>
        <v>1200000</v>
      </c>
      <c r="K247" s="914"/>
      <c r="L247" s="223"/>
      <c r="M247" s="223"/>
      <c r="N247" s="68"/>
      <c r="P247" s="27"/>
    </row>
    <row r="248" spans="1:23" x14ac:dyDescent="0.25">
      <c r="A248" s="167" t="s">
        <v>195</v>
      </c>
      <c r="B248" s="177" t="s">
        <v>196</v>
      </c>
      <c r="C248" s="178">
        <v>1</v>
      </c>
      <c r="D248" s="170" t="s">
        <v>186</v>
      </c>
      <c r="E248" s="1777">
        <v>15600000</v>
      </c>
      <c r="F248" s="180">
        <f t="shared" si="12"/>
        <v>15600000</v>
      </c>
      <c r="G248" s="163" t="s">
        <v>1220</v>
      </c>
      <c r="H248" s="153"/>
      <c r="I248" s="916"/>
      <c r="J248" s="224">
        <f t="shared" si="13"/>
        <v>15600000</v>
      </c>
      <c r="K248" s="914"/>
      <c r="L248" s="223"/>
      <c r="M248" s="223"/>
      <c r="N248" s="68"/>
      <c r="P248" s="27"/>
    </row>
    <row r="249" spans="1:23" x14ac:dyDescent="0.25">
      <c r="A249" s="167" t="s">
        <v>197</v>
      </c>
      <c r="B249" s="177" t="s">
        <v>198</v>
      </c>
      <c r="C249" s="178"/>
      <c r="D249" s="170"/>
      <c r="E249" s="1777"/>
      <c r="F249" s="180"/>
      <c r="G249" s="163"/>
      <c r="H249" s="153"/>
      <c r="I249" s="916"/>
      <c r="J249" s="224"/>
      <c r="K249" s="914"/>
      <c r="L249" s="223"/>
      <c r="M249" s="223"/>
      <c r="P249" s="27"/>
    </row>
    <row r="250" spans="1:23" x14ac:dyDescent="0.25">
      <c r="A250" s="167"/>
      <c r="B250" s="177" t="s">
        <v>3112</v>
      </c>
      <c r="C250" s="178">
        <v>1</v>
      </c>
      <c r="D250" s="170" t="s">
        <v>186</v>
      </c>
      <c r="E250" s="1777">
        <v>500000</v>
      </c>
      <c r="F250" s="180">
        <f>E250*C250</f>
        <v>500000</v>
      </c>
      <c r="G250" s="163" t="s">
        <v>1220</v>
      </c>
      <c r="H250" s="153"/>
      <c r="I250" s="916"/>
      <c r="J250" s="224">
        <f t="shared" ref="J250:J301" si="14">F250</f>
        <v>500000</v>
      </c>
      <c r="K250" s="914"/>
      <c r="L250" s="223"/>
      <c r="M250" s="223"/>
      <c r="P250" s="27"/>
    </row>
    <row r="251" spans="1:23" x14ac:dyDescent="0.25">
      <c r="A251" s="167"/>
      <c r="B251" s="177" t="s">
        <v>2154</v>
      </c>
      <c r="C251" s="178">
        <v>1</v>
      </c>
      <c r="D251" s="170" t="s">
        <v>110</v>
      </c>
      <c r="E251" s="1777">
        <v>21250000</v>
      </c>
      <c r="F251" s="180">
        <f>E251*C251</f>
        <v>21250000</v>
      </c>
      <c r="G251" s="163" t="s">
        <v>1220</v>
      </c>
      <c r="H251" s="153"/>
      <c r="I251" s="916"/>
      <c r="J251" s="224">
        <f t="shared" si="14"/>
        <v>21250000</v>
      </c>
      <c r="K251" s="914"/>
      <c r="L251" s="818"/>
      <c r="M251" s="818"/>
      <c r="N251" s="68"/>
      <c r="P251" s="27"/>
      <c r="W251" s="27"/>
    </row>
    <row r="252" spans="1:23" x14ac:dyDescent="0.25">
      <c r="A252" s="176"/>
      <c r="B252" s="177" t="s">
        <v>199</v>
      </c>
      <c r="C252" s="178">
        <v>1</v>
      </c>
      <c r="D252" s="207" t="s">
        <v>126</v>
      </c>
      <c r="E252" s="1777">
        <v>350000</v>
      </c>
      <c r="F252" s="180">
        <f t="shared" si="12"/>
        <v>350000</v>
      </c>
      <c r="G252" s="163" t="s">
        <v>1220</v>
      </c>
      <c r="H252" s="223"/>
      <c r="I252" s="916"/>
      <c r="J252" s="224">
        <f t="shared" si="14"/>
        <v>350000</v>
      </c>
      <c r="K252" s="914"/>
      <c r="L252" s="223"/>
      <c r="M252" s="223"/>
      <c r="P252" s="27"/>
    </row>
    <row r="253" spans="1:23" x14ac:dyDescent="0.25">
      <c r="A253" s="176"/>
      <c r="B253" s="177" t="s">
        <v>200</v>
      </c>
      <c r="C253" s="178">
        <v>1</v>
      </c>
      <c r="D253" s="207" t="s">
        <v>126</v>
      </c>
      <c r="E253" s="1777">
        <v>350000</v>
      </c>
      <c r="F253" s="180">
        <f t="shared" si="12"/>
        <v>350000</v>
      </c>
      <c r="G253" s="163" t="s">
        <v>1220</v>
      </c>
      <c r="H253" s="223"/>
      <c r="I253" s="916"/>
      <c r="J253" s="224">
        <f t="shared" si="14"/>
        <v>350000</v>
      </c>
      <c r="K253" s="914"/>
      <c r="L253" s="223"/>
      <c r="M253" s="223"/>
      <c r="P253" s="27"/>
    </row>
    <row r="254" spans="1:23" x14ac:dyDescent="0.25">
      <c r="A254" s="176"/>
      <c r="B254" s="177" t="s">
        <v>201</v>
      </c>
      <c r="C254" s="178">
        <v>1</v>
      </c>
      <c r="D254" s="207" t="s">
        <v>126</v>
      </c>
      <c r="E254" s="1777">
        <v>350000</v>
      </c>
      <c r="F254" s="180">
        <f t="shared" si="12"/>
        <v>350000</v>
      </c>
      <c r="G254" s="163" t="s">
        <v>1220</v>
      </c>
      <c r="H254" s="223"/>
      <c r="I254" s="916"/>
      <c r="J254" s="224">
        <f t="shared" si="14"/>
        <v>350000</v>
      </c>
      <c r="K254" s="914"/>
      <c r="L254" s="223"/>
      <c r="M254" s="223"/>
      <c r="P254" s="27"/>
    </row>
    <row r="255" spans="1:23" x14ac:dyDescent="0.25">
      <c r="A255" s="176"/>
      <c r="B255" s="177" t="s">
        <v>202</v>
      </c>
      <c r="C255" s="178">
        <v>1</v>
      </c>
      <c r="D255" s="207" t="s">
        <v>126</v>
      </c>
      <c r="E255" s="1777">
        <v>2500000</v>
      </c>
      <c r="F255" s="180">
        <f t="shared" si="12"/>
        <v>2500000</v>
      </c>
      <c r="G255" s="163" t="s">
        <v>1220</v>
      </c>
      <c r="H255" s="223"/>
      <c r="I255" s="916"/>
      <c r="J255" s="224">
        <f t="shared" si="14"/>
        <v>2500000</v>
      </c>
      <c r="K255" s="914"/>
      <c r="L255" s="223"/>
      <c r="M255" s="223"/>
      <c r="P255" s="27"/>
    </row>
    <row r="256" spans="1:23" x14ac:dyDescent="0.25">
      <c r="A256" s="193"/>
      <c r="B256" s="177" t="s">
        <v>203</v>
      </c>
      <c r="C256" s="178">
        <v>2</v>
      </c>
      <c r="D256" s="207" t="s">
        <v>126</v>
      </c>
      <c r="E256" s="1777">
        <v>405600</v>
      </c>
      <c r="F256" s="180">
        <f t="shared" si="12"/>
        <v>811200</v>
      </c>
      <c r="G256" s="163" t="s">
        <v>1220</v>
      </c>
      <c r="H256" s="223"/>
      <c r="I256" s="916"/>
      <c r="J256" s="224">
        <f t="shared" si="14"/>
        <v>811200</v>
      </c>
      <c r="K256" s="914"/>
      <c r="L256" s="223"/>
      <c r="M256" s="223"/>
      <c r="P256" s="27"/>
    </row>
    <row r="257" spans="1:21" x14ac:dyDescent="0.25">
      <c r="A257" s="193"/>
      <c r="B257" s="177" t="s">
        <v>204</v>
      </c>
      <c r="C257" s="178">
        <v>1</v>
      </c>
      <c r="D257" s="207" t="s">
        <v>126</v>
      </c>
      <c r="E257" s="1777">
        <v>3800000</v>
      </c>
      <c r="F257" s="180">
        <f t="shared" si="12"/>
        <v>3800000</v>
      </c>
      <c r="G257" s="163" t="s">
        <v>1220</v>
      </c>
      <c r="H257" s="223"/>
      <c r="I257" s="916"/>
      <c r="J257" s="224">
        <f t="shared" si="14"/>
        <v>3800000</v>
      </c>
      <c r="K257" s="914"/>
      <c r="L257" s="223"/>
      <c r="M257" s="223"/>
      <c r="P257" s="27"/>
    </row>
    <row r="258" spans="1:21" x14ac:dyDescent="0.25">
      <c r="A258" s="212"/>
      <c r="B258" s="177" t="s">
        <v>2155</v>
      </c>
      <c r="C258" s="178">
        <v>3</v>
      </c>
      <c r="D258" s="207" t="s">
        <v>110</v>
      </c>
      <c r="E258" s="1777">
        <v>100000</v>
      </c>
      <c r="F258" s="180">
        <f t="shared" si="12"/>
        <v>300000</v>
      </c>
      <c r="G258" s="163" t="s">
        <v>1220</v>
      </c>
      <c r="H258" s="223"/>
      <c r="I258" s="916"/>
      <c r="J258" s="224">
        <f t="shared" si="14"/>
        <v>300000</v>
      </c>
      <c r="K258" s="914"/>
      <c r="L258" s="818"/>
      <c r="M258" s="818"/>
      <c r="P258" s="27"/>
    </row>
    <row r="259" spans="1:21" x14ac:dyDescent="0.25">
      <c r="A259" s="212"/>
      <c r="B259" s="177" t="s">
        <v>3413</v>
      </c>
      <c r="C259" s="178">
        <v>5</v>
      </c>
      <c r="D259" s="207" t="s">
        <v>220</v>
      </c>
      <c r="E259" s="1777">
        <v>750000</v>
      </c>
      <c r="F259" s="180">
        <f t="shared" si="12"/>
        <v>3750000</v>
      </c>
      <c r="G259" s="163" t="s">
        <v>1220</v>
      </c>
      <c r="H259" s="223"/>
      <c r="I259" s="916"/>
      <c r="J259" s="224">
        <f t="shared" si="14"/>
        <v>3750000</v>
      </c>
      <c r="K259" s="914"/>
      <c r="L259" s="818"/>
      <c r="M259" s="818"/>
      <c r="P259" s="27"/>
    </row>
    <row r="260" spans="1:21" x14ac:dyDescent="0.25">
      <c r="A260" s="167" t="s">
        <v>197</v>
      </c>
      <c r="B260" s="177" t="s">
        <v>198</v>
      </c>
      <c r="C260" s="178"/>
      <c r="D260" s="170"/>
      <c r="E260" s="1777"/>
      <c r="F260" s="180"/>
      <c r="G260" s="163"/>
      <c r="H260" s="153"/>
      <c r="I260" s="916"/>
      <c r="J260" s="224"/>
      <c r="K260" s="914"/>
      <c r="L260" s="223"/>
      <c r="M260" s="223"/>
      <c r="P260" s="27"/>
    </row>
    <row r="261" spans="1:21" x14ac:dyDescent="0.25">
      <c r="A261" s="212"/>
      <c r="B261" s="177" t="s">
        <v>3550</v>
      </c>
      <c r="C261" s="178">
        <v>1</v>
      </c>
      <c r="D261" s="207" t="s">
        <v>133</v>
      </c>
      <c r="E261" s="1777">
        <v>92845785.840000004</v>
      </c>
      <c r="F261" s="180">
        <f>E261*C261</f>
        <v>92845785.840000004</v>
      </c>
      <c r="G261" s="163" t="s">
        <v>1506</v>
      </c>
      <c r="H261" s="1757"/>
      <c r="I261" s="916"/>
      <c r="J261" s="224"/>
      <c r="K261" s="914">
        <f>F261</f>
        <v>92845785.840000004</v>
      </c>
      <c r="L261" s="818"/>
      <c r="M261" s="818"/>
      <c r="P261" s="27"/>
    </row>
    <row r="262" spans="1:21" x14ac:dyDescent="0.25">
      <c r="A262" s="167" t="s">
        <v>197</v>
      </c>
      <c r="B262" s="177" t="s">
        <v>2156</v>
      </c>
      <c r="C262" s="178"/>
      <c r="D262" s="207"/>
      <c r="E262" s="1777"/>
      <c r="F262" s="180"/>
      <c r="G262" s="163"/>
      <c r="H262" s="1763"/>
      <c r="I262" s="916"/>
      <c r="J262" s="224"/>
      <c r="K262" s="914"/>
      <c r="L262" s="818"/>
      <c r="M262" s="818"/>
      <c r="P262" s="27"/>
    </row>
    <row r="263" spans="1:21" ht="24.75" x14ac:dyDescent="0.25">
      <c r="A263" s="212"/>
      <c r="B263" s="177" t="s">
        <v>2156</v>
      </c>
      <c r="C263" s="178">
        <v>12</v>
      </c>
      <c r="D263" s="207" t="s">
        <v>122</v>
      </c>
      <c r="E263" s="1777">
        <v>900000</v>
      </c>
      <c r="F263" s="180">
        <f>E263*C263</f>
        <v>10800000</v>
      </c>
      <c r="G263" s="213" t="s">
        <v>3295</v>
      </c>
      <c r="H263" s="223"/>
      <c r="I263" s="916"/>
      <c r="J263" s="224"/>
      <c r="K263" s="914"/>
      <c r="L263" s="818"/>
      <c r="M263" s="818"/>
      <c r="O263" s="27">
        <f>F263</f>
        <v>10800000</v>
      </c>
      <c r="P263" s="27"/>
      <c r="U263" s="27"/>
    </row>
    <row r="264" spans="1:21" x14ac:dyDescent="0.25">
      <c r="A264" s="167" t="s">
        <v>1507</v>
      </c>
      <c r="B264" s="177" t="s">
        <v>1508</v>
      </c>
      <c r="C264" s="178"/>
      <c r="D264" s="207"/>
      <c r="E264" s="1777"/>
      <c r="F264" s="180"/>
      <c r="G264" s="163"/>
      <c r="H264" s="223"/>
      <c r="I264" s="916"/>
      <c r="J264" s="224"/>
      <c r="K264" s="914"/>
      <c r="L264" s="223"/>
      <c r="M264" s="223"/>
      <c r="P264" s="27"/>
    </row>
    <row r="265" spans="1:21" ht="24.75" x14ac:dyDescent="0.25">
      <c r="A265" s="167"/>
      <c r="B265" s="177" t="s">
        <v>1508</v>
      </c>
      <c r="C265" s="178">
        <v>12</v>
      </c>
      <c r="D265" s="207" t="s">
        <v>122</v>
      </c>
      <c r="E265" s="1777">
        <v>10000</v>
      </c>
      <c r="F265" s="180">
        <f>E265*C265</f>
        <v>120000</v>
      </c>
      <c r="G265" s="213" t="s">
        <v>3295</v>
      </c>
      <c r="H265" s="223"/>
      <c r="I265" s="916"/>
      <c r="J265" s="224"/>
      <c r="K265" s="914"/>
      <c r="L265" s="818"/>
      <c r="M265" s="818"/>
      <c r="O265" s="27">
        <f>F265</f>
        <v>120000</v>
      </c>
      <c r="P265" s="27"/>
      <c r="U265" s="27"/>
    </row>
    <row r="266" spans="1:21" x14ac:dyDescent="0.25">
      <c r="A266" s="167" t="s">
        <v>205</v>
      </c>
      <c r="B266" s="177" t="s">
        <v>206</v>
      </c>
      <c r="C266" s="178"/>
      <c r="D266" s="207"/>
      <c r="E266" s="1777"/>
      <c r="F266" s="180"/>
      <c r="G266" s="163"/>
      <c r="H266" s="223"/>
      <c r="I266" s="916"/>
      <c r="J266" s="224"/>
      <c r="K266" s="914"/>
      <c r="L266" s="223"/>
      <c r="M266" s="223"/>
      <c r="P266" s="27"/>
    </row>
    <row r="267" spans="1:21" x14ac:dyDescent="0.25">
      <c r="A267" s="167" t="s">
        <v>207</v>
      </c>
      <c r="B267" s="177" t="s">
        <v>208</v>
      </c>
      <c r="C267" s="178"/>
      <c r="D267" s="207"/>
      <c r="E267" s="1777"/>
      <c r="F267" s="180"/>
      <c r="G267" s="163"/>
      <c r="H267" s="223"/>
      <c r="I267" s="916"/>
      <c r="J267" s="224"/>
      <c r="K267" s="914"/>
      <c r="L267" s="223"/>
      <c r="M267" s="223"/>
      <c r="P267" s="27"/>
    </row>
    <row r="268" spans="1:21" x14ac:dyDescent="0.25">
      <c r="A268" s="167"/>
      <c r="B268" s="177" t="s">
        <v>209</v>
      </c>
      <c r="C268" s="178"/>
      <c r="D268" s="170"/>
      <c r="E268" s="1777"/>
      <c r="F268" s="180"/>
      <c r="G268" s="163"/>
      <c r="H268" s="153"/>
      <c r="I268" s="916"/>
      <c r="J268" s="224"/>
      <c r="K268" s="914"/>
      <c r="L268" s="223"/>
      <c r="M268" s="223"/>
      <c r="P268" s="27"/>
    </row>
    <row r="269" spans="1:21" x14ac:dyDescent="0.25">
      <c r="A269" s="167"/>
      <c r="B269" s="177" t="s">
        <v>2157</v>
      </c>
      <c r="C269" s="178">
        <v>1</v>
      </c>
      <c r="D269" s="170" t="s">
        <v>186</v>
      </c>
      <c r="E269" s="1777">
        <v>3600000</v>
      </c>
      <c r="F269" s="180">
        <f>E269*C269</f>
        <v>3600000</v>
      </c>
      <c r="G269" s="163" t="s">
        <v>1220</v>
      </c>
      <c r="H269" s="153"/>
      <c r="I269" s="916"/>
      <c r="J269" s="224">
        <f t="shared" si="14"/>
        <v>3600000</v>
      </c>
      <c r="K269" s="914"/>
      <c r="L269" s="223"/>
      <c r="M269" s="223"/>
      <c r="P269" s="27"/>
    </row>
    <row r="270" spans="1:21" x14ac:dyDescent="0.25">
      <c r="A270" s="176"/>
      <c r="B270" s="177" t="s">
        <v>2158</v>
      </c>
      <c r="C270" s="178">
        <v>1</v>
      </c>
      <c r="D270" s="170" t="s">
        <v>186</v>
      </c>
      <c r="E270" s="214">
        <v>2700000</v>
      </c>
      <c r="F270" s="180">
        <f t="shared" ref="F270:F301" si="15">E270*C270</f>
        <v>2700000</v>
      </c>
      <c r="G270" s="163" t="s">
        <v>1220</v>
      </c>
      <c r="H270" s="153"/>
      <c r="I270" s="224"/>
      <c r="J270" s="224">
        <f t="shared" si="14"/>
        <v>2700000</v>
      </c>
      <c r="K270" s="914"/>
      <c r="L270" s="223"/>
      <c r="M270" s="223"/>
      <c r="P270" s="27"/>
    </row>
    <row r="271" spans="1:21" x14ac:dyDescent="0.25">
      <c r="A271" s="176"/>
      <c r="B271" s="177" t="s">
        <v>211</v>
      </c>
      <c r="C271" s="178">
        <v>1</v>
      </c>
      <c r="D271" s="170" t="s">
        <v>212</v>
      </c>
      <c r="E271" s="214">
        <v>2250000</v>
      </c>
      <c r="F271" s="180">
        <f t="shared" si="15"/>
        <v>2250000</v>
      </c>
      <c r="G271" s="163" t="s">
        <v>1220</v>
      </c>
      <c r="H271" s="153"/>
      <c r="I271" s="224"/>
      <c r="J271" s="224">
        <f t="shared" si="14"/>
        <v>2250000</v>
      </c>
      <c r="K271" s="914"/>
      <c r="L271" s="223"/>
      <c r="M271" s="223"/>
      <c r="P271" s="27"/>
    </row>
    <row r="272" spans="1:21" x14ac:dyDescent="0.25">
      <c r="A272" s="176"/>
      <c r="B272" s="210" t="s">
        <v>2159</v>
      </c>
      <c r="C272" s="178">
        <v>1</v>
      </c>
      <c r="D272" s="170" t="s">
        <v>212</v>
      </c>
      <c r="E272" s="1777">
        <v>6500000</v>
      </c>
      <c r="F272" s="180">
        <f t="shared" si="15"/>
        <v>6500000</v>
      </c>
      <c r="G272" s="163" t="s">
        <v>1220</v>
      </c>
      <c r="H272" s="153"/>
      <c r="I272" s="916"/>
      <c r="J272" s="224">
        <f t="shared" si="14"/>
        <v>6500000</v>
      </c>
      <c r="K272" s="914"/>
      <c r="L272" s="223"/>
      <c r="M272" s="223"/>
      <c r="P272" s="27"/>
    </row>
    <row r="273" spans="1:16" x14ac:dyDescent="0.25">
      <c r="A273" s="176"/>
      <c r="B273" s="210" t="s">
        <v>214</v>
      </c>
      <c r="C273" s="178">
        <v>1</v>
      </c>
      <c r="D273" s="170" t="s">
        <v>212</v>
      </c>
      <c r="E273" s="1777">
        <v>4000000</v>
      </c>
      <c r="F273" s="180">
        <f t="shared" si="15"/>
        <v>4000000</v>
      </c>
      <c r="G273" s="163" t="s">
        <v>1220</v>
      </c>
      <c r="H273" s="153"/>
      <c r="I273" s="916"/>
      <c r="J273" s="224">
        <f t="shared" si="14"/>
        <v>4000000</v>
      </c>
      <c r="K273" s="914"/>
      <c r="L273" s="223"/>
      <c r="M273" s="223"/>
      <c r="P273" s="27"/>
    </row>
    <row r="274" spans="1:16" x14ac:dyDescent="0.25">
      <c r="A274" s="176"/>
      <c r="B274" s="210"/>
      <c r="C274" s="178"/>
      <c r="D274" s="170"/>
      <c r="E274" s="1777"/>
      <c r="F274" s="180"/>
      <c r="G274" s="163"/>
      <c r="H274" s="153"/>
      <c r="I274" s="916"/>
      <c r="J274" s="224">
        <f t="shared" si="14"/>
        <v>0</v>
      </c>
      <c r="K274" s="914"/>
      <c r="L274" s="223"/>
      <c r="M274" s="223"/>
      <c r="P274" s="27"/>
    </row>
    <row r="275" spans="1:16" x14ac:dyDescent="0.25">
      <c r="A275" s="176" t="s">
        <v>216</v>
      </c>
      <c r="B275" s="177" t="s">
        <v>217</v>
      </c>
      <c r="C275" s="178"/>
      <c r="D275" s="170"/>
      <c r="E275" s="1777"/>
      <c r="F275" s="180"/>
      <c r="G275" s="163"/>
      <c r="H275" s="153"/>
      <c r="I275" s="916"/>
      <c r="J275" s="224">
        <f t="shared" si="14"/>
        <v>0</v>
      </c>
      <c r="K275" s="914"/>
      <c r="L275" s="223"/>
      <c r="M275" s="223"/>
      <c r="P275" s="27"/>
    </row>
    <row r="276" spans="1:16" x14ac:dyDescent="0.25">
      <c r="A276" s="176"/>
      <c r="B276" s="177" t="s">
        <v>3113</v>
      </c>
      <c r="C276" s="178">
        <v>1</v>
      </c>
      <c r="D276" s="170" t="s">
        <v>186</v>
      </c>
      <c r="E276" s="1777">
        <v>3000000</v>
      </c>
      <c r="F276" s="180">
        <f>E276*C276</f>
        <v>3000000</v>
      </c>
      <c r="G276" s="163" t="s">
        <v>1220</v>
      </c>
      <c r="H276" s="153"/>
      <c r="I276" s="916"/>
      <c r="J276" s="224">
        <f t="shared" si="14"/>
        <v>3000000</v>
      </c>
      <c r="K276" s="914"/>
      <c r="L276" s="223"/>
      <c r="M276" s="223"/>
      <c r="P276" s="27"/>
    </row>
    <row r="277" spans="1:16" x14ac:dyDescent="0.25">
      <c r="A277" s="176"/>
      <c r="B277" s="177" t="s">
        <v>2160</v>
      </c>
      <c r="C277" s="178">
        <v>1</v>
      </c>
      <c r="D277" s="170" t="s">
        <v>186</v>
      </c>
      <c r="E277" s="1779">
        <v>3300000</v>
      </c>
      <c r="F277" s="180">
        <f t="shared" si="15"/>
        <v>3300000</v>
      </c>
      <c r="G277" s="163" t="s">
        <v>1220</v>
      </c>
      <c r="H277" s="1482"/>
      <c r="I277" s="919"/>
      <c r="J277" s="224">
        <f t="shared" si="14"/>
        <v>3300000</v>
      </c>
      <c r="K277" s="914"/>
      <c r="L277" s="223"/>
      <c r="M277" s="223"/>
      <c r="P277" s="27"/>
    </row>
    <row r="278" spans="1:16" x14ac:dyDescent="0.25">
      <c r="A278" s="176"/>
      <c r="B278" s="210" t="s">
        <v>215</v>
      </c>
      <c r="C278" s="178">
        <v>1</v>
      </c>
      <c r="D278" s="170" t="s">
        <v>212</v>
      </c>
      <c r="E278" s="1777">
        <v>500000</v>
      </c>
      <c r="F278" s="180">
        <f>E278*C278</f>
        <v>500000</v>
      </c>
      <c r="G278" s="163" t="s">
        <v>1220</v>
      </c>
      <c r="H278" s="153"/>
      <c r="I278" s="916"/>
      <c r="J278" s="224">
        <f t="shared" si="14"/>
        <v>500000</v>
      </c>
      <c r="K278" s="914"/>
      <c r="L278" s="223"/>
      <c r="M278" s="223"/>
      <c r="P278" s="27"/>
    </row>
    <row r="279" spans="1:16" x14ac:dyDescent="0.25">
      <c r="A279" s="176"/>
      <c r="B279" s="177" t="s">
        <v>2161</v>
      </c>
      <c r="C279" s="178">
        <v>1</v>
      </c>
      <c r="D279" s="170" t="s">
        <v>186</v>
      </c>
      <c r="E279" s="214">
        <v>7500000</v>
      </c>
      <c r="F279" s="180">
        <f t="shared" si="15"/>
        <v>7500000</v>
      </c>
      <c r="G279" s="163" t="s">
        <v>1220</v>
      </c>
      <c r="H279" s="153"/>
      <c r="I279" s="920"/>
      <c r="J279" s="224">
        <f t="shared" si="14"/>
        <v>7500000</v>
      </c>
      <c r="K279" s="914"/>
      <c r="L279" s="223"/>
      <c r="M279" s="223"/>
      <c r="P279" s="27"/>
    </row>
    <row r="280" spans="1:16" x14ac:dyDescent="0.25">
      <c r="A280" s="176"/>
      <c r="B280" s="177" t="s">
        <v>218</v>
      </c>
      <c r="C280" s="178">
        <v>1</v>
      </c>
      <c r="D280" s="170" t="s">
        <v>186</v>
      </c>
      <c r="E280" s="1777">
        <v>900000</v>
      </c>
      <c r="F280" s="180">
        <f t="shared" si="15"/>
        <v>900000</v>
      </c>
      <c r="G280" s="163" t="s">
        <v>1220</v>
      </c>
      <c r="H280" s="153"/>
      <c r="I280" s="916"/>
      <c r="J280" s="224">
        <f t="shared" si="14"/>
        <v>900000</v>
      </c>
      <c r="K280" s="914"/>
      <c r="L280" s="223"/>
      <c r="M280" s="223"/>
      <c r="P280" s="27"/>
    </row>
    <row r="281" spans="1:16" x14ac:dyDescent="0.25">
      <c r="A281" s="176"/>
      <c r="B281" s="177" t="s">
        <v>219</v>
      </c>
      <c r="C281" s="178">
        <v>1</v>
      </c>
      <c r="D281" s="170" t="s">
        <v>186</v>
      </c>
      <c r="E281" s="1777">
        <v>1000000</v>
      </c>
      <c r="F281" s="180">
        <f t="shared" si="15"/>
        <v>1000000</v>
      </c>
      <c r="G281" s="163" t="s">
        <v>1220</v>
      </c>
      <c r="H281" s="153"/>
      <c r="I281" s="916"/>
      <c r="J281" s="224">
        <f t="shared" si="14"/>
        <v>1000000</v>
      </c>
      <c r="K281" s="914"/>
      <c r="L281" s="223"/>
      <c r="M281" s="223"/>
      <c r="P281" s="27"/>
    </row>
    <row r="282" spans="1:16" x14ac:dyDescent="0.25">
      <c r="A282" s="176"/>
      <c r="B282" s="177" t="s">
        <v>2162</v>
      </c>
      <c r="C282" s="178">
        <v>1</v>
      </c>
      <c r="D282" s="170" t="s">
        <v>186</v>
      </c>
      <c r="E282" s="1777">
        <v>1500000</v>
      </c>
      <c r="F282" s="180">
        <f t="shared" si="15"/>
        <v>1500000</v>
      </c>
      <c r="G282" s="163" t="s">
        <v>1220</v>
      </c>
      <c r="H282" s="153"/>
      <c r="I282" s="916"/>
      <c r="J282" s="224">
        <f t="shared" si="14"/>
        <v>1500000</v>
      </c>
      <c r="K282" s="914"/>
      <c r="L282" s="223"/>
      <c r="M282" s="223"/>
      <c r="P282" s="27"/>
    </row>
    <row r="283" spans="1:16" x14ac:dyDescent="0.25">
      <c r="A283" s="176"/>
      <c r="B283" s="177" t="s">
        <v>2163</v>
      </c>
      <c r="C283" s="178">
        <v>1</v>
      </c>
      <c r="D283" s="170" t="s">
        <v>186</v>
      </c>
      <c r="E283" s="1777">
        <v>6000000</v>
      </c>
      <c r="F283" s="180">
        <f t="shared" si="15"/>
        <v>6000000</v>
      </c>
      <c r="G283" s="163" t="s">
        <v>1220</v>
      </c>
      <c r="H283" s="153"/>
      <c r="I283" s="916"/>
      <c r="J283" s="224">
        <f t="shared" si="14"/>
        <v>6000000</v>
      </c>
      <c r="K283" s="914"/>
      <c r="L283" s="223"/>
      <c r="M283" s="223"/>
      <c r="N283" s="23"/>
      <c r="P283" s="27"/>
    </row>
    <row r="284" spans="1:16" x14ac:dyDescent="0.25">
      <c r="A284" s="176"/>
      <c r="B284" s="177" t="s">
        <v>221</v>
      </c>
      <c r="C284" s="178">
        <v>1</v>
      </c>
      <c r="D284" s="170" t="s">
        <v>186</v>
      </c>
      <c r="E284" s="1777">
        <v>600000</v>
      </c>
      <c r="F284" s="180">
        <f t="shared" si="15"/>
        <v>600000</v>
      </c>
      <c r="G284" s="163" t="s">
        <v>1220</v>
      </c>
      <c r="H284" s="153"/>
      <c r="I284" s="916"/>
      <c r="J284" s="224">
        <f t="shared" si="14"/>
        <v>600000</v>
      </c>
      <c r="K284" s="914"/>
      <c r="L284" s="223"/>
      <c r="M284" s="223"/>
      <c r="P284" s="27"/>
    </row>
    <row r="285" spans="1:16" x14ac:dyDescent="0.25">
      <c r="A285" s="176"/>
      <c r="B285" s="177" t="s">
        <v>222</v>
      </c>
      <c r="C285" s="178">
        <v>1</v>
      </c>
      <c r="D285" s="170" t="s">
        <v>186</v>
      </c>
      <c r="E285" s="214">
        <v>4000000</v>
      </c>
      <c r="F285" s="180">
        <f t="shared" si="15"/>
        <v>4000000</v>
      </c>
      <c r="G285" s="163" t="s">
        <v>1220</v>
      </c>
      <c r="H285" s="153"/>
      <c r="I285" s="224"/>
      <c r="J285" s="224">
        <f t="shared" si="14"/>
        <v>4000000</v>
      </c>
      <c r="K285" s="914"/>
      <c r="L285" s="223"/>
      <c r="M285" s="223"/>
      <c r="P285" s="27"/>
    </row>
    <row r="286" spans="1:16" x14ac:dyDescent="0.25">
      <c r="A286" s="176"/>
      <c r="B286" s="177" t="s">
        <v>223</v>
      </c>
      <c r="C286" s="178">
        <v>1</v>
      </c>
      <c r="D286" s="170" t="s">
        <v>186</v>
      </c>
      <c r="E286" s="1777">
        <v>400000</v>
      </c>
      <c r="F286" s="180">
        <f t="shared" si="15"/>
        <v>400000</v>
      </c>
      <c r="G286" s="163" t="s">
        <v>1220</v>
      </c>
      <c r="H286" s="153"/>
      <c r="I286" s="916"/>
      <c r="J286" s="224">
        <f t="shared" si="14"/>
        <v>400000</v>
      </c>
      <c r="K286" s="914"/>
      <c r="L286" s="223"/>
      <c r="M286" s="223"/>
      <c r="P286" s="27"/>
    </row>
    <row r="287" spans="1:16" x14ac:dyDescent="0.25">
      <c r="A287" s="176"/>
      <c r="B287" s="177" t="s">
        <v>224</v>
      </c>
      <c r="C287" s="178">
        <v>1</v>
      </c>
      <c r="D287" s="170" t="s">
        <v>186</v>
      </c>
      <c r="E287" s="1777">
        <v>3000000</v>
      </c>
      <c r="F287" s="180">
        <f t="shared" si="15"/>
        <v>3000000</v>
      </c>
      <c r="G287" s="163" t="s">
        <v>1220</v>
      </c>
      <c r="H287" s="153"/>
      <c r="I287" s="916"/>
      <c r="J287" s="224">
        <f t="shared" si="14"/>
        <v>3000000</v>
      </c>
      <c r="K287" s="914"/>
      <c r="L287" s="223"/>
      <c r="M287" s="223"/>
      <c r="P287" s="27"/>
    </row>
    <row r="288" spans="1:16" x14ac:dyDescent="0.25">
      <c r="A288" s="167"/>
      <c r="B288" s="177" t="s">
        <v>3111</v>
      </c>
      <c r="C288" s="178">
        <v>1</v>
      </c>
      <c r="D288" s="170" t="s">
        <v>186</v>
      </c>
      <c r="E288" s="1777">
        <v>7366000</v>
      </c>
      <c r="F288" s="180">
        <v>7325665</v>
      </c>
      <c r="G288" s="163" t="s">
        <v>1220</v>
      </c>
      <c r="H288" s="1482"/>
      <c r="I288" s="916"/>
      <c r="J288" s="224">
        <f t="shared" si="14"/>
        <v>7325665</v>
      </c>
      <c r="K288" s="914"/>
      <c r="L288" s="223"/>
      <c r="M288" s="223"/>
      <c r="P288" s="27"/>
    </row>
    <row r="289" spans="1:22" x14ac:dyDescent="0.25">
      <c r="A289" s="167"/>
      <c r="B289" s="177" t="s">
        <v>225</v>
      </c>
      <c r="C289" s="178">
        <v>1</v>
      </c>
      <c r="D289" s="170" t="s">
        <v>186</v>
      </c>
      <c r="E289" s="1777">
        <v>5000000</v>
      </c>
      <c r="F289" s="180">
        <f>E289*C289</f>
        <v>5000000</v>
      </c>
      <c r="G289" s="163" t="s">
        <v>1220</v>
      </c>
      <c r="H289" s="153"/>
      <c r="I289" s="916"/>
      <c r="J289" s="224">
        <f t="shared" si="14"/>
        <v>5000000</v>
      </c>
      <c r="K289" s="914"/>
      <c r="L289" s="818"/>
      <c r="M289" s="818"/>
      <c r="N289" s="23"/>
      <c r="P289" s="27"/>
      <c r="Q289" s="27"/>
      <c r="V289" s="27"/>
    </row>
    <row r="290" spans="1:22" x14ac:dyDescent="0.25">
      <c r="A290" s="167"/>
      <c r="B290" s="177" t="s">
        <v>2164</v>
      </c>
      <c r="C290" s="178">
        <v>1</v>
      </c>
      <c r="D290" s="170" t="s">
        <v>186</v>
      </c>
      <c r="E290" s="1777">
        <v>5400000</v>
      </c>
      <c r="F290" s="180">
        <f t="shared" si="15"/>
        <v>5400000</v>
      </c>
      <c r="G290" s="163" t="s">
        <v>1220</v>
      </c>
      <c r="H290" s="153"/>
      <c r="I290" s="916"/>
      <c r="J290" s="224">
        <f t="shared" si="14"/>
        <v>5400000</v>
      </c>
      <c r="K290" s="914"/>
      <c r="L290" s="223"/>
      <c r="M290" s="223"/>
      <c r="P290" s="27"/>
    </row>
    <row r="291" spans="1:22" x14ac:dyDescent="0.25">
      <c r="A291" s="167"/>
      <c r="B291" s="177" t="s">
        <v>226</v>
      </c>
      <c r="C291" s="178">
        <v>1</v>
      </c>
      <c r="D291" s="170" t="s">
        <v>186</v>
      </c>
      <c r="E291" s="1777">
        <v>3000000</v>
      </c>
      <c r="F291" s="180">
        <f t="shared" si="15"/>
        <v>3000000</v>
      </c>
      <c r="G291" s="163" t="s">
        <v>1220</v>
      </c>
      <c r="H291" s="153"/>
      <c r="I291" s="916"/>
      <c r="J291" s="224">
        <f t="shared" si="14"/>
        <v>3000000</v>
      </c>
      <c r="K291" s="914"/>
      <c r="L291" s="223"/>
      <c r="M291" s="223"/>
      <c r="P291" s="27"/>
    </row>
    <row r="292" spans="1:22" x14ac:dyDescent="0.25">
      <c r="A292" s="167"/>
      <c r="B292" s="177" t="s">
        <v>448</v>
      </c>
      <c r="C292" s="178">
        <v>1</v>
      </c>
      <c r="D292" s="170" t="s">
        <v>186</v>
      </c>
      <c r="E292" s="1777">
        <v>15000000</v>
      </c>
      <c r="F292" s="180">
        <f>C292*E292</f>
        <v>15000000</v>
      </c>
      <c r="G292" s="163" t="s">
        <v>1220</v>
      </c>
      <c r="H292" s="153"/>
      <c r="I292" s="916"/>
      <c r="J292" s="224">
        <f t="shared" si="14"/>
        <v>15000000</v>
      </c>
      <c r="K292" s="914"/>
      <c r="L292" s="223"/>
      <c r="M292" s="223"/>
      <c r="P292" s="27"/>
      <c r="S292" s="27"/>
    </row>
    <row r="293" spans="1:22" x14ac:dyDescent="0.25">
      <c r="A293" s="167"/>
      <c r="B293" s="177" t="s">
        <v>2903</v>
      </c>
      <c r="C293" s="178">
        <v>1</v>
      </c>
      <c r="D293" s="170" t="s">
        <v>846</v>
      </c>
      <c r="E293" s="1777">
        <v>1000000</v>
      </c>
      <c r="F293" s="180">
        <f>C293*E293</f>
        <v>1000000</v>
      </c>
      <c r="G293" s="163" t="s">
        <v>1220</v>
      </c>
      <c r="H293" s="153"/>
      <c r="I293" s="916"/>
      <c r="J293" s="224">
        <f t="shared" si="14"/>
        <v>1000000</v>
      </c>
      <c r="K293" s="914"/>
      <c r="L293" s="223"/>
      <c r="M293" s="223"/>
      <c r="P293" s="27"/>
    </row>
    <row r="294" spans="1:22" x14ac:dyDescent="0.25">
      <c r="A294" s="167"/>
      <c r="B294" s="177"/>
      <c r="C294" s="178"/>
      <c r="D294" s="170"/>
      <c r="E294" s="1777"/>
      <c r="F294" s="180"/>
      <c r="G294" s="163"/>
      <c r="H294" s="153"/>
      <c r="I294" s="916"/>
      <c r="J294" s="224">
        <f t="shared" si="14"/>
        <v>0</v>
      </c>
      <c r="K294" s="914"/>
      <c r="L294" s="223"/>
      <c r="M294" s="223"/>
      <c r="P294" s="27"/>
    </row>
    <row r="295" spans="1:22" ht="36.75" x14ac:dyDescent="0.25">
      <c r="A295" s="176" t="s">
        <v>227</v>
      </c>
      <c r="B295" s="177" t="s">
        <v>228</v>
      </c>
      <c r="C295" s="178"/>
      <c r="D295" s="170"/>
      <c r="E295" s="1777"/>
      <c r="F295" s="180"/>
      <c r="G295" s="163"/>
      <c r="H295" s="153"/>
      <c r="I295" s="916"/>
      <c r="J295" s="224">
        <f t="shared" si="14"/>
        <v>0</v>
      </c>
      <c r="K295" s="914"/>
      <c r="L295" s="223"/>
      <c r="M295" s="223"/>
      <c r="P295" s="27"/>
    </row>
    <row r="296" spans="1:22" x14ac:dyDescent="0.25">
      <c r="A296" s="176"/>
      <c r="B296" s="177" t="s">
        <v>229</v>
      </c>
      <c r="C296" s="178">
        <v>1</v>
      </c>
      <c r="D296" s="170" t="s">
        <v>186</v>
      </c>
      <c r="E296" s="1777">
        <v>5000000</v>
      </c>
      <c r="F296" s="180">
        <f t="shared" si="15"/>
        <v>5000000</v>
      </c>
      <c r="G296" s="163" t="s">
        <v>1220</v>
      </c>
      <c r="H296" s="153"/>
      <c r="I296" s="916"/>
      <c r="J296" s="224">
        <f t="shared" si="14"/>
        <v>5000000</v>
      </c>
      <c r="K296" s="914"/>
      <c r="L296" s="223"/>
      <c r="M296" s="223"/>
      <c r="P296" s="27"/>
    </row>
    <row r="297" spans="1:22" x14ac:dyDescent="0.25">
      <c r="A297" s="167"/>
      <c r="B297" s="177" t="s">
        <v>230</v>
      </c>
      <c r="C297" s="178">
        <v>1</v>
      </c>
      <c r="D297" s="170" t="s">
        <v>186</v>
      </c>
      <c r="E297" s="1777">
        <v>1000000</v>
      </c>
      <c r="F297" s="180">
        <f t="shared" si="15"/>
        <v>1000000</v>
      </c>
      <c r="G297" s="163" t="s">
        <v>1220</v>
      </c>
      <c r="H297" s="153"/>
      <c r="I297" s="916"/>
      <c r="J297" s="224">
        <f t="shared" si="14"/>
        <v>1000000</v>
      </c>
      <c r="K297" s="914"/>
      <c r="L297" s="223"/>
      <c r="M297" s="223"/>
      <c r="P297" s="27"/>
    </row>
    <row r="298" spans="1:22" x14ac:dyDescent="0.25">
      <c r="A298" s="167"/>
      <c r="B298" s="177" t="s">
        <v>231</v>
      </c>
      <c r="C298" s="178">
        <v>1</v>
      </c>
      <c r="D298" s="170" t="s">
        <v>186</v>
      </c>
      <c r="E298" s="1777">
        <v>500000</v>
      </c>
      <c r="F298" s="180">
        <f t="shared" si="15"/>
        <v>500000</v>
      </c>
      <c r="G298" s="163" t="s">
        <v>1220</v>
      </c>
      <c r="H298" s="153"/>
      <c r="I298" s="916"/>
      <c r="J298" s="224">
        <f t="shared" si="14"/>
        <v>500000</v>
      </c>
      <c r="K298" s="914"/>
      <c r="L298" s="223"/>
      <c r="M298" s="223"/>
      <c r="P298" s="27"/>
    </row>
    <row r="299" spans="1:22" x14ac:dyDescent="0.25">
      <c r="A299" s="176"/>
      <c r="B299" s="177" t="s">
        <v>232</v>
      </c>
      <c r="C299" s="178">
        <v>1</v>
      </c>
      <c r="D299" s="170" t="s">
        <v>186</v>
      </c>
      <c r="E299" s="1777">
        <v>3000000</v>
      </c>
      <c r="F299" s="180">
        <f t="shared" si="15"/>
        <v>3000000</v>
      </c>
      <c r="G299" s="163" t="s">
        <v>1220</v>
      </c>
      <c r="H299" s="153"/>
      <c r="I299" s="916"/>
      <c r="J299" s="224">
        <f t="shared" si="14"/>
        <v>3000000</v>
      </c>
      <c r="K299" s="914"/>
      <c r="L299" s="223"/>
      <c r="M299" s="223"/>
      <c r="P299" s="27"/>
    </row>
    <row r="300" spans="1:22" x14ac:dyDescent="0.25">
      <c r="A300" s="167"/>
      <c r="B300" s="177" t="s">
        <v>233</v>
      </c>
      <c r="C300" s="178">
        <v>1</v>
      </c>
      <c r="D300" s="170" t="s">
        <v>186</v>
      </c>
      <c r="E300" s="1777">
        <v>500000</v>
      </c>
      <c r="F300" s="180">
        <f t="shared" si="15"/>
        <v>500000</v>
      </c>
      <c r="G300" s="163" t="s">
        <v>1220</v>
      </c>
      <c r="H300" s="153"/>
      <c r="I300" s="916"/>
      <c r="J300" s="224">
        <f t="shared" si="14"/>
        <v>500000</v>
      </c>
      <c r="K300" s="914"/>
      <c r="L300" s="223"/>
      <c r="M300" s="223"/>
      <c r="P300" s="27"/>
    </row>
    <row r="301" spans="1:22" x14ac:dyDescent="0.25">
      <c r="A301" s="167"/>
      <c r="B301" s="177" t="s">
        <v>234</v>
      </c>
      <c r="C301" s="178">
        <v>1</v>
      </c>
      <c r="D301" s="170" t="s">
        <v>186</v>
      </c>
      <c r="E301" s="1777">
        <v>500000</v>
      </c>
      <c r="F301" s="180">
        <f t="shared" si="15"/>
        <v>500000</v>
      </c>
      <c r="G301" s="163" t="s">
        <v>1220</v>
      </c>
      <c r="H301" s="153"/>
      <c r="I301" s="916"/>
      <c r="J301" s="224">
        <f t="shared" si="14"/>
        <v>500000</v>
      </c>
      <c r="K301" s="914"/>
      <c r="L301" s="223"/>
      <c r="M301" s="223"/>
      <c r="P301" s="27"/>
    </row>
    <row r="302" spans="1:22" x14ac:dyDescent="0.25">
      <c r="A302" s="167"/>
      <c r="B302" s="177"/>
      <c r="C302" s="178"/>
      <c r="D302" s="170"/>
      <c r="E302" s="1777"/>
      <c r="F302" s="378"/>
      <c r="G302" s="163"/>
      <c r="H302" s="153"/>
      <c r="I302" s="916"/>
      <c r="J302" s="921"/>
    </row>
    <row r="303" spans="1:22" x14ac:dyDescent="0.25">
      <c r="A303" s="176"/>
      <c r="B303" s="177"/>
      <c r="C303" s="178"/>
      <c r="D303" s="170"/>
      <c r="E303" s="1777"/>
      <c r="F303" s="378"/>
      <c r="G303" s="163"/>
      <c r="H303" s="153"/>
      <c r="I303" s="916"/>
      <c r="J303" s="921"/>
    </row>
    <row r="304" spans="1:22" x14ac:dyDescent="0.25">
      <c r="A304" s="1944" t="s">
        <v>26</v>
      </c>
      <c r="B304" s="1945"/>
      <c r="C304" s="1945"/>
      <c r="D304" s="1945"/>
      <c r="E304" s="1946"/>
      <c r="F304" s="180">
        <f>SUM(F121:F303)</f>
        <v>712389600.84000003</v>
      </c>
      <c r="G304" s="1"/>
      <c r="J304" s="27"/>
      <c r="K304" s="27"/>
    </row>
    <row r="305" spans="1:8" x14ac:dyDescent="0.25">
      <c r="F305" s="68"/>
    </row>
    <row r="306" spans="1:8" x14ac:dyDescent="0.25">
      <c r="A306" s="1926" t="s">
        <v>516</v>
      </c>
      <c r="B306" s="1926"/>
      <c r="C306" s="152" t="s">
        <v>27</v>
      </c>
      <c r="D306" s="1926" t="s">
        <v>3654</v>
      </c>
      <c r="E306" s="1926"/>
      <c r="F306" s="1926"/>
      <c r="G306" s="152"/>
    </row>
    <row r="307" spans="1:8" x14ac:dyDescent="0.25">
      <c r="A307" s="1926" t="s">
        <v>28</v>
      </c>
      <c r="B307" s="1926"/>
      <c r="C307" s="152"/>
      <c r="D307" s="1927" t="s">
        <v>3382</v>
      </c>
      <c r="E307" s="1927"/>
      <c r="F307" s="1927"/>
      <c r="G307" s="152"/>
    </row>
    <row r="308" spans="1:8" x14ac:dyDescent="0.25">
      <c r="A308" s="150"/>
      <c r="B308" s="151"/>
      <c r="C308" s="152"/>
      <c r="D308" s="153"/>
      <c r="E308" s="1770"/>
      <c r="F308" s="182"/>
      <c r="G308" s="152"/>
    </row>
    <row r="309" spans="1:8" x14ac:dyDescent="0.25">
      <c r="A309" s="150"/>
      <c r="B309" s="151"/>
      <c r="C309" s="152"/>
      <c r="D309" s="153"/>
      <c r="E309" s="1770"/>
      <c r="F309" s="182"/>
      <c r="G309" s="152"/>
    </row>
    <row r="310" spans="1:8" x14ac:dyDescent="0.25">
      <c r="A310" s="1926"/>
      <c r="B310" s="1926"/>
      <c r="C310" s="152"/>
      <c r="D310" s="153"/>
      <c r="E310" s="1926"/>
      <c r="F310" s="1926"/>
      <c r="G310" s="152"/>
    </row>
    <row r="311" spans="1:8" x14ac:dyDescent="0.25">
      <c r="A311" s="1926" t="s">
        <v>29</v>
      </c>
      <c r="B311" s="1926"/>
      <c r="C311" s="152"/>
      <c r="D311" s="1926" t="s">
        <v>3383</v>
      </c>
      <c r="E311" s="1926"/>
      <c r="F311" s="1926"/>
      <c r="G311" s="152"/>
    </row>
    <row r="312" spans="1:8" x14ac:dyDescent="0.25">
      <c r="A312" s="1947" t="s">
        <v>0</v>
      </c>
      <c r="B312" s="1947"/>
      <c r="C312" s="1947"/>
      <c r="D312" s="1947"/>
      <c r="E312" s="1947"/>
      <c r="F312" s="1947"/>
      <c r="G312" s="1947"/>
    </row>
    <row r="313" spans="1:8" x14ac:dyDescent="0.25">
      <c r="A313" s="1947" t="s">
        <v>1</v>
      </c>
      <c r="B313" s="1947"/>
      <c r="C313" s="1947"/>
      <c r="D313" s="1947"/>
      <c r="E313" s="1947"/>
      <c r="F313" s="1947"/>
      <c r="G313" s="1947"/>
    </row>
    <row r="314" spans="1:8" x14ac:dyDescent="0.25">
      <c r="A314" s="1947" t="s">
        <v>2398</v>
      </c>
      <c r="B314" s="1947"/>
      <c r="C314" s="1947"/>
      <c r="D314" s="1947"/>
      <c r="E314" s="1947"/>
      <c r="F314" s="1947"/>
      <c r="G314" s="1947"/>
    </row>
    <row r="315" spans="1:8" x14ac:dyDescent="0.25">
      <c r="A315" s="148"/>
      <c r="B315" s="148"/>
      <c r="C315" s="148"/>
      <c r="D315" s="148"/>
      <c r="E315" s="1764"/>
      <c r="F315" s="148"/>
      <c r="G315" s="149"/>
    </row>
    <row r="316" spans="1:8" x14ac:dyDescent="0.25">
      <c r="A316" s="216" t="s">
        <v>236</v>
      </c>
      <c r="B316" s="217" t="s">
        <v>3</v>
      </c>
      <c r="C316" s="152"/>
      <c r="D316" s="153"/>
      <c r="E316" s="1765"/>
      <c r="F316" s="155"/>
      <c r="G316" s="152"/>
    </row>
    <row r="317" spans="1:8" ht="36.75" x14ac:dyDescent="0.25">
      <c r="A317" s="184" t="s">
        <v>237</v>
      </c>
      <c r="B317" s="151" t="s">
        <v>5</v>
      </c>
      <c r="C317" s="152"/>
      <c r="D317" s="153"/>
      <c r="E317" s="1772"/>
      <c r="F317" s="155"/>
      <c r="G317" s="152"/>
      <c r="H317" t="s">
        <v>445</v>
      </c>
    </row>
    <row r="318" spans="1:8" ht="24" x14ac:dyDescent="0.25">
      <c r="A318" s="184" t="s">
        <v>7</v>
      </c>
      <c r="B318" s="217" t="s">
        <v>446</v>
      </c>
      <c r="C318" s="152"/>
      <c r="D318" s="153"/>
      <c r="E318" s="1766"/>
      <c r="F318" s="160"/>
      <c r="G318" s="152"/>
    </row>
    <row r="319" spans="1:8" x14ac:dyDescent="0.25">
      <c r="A319" s="156" t="s">
        <v>35</v>
      </c>
      <c r="B319" s="151"/>
      <c r="C319" s="152"/>
      <c r="D319" s="153"/>
      <c r="E319" s="1765"/>
      <c r="F319" s="155"/>
      <c r="G319" s="152"/>
    </row>
    <row r="320" spans="1:8" x14ac:dyDescent="0.25">
      <c r="A320" s="156" t="s">
        <v>10</v>
      </c>
      <c r="B320" s="151"/>
      <c r="C320" s="152"/>
      <c r="D320" s="153"/>
      <c r="E320" s="1765"/>
      <c r="F320" s="155"/>
      <c r="G320" s="152"/>
    </row>
    <row r="321" spans="1:11" x14ac:dyDescent="0.25">
      <c r="A321" s="161" t="s">
        <v>30</v>
      </c>
      <c r="B321" s="162" t="s">
        <v>31</v>
      </c>
      <c r="C321" s="1931" t="s">
        <v>12</v>
      </c>
      <c r="D321" s="1932"/>
      <c r="E321" s="1767" t="s">
        <v>32</v>
      </c>
      <c r="F321" s="163" t="s">
        <v>33</v>
      </c>
      <c r="G321" s="161" t="s">
        <v>34</v>
      </c>
    </row>
    <row r="322" spans="1:11" x14ac:dyDescent="0.25">
      <c r="A322" s="164">
        <v>1</v>
      </c>
      <c r="B322" s="164">
        <v>2</v>
      </c>
      <c r="C322" s="1943">
        <v>3</v>
      </c>
      <c r="D322" s="1943"/>
      <c r="E322" s="1768">
        <v>4</v>
      </c>
      <c r="F322" s="166">
        <v>5</v>
      </c>
      <c r="G322" s="166">
        <v>6</v>
      </c>
    </row>
    <row r="323" spans="1:11" x14ac:dyDescent="0.25">
      <c r="A323" s="167" t="s">
        <v>81</v>
      </c>
      <c r="B323" s="168" t="s">
        <v>82</v>
      </c>
      <c r="C323" s="169"/>
      <c r="D323" s="170"/>
      <c r="E323" s="645"/>
      <c r="F323" s="163"/>
      <c r="G323" s="161"/>
    </row>
    <row r="324" spans="1:11" x14ac:dyDescent="0.25">
      <c r="A324" s="167" t="s">
        <v>83</v>
      </c>
      <c r="B324" s="168" t="s">
        <v>84</v>
      </c>
      <c r="C324" s="169"/>
      <c r="D324" s="170"/>
      <c r="E324" s="645"/>
      <c r="F324" s="163"/>
      <c r="G324" s="161"/>
    </row>
    <row r="325" spans="1:11" ht="24.75" x14ac:dyDescent="0.25">
      <c r="A325" s="218" t="s">
        <v>145</v>
      </c>
      <c r="B325" s="177" t="s">
        <v>379</v>
      </c>
      <c r="C325" s="178"/>
      <c r="D325" s="207"/>
      <c r="E325" s="389"/>
      <c r="F325" s="179"/>
      <c r="G325" s="163"/>
    </row>
    <row r="326" spans="1:11" x14ac:dyDescent="0.25">
      <c r="A326" s="219"/>
      <c r="B326" s="181" t="s">
        <v>3384</v>
      </c>
      <c r="C326" s="178">
        <v>1800</v>
      </c>
      <c r="D326" s="207" t="s">
        <v>269</v>
      </c>
      <c r="E326" s="389">
        <v>20000</v>
      </c>
      <c r="F326" s="179">
        <f>E326*C326</f>
        <v>36000000</v>
      </c>
      <c r="G326" s="163"/>
    </row>
    <row r="327" spans="1:11" x14ac:dyDescent="0.25">
      <c r="A327" s="220"/>
      <c r="B327" s="221"/>
      <c r="C327" s="178"/>
      <c r="D327" s="207"/>
      <c r="E327" s="389"/>
      <c r="F327" s="179"/>
      <c r="G327" s="163"/>
    </row>
    <row r="328" spans="1:11" x14ac:dyDescent="0.25">
      <c r="A328" s="167" t="s">
        <v>447</v>
      </c>
      <c r="B328" s="168" t="s">
        <v>3385</v>
      </c>
      <c r="C328" s="169"/>
      <c r="D328" s="170"/>
      <c r="E328" s="1855"/>
      <c r="F328" s="202"/>
      <c r="G328" s="161"/>
    </row>
    <row r="329" spans="1:11" x14ac:dyDescent="0.25">
      <c r="A329" s="167"/>
      <c r="B329" s="168" t="s">
        <v>286</v>
      </c>
      <c r="C329" s="169">
        <v>36</v>
      </c>
      <c r="D329" s="170" t="s">
        <v>287</v>
      </c>
      <c r="E329" s="1855">
        <v>50000</v>
      </c>
      <c r="F329" s="202">
        <f>E329*C329</f>
        <v>1800000</v>
      </c>
      <c r="G329" s="161"/>
    </row>
    <row r="330" spans="1:11" x14ac:dyDescent="0.25">
      <c r="A330" s="167"/>
      <c r="B330" s="168" t="s">
        <v>347</v>
      </c>
      <c r="C330" s="169">
        <v>12</v>
      </c>
      <c r="D330" s="170" t="s">
        <v>158</v>
      </c>
      <c r="E330" s="1855">
        <v>5000</v>
      </c>
      <c r="F330" s="202">
        <f>E330*C330</f>
        <v>60000</v>
      </c>
      <c r="G330" s="161"/>
    </row>
    <row r="331" spans="1:11" x14ac:dyDescent="0.25">
      <c r="A331" s="167"/>
      <c r="B331" s="168" t="s">
        <v>289</v>
      </c>
      <c r="C331" s="169">
        <v>12</v>
      </c>
      <c r="D331" s="170" t="s">
        <v>290</v>
      </c>
      <c r="E331" s="1855">
        <v>10000</v>
      </c>
      <c r="F331" s="202">
        <f>E331*C331</f>
        <v>120000</v>
      </c>
      <c r="G331" s="161"/>
    </row>
    <row r="332" spans="1:11" x14ac:dyDescent="0.25">
      <c r="A332" s="167"/>
      <c r="B332" s="168"/>
      <c r="C332" s="169"/>
      <c r="D332" s="170"/>
      <c r="E332" s="547"/>
      <c r="F332" s="202"/>
      <c r="G332" s="161"/>
    </row>
    <row r="333" spans="1:11" x14ac:dyDescent="0.25">
      <c r="A333" s="1948" t="s">
        <v>26</v>
      </c>
      <c r="B333" s="1949"/>
      <c r="C333" s="1949"/>
      <c r="D333" s="1949"/>
      <c r="E333" s="1950"/>
      <c r="F333" s="179">
        <f>SUM(F325:F332)</f>
        <v>37980000</v>
      </c>
      <c r="G333" s="181" t="s">
        <v>1220</v>
      </c>
      <c r="J333" s="27">
        <f>F333</f>
        <v>37980000</v>
      </c>
      <c r="K333" s="27"/>
    </row>
    <row r="334" spans="1:11" x14ac:dyDescent="0.25">
      <c r="A334" s="223"/>
      <c r="B334" s="223"/>
      <c r="C334" s="223"/>
      <c r="D334" s="223"/>
      <c r="E334" s="1770"/>
      <c r="F334" s="224"/>
      <c r="G334" s="152"/>
    </row>
    <row r="335" spans="1:11" x14ac:dyDescent="0.25">
      <c r="A335" s="1926" t="s">
        <v>516</v>
      </c>
      <c r="B335" s="1926"/>
      <c r="C335" s="152" t="s">
        <v>27</v>
      </c>
      <c r="D335" s="1926" t="s">
        <v>3654</v>
      </c>
      <c r="E335" s="1926"/>
      <c r="F335" s="1926"/>
      <c r="G335" s="152"/>
    </row>
    <row r="336" spans="1:11" x14ac:dyDescent="0.25">
      <c r="A336" s="1926" t="s">
        <v>28</v>
      </c>
      <c r="B336" s="1926"/>
      <c r="C336" s="152"/>
      <c r="D336" s="1927" t="s">
        <v>3320</v>
      </c>
      <c r="E336" s="1927"/>
      <c r="F336" s="1927"/>
      <c r="G336" s="152"/>
      <c r="H336" s="27"/>
    </row>
    <row r="337" spans="1:7" x14ac:dyDescent="0.25">
      <c r="A337" s="150"/>
      <c r="B337" s="151"/>
      <c r="C337" s="152"/>
      <c r="D337" s="153"/>
      <c r="E337" s="1770"/>
      <c r="F337" s="182"/>
      <c r="G337" s="152"/>
    </row>
    <row r="338" spans="1:7" x14ac:dyDescent="0.25">
      <c r="A338" s="150"/>
      <c r="B338" s="151"/>
      <c r="C338" s="152"/>
      <c r="D338" s="153"/>
      <c r="E338" s="1770"/>
      <c r="F338" s="182"/>
      <c r="G338" s="152"/>
    </row>
    <row r="339" spans="1:7" x14ac:dyDescent="0.25">
      <c r="A339" s="1926"/>
      <c r="B339" s="1926"/>
      <c r="C339" s="152"/>
      <c r="D339" s="153"/>
      <c r="E339" s="1926"/>
      <c r="F339" s="1926"/>
      <c r="G339" s="152"/>
    </row>
    <row r="340" spans="1:7" x14ac:dyDescent="0.25">
      <c r="A340" s="1926" t="s">
        <v>29</v>
      </c>
      <c r="B340" s="1926"/>
      <c r="C340" s="152"/>
      <c r="D340" s="1926" t="s">
        <v>3321</v>
      </c>
      <c r="E340" s="1926"/>
      <c r="F340" s="1926"/>
      <c r="G340" s="152"/>
    </row>
    <row r="342" spans="1:7" x14ac:dyDescent="0.25">
      <c r="A342" s="1947" t="s">
        <v>0</v>
      </c>
      <c r="B342" s="1947"/>
      <c r="C342" s="1947"/>
      <c r="D342" s="1947"/>
      <c r="E342" s="1947"/>
      <c r="F342" s="1947"/>
      <c r="G342" s="149"/>
    </row>
    <row r="343" spans="1:7" x14ac:dyDescent="0.25">
      <c r="A343" s="1947" t="s">
        <v>1</v>
      </c>
      <c r="B343" s="1947"/>
      <c r="C343" s="1947"/>
      <c r="D343" s="1947"/>
      <c r="E343" s="1947"/>
      <c r="F343" s="1947"/>
      <c r="G343" s="149"/>
    </row>
    <row r="344" spans="1:7" x14ac:dyDescent="0.25">
      <c r="A344" s="1947" t="s">
        <v>2398</v>
      </c>
      <c r="B344" s="1947"/>
      <c r="C344" s="1947"/>
      <c r="D344" s="1947"/>
      <c r="E344" s="1947"/>
      <c r="F344" s="1947"/>
      <c r="G344" s="149"/>
    </row>
    <row r="345" spans="1:7" x14ac:dyDescent="0.25">
      <c r="A345" s="148"/>
      <c r="B345" s="148"/>
      <c r="C345" s="148"/>
      <c r="D345" s="148"/>
      <c r="E345" s="1764"/>
      <c r="F345" s="148"/>
      <c r="G345" s="149"/>
    </row>
    <row r="346" spans="1:7" x14ac:dyDescent="0.25">
      <c r="A346" s="150" t="s">
        <v>236</v>
      </c>
      <c r="B346" s="217" t="s">
        <v>3</v>
      </c>
      <c r="C346" s="152"/>
      <c r="D346" s="153"/>
      <c r="E346" s="1765"/>
      <c r="F346" s="155"/>
      <c r="G346" s="152"/>
    </row>
    <row r="347" spans="1:7" ht="36.75" x14ac:dyDescent="0.25">
      <c r="A347" s="184" t="s">
        <v>237</v>
      </c>
      <c r="B347" s="151" t="s">
        <v>5</v>
      </c>
      <c r="C347" s="152"/>
      <c r="D347" s="153"/>
      <c r="E347" s="1772" t="s">
        <v>6</v>
      </c>
      <c r="F347" s="155"/>
      <c r="G347" s="152"/>
    </row>
    <row r="348" spans="1:7" x14ac:dyDescent="0.25">
      <c r="A348" s="156" t="s">
        <v>7</v>
      </c>
      <c r="B348" s="151" t="s">
        <v>238</v>
      </c>
      <c r="C348" s="152"/>
      <c r="D348" s="153"/>
      <c r="E348" s="1766" t="s">
        <v>9</v>
      </c>
      <c r="F348" s="155"/>
      <c r="G348" s="152"/>
    </row>
    <row r="349" spans="1:7" x14ac:dyDescent="0.25">
      <c r="A349" s="185" t="s">
        <v>37</v>
      </c>
      <c r="B349" s="151" t="s">
        <v>250</v>
      </c>
      <c r="C349" s="152"/>
      <c r="D349" s="153"/>
      <c r="E349" s="1765"/>
      <c r="F349" s="155"/>
      <c r="G349" s="152"/>
    </row>
    <row r="350" spans="1:7" x14ac:dyDescent="0.25">
      <c r="A350" s="156" t="s">
        <v>10</v>
      </c>
      <c r="B350" s="151"/>
      <c r="C350" s="152"/>
      <c r="D350" s="153"/>
      <c r="E350" s="1765"/>
      <c r="F350" s="155"/>
      <c r="G350" s="152"/>
    </row>
    <row r="351" spans="1:7" x14ac:dyDescent="0.25">
      <c r="A351" s="156"/>
      <c r="B351" s="151"/>
      <c r="C351" s="152"/>
      <c r="D351" s="153"/>
      <c r="E351" s="1765"/>
      <c r="F351" s="155"/>
      <c r="G351" s="152"/>
    </row>
    <row r="352" spans="1:7" x14ac:dyDescent="0.25">
      <c r="A352" s="161" t="s">
        <v>30</v>
      </c>
      <c r="B352" s="162" t="s">
        <v>31</v>
      </c>
      <c r="C352" s="1931" t="s">
        <v>12</v>
      </c>
      <c r="D352" s="1932"/>
      <c r="E352" s="1767" t="s">
        <v>32</v>
      </c>
      <c r="F352" s="163" t="s">
        <v>33</v>
      </c>
      <c r="G352" s="161" t="s">
        <v>34</v>
      </c>
    </row>
    <row r="353" spans="1:7" x14ac:dyDescent="0.25">
      <c r="A353" s="164">
        <v>1</v>
      </c>
      <c r="B353" s="164">
        <v>2</v>
      </c>
      <c r="C353" s="1943">
        <v>3</v>
      </c>
      <c r="D353" s="1943"/>
      <c r="E353" s="1768">
        <v>4</v>
      </c>
      <c r="F353" s="166">
        <v>5</v>
      </c>
      <c r="G353" s="166">
        <v>6</v>
      </c>
    </row>
    <row r="354" spans="1:7" x14ac:dyDescent="0.25">
      <c r="A354" s="193" t="s">
        <v>239</v>
      </c>
      <c r="B354" s="177" t="s">
        <v>240</v>
      </c>
      <c r="C354" s="178"/>
      <c r="D354" s="170"/>
      <c r="E354" s="389"/>
      <c r="F354" s="179"/>
      <c r="G354" s="181"/>
    </row>
    <row r="355" spans="1:7" x14ac:dyDescent="0.25">
      <c r="A355" s="193" t="s">
        <v>241</v>
      </c>
      <c r="B355" s="177" t="s">
        <v>242</v>
      </c>
      <c r="C355" s="178"/>
      <c r="D355" s="170"/>
      <c r="E355" s="389"/>
      <c r="F355" s="179"/>
      <c r="G355" s="181"/>
    </row>
    <row r="356" spans="1:7" x14ac:dyDescent="0.25">
      <c r="A356" s="176" t="s">
        <v>243</v>
      </c>
      <c r="B356" s="177" t="s">
        <v>244</v>
      </c>
      <c r="C356" s="206"/>
      <c r="D356" s="170"/>
      <c r="E356" s="1776"/>
      <c r="F356" s="181"/>
      <c r="G356" s="181"/>
    </row>
    <row r="357" spans="1:7" x14ac:dyDescent="0.25">
      <c r="A357" s="176"/>
      <c r="B357" s="177" t="s">
        <v>179</v>
      </c>
      <c r="C357" s="178">
        <v>12</v>
      </c>
      <c r="D357" s="170" t="s">
        <v>21</v>
      </c>
      <c r="E357" s="389">
        <v>4700000</v>
      </c>
      <c r="F357" s="179">
        <f>C357*E357</f>
        <v>56400000</v>
      </c>
      <c r="G357" s="181"/>
    </row>
    <row r="358" spans="1:7" x14ac:dyDescent="0.25">
      <c r="A358" s="176"/>
      <c r="B358" s="177" t="s">
        <v>1739</v>
      </c>
      <c r="C358" s="178">
        <v>1</v>
      </c>
      <c r="D358" s="170" t="s">
        <v>21</v>
      </c>
      <c r="E358" s="389">
        <v>4700000</v>
      </c>
      <c r="F358" s="179">
        <f t="shared" ref="F358:F372" si="16">C358*E358</f>
        <v>4700000</v>
      </c>
      <c r="G358" s="181"/>
    </row>
    <row r="359" spans="1:7" x14ac:dyDescent="0.25">
      <c r="A359" s="176"/>
      <c r="B359" s="177" t="s">
        <v>245</v>
      </c>
      <c r="C359" s="178">
        <v>1</v>
      </c>
      <c r="D359" s="170" t="s">
        <v>21</v>
      </c>
      <c r="E359" s="389">
        <v>4700000</v>
      </c>
      <c r="F359" s="179">
        <f t="shared" si="16"/>
        <v>4700000</v>
      </c>
      <c r="G359" s="181"/>
    </row>
    <row r="360" spans="1:7" x14ac:dyDescent="0.25">
      <c r="A360" s="176"/>
      <c r="B360" s="177"/>
      <c r="C360" s="178"/>
      <c r="D360" s="170"/>
      <c r="E360" s="389"/>
      <c r="F360" s="179"/>
      <c r="G360" s="181"/>
    </row>
    <row r="361" spans="1:7" x14ac:dyDescent="0.25">
      <c r="A361" s="176"/>
      <c r="B361" s="177" t="s">
        <v>246</v>
      </c>
      <c r="C361" s="178">
        <v>12</v>
      </c>
      <c r="D361" s="170" t="s">
        <v>21</v>
      </c>
      <c r="E361" s="389">
        <v>4300000</v>
      </c>
      <c r="F361" s="179">
        <f t="shared" si="16"/>
        <v>51600000</v>
      </c>
      <c r="G361" s="181"/>
    </row>
    <row r="362" spans="1:7" x14ac:dyDescent="0.25">
      <c r="A362" s="176"/>
      <c r="B362" s="177" t="s">
        <v>1740</v>
      </c>
      <c r="C362" s="178">
        <v>1</v>
      </c>
      <c r="D362" s="170" t="s">
        <v>21</v>
      </c>
      <c r="E362" s="389">
        <v>4300000</v>
      </c>
      <c r="F362" s="179">
        <f t="shared" si="16"/>
        <v>4300000</v>
      </c>
      <c r="G362" s="181"/>
    </row>
    <row r="363" spans="1:7" x14ac:dyDescent="0.25">
      <c r="A363" s="176"/>
      <c r="B363" s="177" t="s">
        <v>247</v>
      </c>
      <c r="C363" s="178">
        <v>1</v>
      </c>
      <c r="D363" s="170" t="s">
        <v>21</v>
      </c>
      <c r="E363" s="389">
        <v>4300000</v>
      </c>
      <c r="F363" s="179">
        <f t="shared" si="16"/>
        <v>4300000</v>
      </c>
      <c r="G363" s="181"/>
    </row>
    <row r="364" spans="1:7" x14ac:dyDescent="0.25">
      <c r="A364" s="176"/>
      <c r="B364" s="177"/>
      <c r="C364" s="178"/>
      <c r="D364" s="170"/>
      <c r="E364" s="389"/>
      <c r="F364" s="179"/>
      <c r="G364" s="181"/>
    </row>
    <row r="365" spans="1:7" x14ac:dyDescent="0.25">
      <c r="A365" s="176"/>
      <c r="B365" s="177" t="s">
        <v>180</v>
      </c>
      <c r="C365" s="178">
        <v>12</v>
      </c>
      <c r="D365" s="170" t="s">
        <v>21</v>
      </c>
      <c r="E365" s="389">
        <v>3900000</v>
      </c>
      <c r="F365" s="179">
        <f t="shared" si="16"/>
        <v>46800000</v>
      </c>
      <c r="G365" s="181"/>
    </row>
    <row r="366" spans="1:7" x14ac:dyDescent="0.25">
      <c r="A366" s="176"/>
      <c r="B366" s="177" t="s">
        <v>1741</v>
      </c>
      <c r="C366" s="178">
        <v>1</v>
      </c>
      <c r="D366" s="170" t="s">
        <v>21</v>
      </c>
      <c r="E366" s="389">
        <v>3900000</v>
      </c>
      <c r="F366" s="179">
        <f t="shared" si="16"/>
        <v>3900000</v>
      </c>
      <c r="G366" s="181"/>
    </row>
    <row r="367" spans="1:7" x14ac:dyDescent="0.25">
      <c r="A367" s="176"/>
      <c r="B367" s="177" t="s">
        <v>248</v>
      </c>
      <c r="C367" s="178">
        <v>1</v>
      </c>
      <c r="D367" s="170" t="s">
        <v>21</v>
      </c>
      <c r="E367" s="389">
        <v>3900000</v>
      </c>
      <c r="F367" s="179">
        <f t="shared" si="16"/>
        <v>3900000</v>
      </c>
      <c r="G367" s="181"/>
    </row>
    <row r="368" spans="1:7" x14ac:dyDescent="0.25">
      <c r="A368" s="176"/>
      <c r="B368" s="177"/>
      <c r="C368" s="178"/>
      <c r="D368" s="170"/>
      <c r="E368" s="389"/>
      <c r="F368" s="179"/>
      <c r="G368" s="181"/>
    </row>
    <row r="369" spans="1:11" x14ac:dyDescent="0.25">
      <c r="A369" s="176"/>
      <c r="B369" s="177" t="s">
        <v>331</v>
      </c>
      <c r="C369" s="178"/>
      <c r="D369" s="170"/>
      <c r="E369" s="389"/>
      <c r="F369" s="179"/>
      <c r="G369" s="181"/>
    </row>
    <row r="370" spans="1:11" x14ac:dyDescent="0.25">
      <c r="A370" s="176"/>
      <c r="B370" s="177" t="s">
        <v>1742</v>
      </c>
      <c r="C370" s="178">
        <v>72</v>
      </c>
      <c r="D370" s="170" t="s">
        <v>21</v>
      </c>
      <c r="E370" s="389">
        <v>3300000</v>
      </c>
      <c r="F370" s="179">
        <f t="shared" si="16"/>
        <v>237600000</v>
      </c>
      <c r="G370" s="181"/>
    </row>
    <row r="371" spans="1:11" x14ac:dyDescent="0.25">
      <c r="A371" s="176"/>
      <c r="B371" s="177" t="s">
        <v>1743</v>
      </c>
      <c r="C371" s="178">
        <v>6</v>
      </c>
      <c r="D371" s="170" t="s">
        <v>21</v>
      </c>
      <c r="E371" s="389">
        <v>3300000</v>
      </c>
      <c r="F371" s="179">
        <f t="shared" si="16"/>
        <v>19800000</v>
      </c>
      <c r="G371" s="181"/>
    </row>
    <row r="372" spans="1:11" x14ac:dyDescent="0.25">
      <c r="A372" s="176"/>
      <c r="B372" s="177" t="s">
        <v>249</v>
      </c>
      <c r="C372" s="178">
        <v>6</v>
      </c>
      <c r="D372" s="170" t="s">
        <v>21</v>
      </c>
      <c r="E372" s="389">
        <v>3300000</v>
      </c>
      <c r="F372" s="179">
        <f t="shared" si="16"/>
        <v>19800000</v>
      </c>
      <c r="G372" s="181"/>
    </row>
    <row r="373" spans="1:11" x14ac:dyDescent="0.25">
      <c r="A373" s="176"/>
      <c r="B373" s="177"/>
      <c r="C373" s="178"/>
      <c r="D373" s="170"/>
      <c r="E373" s="389"/>
      <c r="F373" s="179"/>
      <c r="G373" s="181"/>
    </row>
    <row r="374" spans="1:11" x14ac:dyDescent="0.25">
      <c r="A374" s="1944" t="s">
        <v>26</v>
      </c>
      <c r="B374" s="1945"/>
      <c r="C374" s="1945"/>
      <c r="D374" s="1945"/>
      <c r="E374" s="1946"/>
      <c r="F374" s="179">
        <f>SUM(F357:F373)</f>
        <v>457800000</v>
      </c>
      <c r="G374" s="181" t="s">
        <v>1506</v>
      </c>
      <c r="K374" s="27">
        <f>F374</f>
        <v>457800000</v>
      </c>
    </row>
    <row r="375" spans="1:11" x14ac:dyDescent="0.25">
      <c r="A375" s="1926" t="s">
        <v>516</v>
      </c>
      <c r="B375" s="1926"/>
      <c r="C375" s="152" t="s">
        <v>27</v>
      </c>
      <c r="D375" s="1926" t="s">
        <v>3654</v>
      </c>
      <c r="E375" s="1926"/>
      <c r="F375" s="1926"/>
      <c r="G375" s="152"/>
    </row>
    <row r="376" spans="1:11" x14ac:dyDescent="0.25">
      <c r="A376" s="1926" t="s">
        <v>28</v>
      </c>
      <c r="B376" s="1926"/>
      <c r="C376" s="152"/>
      <c r="D376" s="1927" t="s">
        <v>3382</v>
      </c>
      <c r="E376" s="1927"/>
      <c r="F376" s="1927"/>
      <c r="G376" s="152"/>
    </row>
    <row r="377" spans="1:11" x14ac:dyDescent="0.25">
      <c r="A377" s="150"/>
      <c r="B377" s="151"/>
      <c r="C377" s="152"/>
      <c r="D377" s="153"/>
      <c r="E377" s="1770"/>
      <c r="F377" s="182"/>
      <c r="G377" s="152"/>
    </row>
    <row r="378" spans="1:11" x14ac:dyDescent="0.25">
      <c r="A378" s="150"/>
      <c r="B378" s="151"/>
      <c r="C378" s="152"/>
      <c r="D378" s="153"/>
      <c r="E378" s="1770"/>
      <c r="F378" s="182"/>
      <c r="G378" s="152"/>
    </row>
    <row r="379" spans="1:11" x14ac:dyDescent="0.25">
      <c r="A379" s="1926"/>
      <c r="B379" s="1926"/>
      <c r="C379" s="152"/>
      <c r="D379" s="153"/>
      <c r="E379" s="1926"/>
      <c r="F379" s="1926"/>
      <c r="G379" s="152"/>
    </row>
    <row r="380" spans="1:11" x14ac:dyDescent="0.25">
      <c r="A380" s="1926" t="s">
        <v>29</v>
      </c>
      <c r="B380" s="1926"/>
      <c r="C380" s="152"/>
      <c r="D380" s="1926" t="s">
        <v>3383</v>
      </c>
      <c r="E380" s="1926"/>
      <c r="F380" s="1926"/>
      <c r="G380" s="152"/>
    </row>
    <row r="385" spans="1:7" x14ac:dyDescent="0.25">
      <c r="A385" s="1942" t="s">
        <v>0</v>
      </c>
      <c r="B385" s="1942"/>
      <c r="C385" s="1942"/>
      <c r="D385" s="1942"/>
      <c r="E385" s="1942"/>
      <c r="F385" s="1942"/>
      <c r="G385" s="1942"/>
    </row>
    <row r="386" spans="1:7" x14ac:dyDescent="0.25">
      <c r="A386" s="1942" t="s">
        <v>1</v>
      </c>
      <c r="B386" s="1942"/>
      <c r="C386" s="1942"/>
      <c r="D386" s="1942"/>
      <c r="E386" s="1942"/>
      <c r="F386" s="1942"/>
      <c r="G386" s="1942"/>
    </row>
    <row r="387" spans="1:7" x14ac:dyDescent="0.25">
      <c r="A387" s="1947" t="s">
        <v>2398</v>
      </c>
      <c r="B387" s="1947"/>
      <c r="C387" s="1947"/>
      <c r="D387" s="1947"/>
      <c r="E387" s="1947"/>
      <c r="F387" s="1947"/>
      <c r="G387" s="1947"/>
    </row>
    <row r="388" spans="1:7" x14ac:dyDescent="0.25">
      <c r="A388" s="225"/>
      <c r="B388" s="225"/>
      <c r="C388" s="225"/>
      <c r="D388" s="225"/>
      <c r="E388" s="1781"/>
      <c r="F388" s="225"/>
      <c r="G388" s="225"/>
    </row>
    <row r="389" spans="1:7" x14ac:dyDescent="0.25">
      <c r="A389" s="226" t="s">
        <v>251</v>
      </c>
      <c r="B389" s="189" t="s">
        <v>3</v>
      </c>
      <c r="C389" s="226"/>
      <c r="D389" s="226"/>
      <c r="E389" s="1772" t="s">
        <v>6</v>
      </c>
      <c r="F389" s="155"/>
      <c r="G389" s="227"/>
    </row>
    <row r="390" spans="1:7" ht="51" x14ac:dyDescent="0.25">
      <c r="A390" s="226" t="s">
        <v>252</v>
      </c>
      <c r="B390" s="189" t="s">
        <v>5</v>
      </c>
      <c r="C390" s="226"/>
      <c r="D390" s="226"/>
      <c r="E390" s="1766" t="s">
        <v>9</v>
      </c>
      <c r="F390" s="160"/>
      <c r="G390" s="227"/>
    </row>
    <row r="391" spans="1:7" x14ac:dyDescent="0.25">
      <c r="A391" s="228" t="s">
        <v>253</v>
      </c>
      <c r="B391" s="228" t="s">
        <v>254</v>
      </c>
      <c r="C391" s="228"/>
      <c r="D391" s="228"/>
      <c r="E391" s="1782"/>
      <c r="F391" s="228"/>
      <c r="G391" s="227"/>
    </row>
    <row r="392" spans="1:7" x14ac:dyDescent="0.25">
      <c r="A392" s="229" t="s">
        <v>59</v>
      </c>
      <c r="B392" s="190" t="s">
        <v>60</v>
      </c>
      <c r="C392" s="190"/>
      <c r="D392" s="152"/>
      <c r="E392" s="1770"/>
      <c r="F392" s="152"/>
    </row>
    <row r="393" spans="1:7" x14ac:dyDescent="0.25">
      <c r="A393" s="190" t="s">
        <v>61</v>
      </c>
      <c r="B393" s="190"/>
      <c r="C393" s="190"/>
      <c r="D393" s="1952"/>
      <c r="E393" s="1952"/>
      <c r="F393" s="152"/>
    </row>
    <row r="394" spans="1:7" x14ac:dyDescent="0.25">
      <c r="A394" s="151"/>
      <c r="B394" s="151"/>
      <c r="C394" s="151"/>
      <c r="D394" s="151"/>
      <c r="E394" s="1783"/>
      <c r="F394" s="151"/>
    </row>
    <row r="395" spans="1:7" x14ac:dyDescent="0.25">
      <c r="A395" s="162" t="s">
        <v>255</v>
      </c>
      <c r="B395" s="162" t="s">
        <v>11</v>
      </c>
      <c r="C395" s="1958" t="s">
        <v>12</v>
      </c>
      <c r="D395" s="1958"/>
      <c r="E395" s="1784" t="s">
        <v>13</v>
      </c>
      <c r="F395" s="231" t="s">
        <v>14</v>
      </c>
      <c r="G395" s="25" t="s">
        <v>256</v>
      </c>
    </row>
    <row r="396" spans="1:7" x14ac:dyDescent="0.25">
      <c r="A396" s="162">
        <v>1</v>
      </c>
      <c r="B396" s="162">
        <v>2</v>
      </c>
      <c r="C396" s="1959">
        <v>3</v>
      </c>
      <c r="D396" s="1960"/>
      <c r="E396" s="1785">
        <v>4</v>
      </c>
      <c r="F396" s="231">
        <v>5</v>
      </c>
      <c r="G396" s="26">
        <v>6</v>
      </c>
    </row>
    <row r="397" spans="1:7" x14ac:dyDescent="0.25">
      <c r="A397" s="167" t="s">
        <v>257</v>
      </c>
      <c r="B397" s="233" t="s">
        <v>82</v>
      </c>
      <c r="C397" s="234"/>
      <c r="D397" s="235"/>
      <c r="E397" s="665"/>
      <c r="F397" s="237"/>
      <c r="G397" s="238"/>
    </row>
    <row r="398" spans="1:7" x14ac:dyDescent="0.25">
      <c r="A398" s="167" t="s">
        <v>258</v>
      </c>
      <c r="B398" s="233" t="s">
        <v>84</v>
      </c>
      <c r="C398" s="234"/>
      <c r="D398" s="235"/>
      <c r="E398" s="665"/>
      <c r="F398" s="237"/>
      <c r="G398" s="238"/>
    </row>
    <row r="399" spans="1:7" ht="26.25" x14ac:dyDescent="0.25">
      <c r="A399" s="167" t="s">
        <v>259</v>
      </c>
      <c r="B399" s="239" t="s">
        <v>260</v>
      </c>
      <c r="C399" s="240"/>
      <c r="D399" s="241"/>
      <c r="E399" s="1786"/>
      <c r="F399" s="242"/>
      <c r="G399" s="238"/>
    </row>
    <row r="400" spans="1:7" x14ac:dyDescent="0.25">
      <c r="A400" s="243"/>
      <c r="B400" s="243" t="s">
        <v>261</v>
      </c>
      <c r="C400" s="244">
        <v>180</v>
      </c>
      <c r="D400" s="241" t="s">
        <v>93</v>
      </c>
      <c r="E400" s="1786">
        <v>5000</v>
      </c>
      <c r="F400" s="242">
        <f>C400*E400</f>
        <v>900000</v>
      </c>
      <c r="G400" s="238"/>
    </row>
    <row r="401" spans="1:7" x14ac:dyDescent="0.25">
      <c r="A401" s="243"/>
      <c r="B401" s="243" t="s">
        <v>263</v>
      </c>
      <c r="C401" s="244">
        <v>15</v>
      </c>
      <c r="D401" s="241" t="s">
        <v>106</v>
      </c>
      <c r="E401" s="1786">
        <v>24000</v>
      </c>
      <c r="F401" s="242">
        <f>E401*C401</f>
        <v>360000</v>
      </c>
      <c r="G401" s="238"/>
    </row>
    <row r="402" spans="1:7" x14ac:dyDescent="0.25">
      <c r="A402" s="167"/>
      <c r="B402" s="168" t="s">
        <v>264</v>
      </c>
      <c r="C402" s="169">
        <v>10</v>
      </c>
      <c r="D402" s="245" t="s">
        <v>93</v>
      </c>
      <c r="E402" s="547">
        <v>57000</v>
      </c>
      <c r="F402" s="202">
        <f>E402*C402</f>
        <v>570000</v>
      </c>
      <c r="G402" s="171"/>
    </row>
    <row r="403" spans="1:7" x14ac:dyDescent="0.25">
      <c r="A403" s="243"/>
      <c r="B403" s="243" t="s">
        <v>265</v>
      </c>
      <c r="C403" s="244">
        <v>4000</v>
      </c>
      <c r="D403" s="241" t="s">
        <v>266</v>
      </c>
      <c r="E403" s="1786">
        <v>350</v>
      </c>
      <c r="F403" s="242">
        <f>E403*C403</f>
        <v>1400000</v>
      </c>
      <c r="G403" s="238"/>
    </row>
    <row r="404" spans="1:7" x14ac:dyDescent="0.25">
      <c r="A404" s="246"/>
      <c r="B404" s="247"/>
      <c r="C404" s="244"/>
      <c r="D404" s="241"/>
      <c r="E404" s="1786"/>
      <c r="F404" s="242"/>
      <c r="G404" s="238"/>
    </row>
    <row r="405" spans="1:7" ht="39" x14ac:dyDescent="0.25">
      <c r="A405" s="167" t="s">
        <v>267</v>
      </c>
      <c r="B405" s="248" t="s">
        <v>146</v>
      </c>
      <c r="C405" s="244"/>
      <c r="D405" s="241"/>
      <c r="E405" s="1786"/>
      <c r="F405" s="242"/>
      <c r="G405" s="238"/>
    </row>
    <row r="406" spans="1:7" ht="26.25" x14ac:dyDescent="0.25">
      <c r="A406" s="243"/>
      <c r="B406" s="239" t="s">
        <v>268</v>
      </c>
      <c r="C406" s="244">
        <v>240</v>
      </c>
      <c r="D406" s="235" t="s">
        <v>269</v>
      </c>
      <c r="E406" s="1786">
        <v>20000</v>
      </c>
      <c r="F406" s="249">
        <f>E406*C406</f>
        <v>4800000</v>
      </c>
      <c r="G406" s="238"/>
    </row>
    <row r="407" spans="1:7" x14ac:dyDescent="0.25">
      <c r="A407" s="243"/>
      <c r="B407" s="239" t="s">
        <v>270</v>
      </c>
      <c r="C407" s="244">
        <v>36</v>
      </c>
      <c r="D407" s="235" t="s">
        <v>269</v>
      </c>
      <c r="E407" s="1786">
        <v>20000</v>
      </c>
      <c r="F407" s="249">
        <f>E407*C407</f>
        <v>720000</v>
      </c>
      <c r="G407" s="238"/>
    </row>
    <row r="408" spans="1:7" ht="26.25" x14ac:dyDescent="0.25">
      <c r="A408" s="243"/>
      <c r="B408" s="239" t="s">
        <v>1744</v>
      </c>
      <c r="C408" s="244">
        <f>9*70</f>
        <v>630</v>
      </c>
      <c r="D408" s="235" t="s">
        <v>269</v>
      </c>
      <c r="E408" s="1786">
        <v>20000</v>
      </c>
      <c r="F408" s="249">
        <f>E408*C408</f>
        <v>12600000</v>
      </c>
      <c r="G408" s="238"/>
    </row>
    <row r="409" spans="1:7" x14ac:dyDescent="0.25">
      <c r="A409" s="167" t="s">
        <v>1746</v>
      </c>
      <c r="B409" s="247" t="s">
        <v>973</v>
      </c>
      <c r="C409" s="244"/>
      <c r="D409" s="241"/>
      <c r="E409" s="1786"/>
      <c r="F409" s="242"/>
      <c r="G409" s="238"/>
    </row>
    <row r="410" spans="1:7" x14ac:dyDescent="0.25">
      <c r="A410" s="167"/>
      <c r="B410" s="247" t="s">
        <v>1747</v>
      </c>
      <c r="C410" s="244">
        <v>1</v>
      </c>
      <c r="D410" s="241" t="s">
        <v>106</v>
      </c>
      <c r="E410" s="1786">
        <v>90000</v>
      </c>
      <c r="F410" s="242">
        <f>E410*C410</f>
        <v>90000</v>
      </c>
      <c r="G410" s="238"/>
    </row>
    <row r="411" spans="1:7" ht="26.25" x14ac:dyDescent="0.25">
      <c r="A411" s="167" t="s">
        <v>271</v>
      </c>
      <c r="B411" s="239" t="s">
        <v>167</v>
      </c>
      <c r="C411" s="244"/>
      <c r="D411" s="241"/>
      <c r="E411" s="1786"/>
      <c r="F411" s="242"/>
      <c r="G411" s="238"/>
    </row>
    <row r="412" spans="1:7" ht="26.25" x14ac:dyDescent="0.25">
      <c r="A412" s="243"/>
      <c r="B412" s="239" t="s">
        <v>3475</v>
      </c>
      <c r="C412" s="244">
        <v>9</v>
      </c>
      <c r="D412" s="241" t="s">
        <v>1745</v>
      </c>
      <c r="E412" s="1786">
        <v>1017000</v>
      </c>
      <c r="F412" s="242">
        <f>E412*C412</f>
        <v>9153000</v>
      </c>
      <c r="G412" s="238"/>
    </row>
    <row r="413" spans="1:7" x14ac:dyDescent="0.25">
      <c r="A413" s="243"/>
      <c r="B413" s="233" t="s">
        <v>3476</v>
      </c>
      <c r="C413" s="234">
        <v>9</v>
      </c>
      <c r="D413" s="235" t="s">
        <v>90</v>
      </c>
      <c r="E413" s="1856">
        <v>101000</v>
      </c>
      <c r="F413" s="242">
        <f>E413*C413</f>
        <v>909000</v>
      </c>
      <c r="G413" s="238"/>
    </row>
    <row r="414" spans="1:7" x14ac:dyDescent="0.25">
      <c r="A414" s="246"/>
      <c r="B414" s="233"/>
      <c r="C414" s="234"/>
      <c r="D414" s="235"/>
      <c r="E414" s="1856"/>
      <c r="F414" s="242"/>
      <c r="G414" s="238"/>
    </row>
    <row r="415" spans="1:7" x14ac:dyDescent="0.25">
      <c r="A415" s="167" t="s">
        <v>272</v>
      </c>
      <c r="B415" s="233" t="s">
        <v>273</v>
      </c>
      <c r="C415" s="234"/>
      <c r="D415" s="235"/>
      <c r="E415" s="1856"/>
      <c r="F415" s="250"/>
      <c r="G415" s="238"/>
    </row>
    <row r="416" spans="1:7" x14ac:dyDescent="0.25">
      <c r="A416" s="243"/>
      <c r="B416" s="233" t="s">
        <v>274</v>
      </c>
      <c r="C416" s="234">
        <v>12</v>
      </c>
      <c r="D416" s="235" t="s">
        <v>158</v>
      </c>
      <c r="E416" s="1856">
        <v>50000</v>
      </c>
      <c r="F416" s="250">
        <f>E416*C416</f>
        <v>600000</v>
      </c>
      <c r="G416" s="238"/>
    </row>
    <row r="417" spans="1:11" x14ac:dyDescent="0.25">
      <c r="A417" s="243"/>
      <c r="B417" s="251" t="s">
        <v>275</v>
      </c>
      <c r="C417" s="252">
        <v>12</v>
      </c>
      <c r="D417" s="235" t="s">
        <v>158</v>
      </c>
      <c r="E417" s="1857">
        <v>15000</v>
      </c>
      <c r="F417" s="253">
        <f>E417*C417</f>
        <v>180000</v>
      </c>
      <c r="G417" s="238"/>
    </row>
    <row r="418" spans="1:11" x14ac:dyDescent="0.25">
      <c r="A418" s="243"/>
      <c r="B418" s="1961" t="s">
        <v>26</v>
      </c>
      <c r="C418" s="1961"/>
      <c r="D418" s="1961"/>
      <c r="E418" s="1961"/>
      <c r="F418" s="249">
        <f>SUM(F400:F417)</f>
        <v>32282000</v>
      </c>
      <c r="G418" s="254" t="s">
        <v>1220</v>
      </c>
      <c r="J418" s="23">
        <f>F418</f>
        <v>32282000</v>
      </c>
      <c r="K418" s="23"/>
    </row>
    <row r="419" spans="1:11" x14ac:dyDescent="0.25">
      <c r="A419" s="1926" t="s">
        <v>516</v>
      </c>
      <c r="B419" s="1926"/>
      <c r="C419" s="152" t="s">
        <v>27</v>
      </c>
      <c r="D419" s="1926" t="s">
        <v>3654</v>
      </c>
      <c r="E419" s="1926"/>
      <c r="F419" s="1926"/>
      <c r="G419" s="152"/>
    </row>
    <row r="420" spans="1:11" x14ac:dyDescent="0.25">
      <c r="A420" s="1926" t="s">
        <v>28</v>
      </c>
      <c r="B420" s="1926"/>
      <c r="C420" s="152"/>
      <c r="D420" s="1927" t="s">
        <v>3382</v>
      </c>
      <c r="E420" s="1927"/>
      <c r="F420" s="1927"/>
      <c r="G420" s="152"/>
    </row>
    <row r="421" spans="1:11" x14ac:dyDescent="0.25">
      <c r="A421" s="150"/>
      <c r="B421" s="151"/>
      <c r="C421" s="152"/>
      <c r="D421" s="153"/>
      <c r="E421" s="1770"/>
      <c r="F421" s="182"/>
      <c r="G421" s="152"/>
    </row>
    <row r="422" spans="1:11" x14ac:dyDescent="0.25">
      <c r="A422" s="150"/>
      <c r="B422" s="151"/>
      <c r="C422" s="152"/>
      <c r="D422" s="153"/>
      <c r="E422" s="1770"/>
      <c r="F422" s="182"/>
      <c r="G422" s="152"/>
    </row>
    <row r="423" spans="1:11" x14ac:dyDescent="0.25">
      <c r="A423" s="1926"/>
      <c r="B423" s="1926"/>
      <c r="C423" s="152"/>
      <c r="D423" s="153"/>
      <c r="E423" s="1926"/>
      <c r="F423" s="1926"/>
      <c r="G423" s="152"/>
    </row>
    <row r="424" spans="1:11" x14ac:dyDescent="0.25">
      <c r="A424" s="1926" t="s">
        <v>29</v>
      </c>
      <c r="B424" s="1926"/>
      <c r="C424" s="152"/>
      <c r="D424" s="1926" t="s">
        <v>3383</v>
      </c>
      <c r="E424" s="1926"/>
      <c r="F424" s="1926"/>
      <c r="G424" s="152"/>
    </row>
    <row r="427" spans="1:11" x14ac:dyDescent="0.25">
      <c r="A427" s="1947" t="s">
        <v>0</v>
      </c>
      <c r="B427" s="1947"/>
      <c r="C427" s="1947"/>
      <c r="D427" s="1947"/>
      <c r="E427" s="1947"/>
      <c r="F427" s="1947"/>
      <c r="G427" s="149"/>
    </row>
    <row r="428" spans="1:11" x14ac:dyDescent="0.25">
      <c r="A428" s="1947" t="s">
        <v>1</v>
      </c>
      <c r="B428" s="1947"/>
      <c r="C428" s="1947"/>
      <c r="D428" s="1947"/>
      <c r="E428" s="1947"/>
      <c r="F428" s="1947"/>
      <c r="G428" s="149"/>
    </row>
    <row r="429" spans="1:11" x14ac:dyDescent="0.25">
      <c r="A429" s="1947" t="s">
        <v>2398</v>
      </c>
      <c r="B429" s="1947"/>
      <c r="C429" s="1947"/>
      <c r="D429" s="1947"/>
      <c r="E429" s="1947"/>
      <c r="F429" s="1947"/>
      <c r="G429" s="149"/>
    </row>
    <row r="430" spans="1:11" x14ac:dyDescent="0.25">
      <c r="A430" s="148"/>
      <c r="B430" s="148"/>
      <c r="C430" s="152"/>
      <c r="D430" s="153"/>
      <c r="E430" s="1765"/>
      <c r="F430" s="155"/>
      <c r="G430" s="152"/>
    </row>
    <row r="431" spans="1:11" x14ac:dyDescent="0.25">
      <c r="A431" s="150" t="s">
        <v>236</v>
      </c>
      <c r="B431" s="196" t="s">
        <v>3</v>
      </c>
      <c r="C431" s="196"/>
      <c r="D431" s="196"/>
      <c r="E431" s="1772" t="s">
        <v>6</v>
      </c>
      <c r="F431" s="155"/>
      <c r="G431" s="152"/>
    </row>
    <row r="432" spans="1:11" ht="36" x14ac:dyDescent="0.25">
      <c r="A432" s="156" t="s">
        <v>237</v>
      </c>
      <c r="B432" s="196" t="s">
        <v>5</v>
      </c>
      <c r="C432" s="196"/>
      <c r="D432" s="196"/>
      <c r="E432" s="1766" t="s">
        <v>9</v>
      </c>
      <c r="F432" s="160"/>
      <c r="G432" s="152"/>
    </row>
    <row r="433" spans="1:7" ht="24" x14ac:dyDescent="0.25">
      <c r="A433" s="156" t="s">
        <v>7</v>
      </c>
      <c r="B433" s="196" t="s">
        <v>276</v>
      </c>
      <c r="C433" s="196"/>
      <c r="D433" s="196"/>
      <c r="E433" s="1765"/>
      <c r="F433" s="155"/>
      <c r="G433" s="152"/>
    </row>
    <row r="434" spans="1:7" x14ac:dyDescent="0.25">
      <c r="A434" s="190" t="s">
        <v>59</v>
      </c>
      <c r="B434" s="190" t="s">
        <v>60</v>
      </c>
      <c r="C434" s="190"/>
      <c r="D434" s="152"/>
      <c r="E434" s="1770"/>
      <c r="F434" s="152"/>
    </row>
    <row r="435" spans="1:7" x14ac:dyDescent="0.25">
      <c r="A435" s="190" t="s">
        <v>61</v>
      </c>
      <c r="B435" s="190" t="s">
        <v>62</v>
      </c>
      <c r="C435" s="190"/>
      <c r="D435" s="1952"/>
      <c r="E435" s="1952"/>
      <c r="F435" s="152"/>
    </row>
    <row r="436" spans="1:7" x14ac:dyDescent="0.25">
      <c r="A436" s="151"/>
      <c r="B436" s="151"/>
      <c r="C436" s="151"/>
      <c r="D436" s="151"/>
      <c r="E436" s="1783"/>
      <c r="F436" s="151"/>
    </row>
    <row r="437" spans="1:7" x14ac:dyDescent="0.25">
      <c r="A437" s="162" t="s">
        <v>255</v>
      </c>
      <c r="B437" s="162" t="s">
        <v>11</v>
      </c>
      <c r="C437" s="1958" t="s">
        <v>12</v>
      </c>
      <c r="D437" s="1958"/>
      <c r="E437" s="1784" t="s">
        <v>13</v>
      </c>
      <c r="F437" s="231" t="s">
        <v>14</v>
      </c>
      <c r="G437" s="25" t="s">
        <v>256</v>
      </c>
    </row>
    <row r="438" spans="1:7" x14ac:dyDescent="0.25">
      <c r="A438" s="162">
        <v>1</v>
      </c>
      <c r="B438" s="162">
        <v>2</v>
      </c>
      <c r="C438" s="1959">
        <v>3</v>
      </c>
      <c r="D438" s="1960"/>
      <c r="E438" s="1785">
        <v>4</v>
      </c>
      <c r="F438" s="231">
        <v>5</v>
      </c>
      <c r="G438" s="26">
        <v>6</v>
      </c>
    </row>
    <row r="439" spans="1:7" x14ac:dyDescent="0.25">
      <c r="A439" s="167" t="s">
        <v>257</v>
      </c>
      <c r="B439" s="168" t="s">
        <v>277</v>
      </c>
      <c r="C439" s="231"/>
      <c r="D439" s="255"/>
      <c r="E439" s="1785"/>
      <c r="F439" s="231"/>
      <c r="G439" s="256"/>
    </row>
    <row r="440" spans="1:7" x14ac:dyDescent="0.25">
      <c r="A440" s="167" t="s">
        <v>258</v>
      </c>
      <c r="B440" s="168" t="s">
        <v>84</v>
      </c>
      <c r="C440" s="169"/>
      <c r="D440" s="170"/>
      <c r="E440" s="645"/>
      <c r="F440" s="163"/>
      <c r="G440" s="171"/>
    </row>
    <row r="441" spans="1:7" ht="24" x14ac:dyDescent="0.25">
      <c r="A441" s="167" t="s">
        <v>279</v>
      </c>
      <c r="B441" s="168" t="s">
        <v>280</v>
      </c>
      <c r="C441" s="169"/>
      <c r="D441" s="245"/>
      <c r="E441" s="547"/>
      <c r="F441" s="202"/>
      <c r="G441" s="171"/>
    </row>
    <row r="442" spans="1:7" x14ac:dyDescent="0.25">
      <c r="A442" s="167"/>
      <c r="B442" s="168" t="s">
        <v>281</v>
      </c>
      <c r="C442" s="169">
        <v>20000</v>
      </c>
      <c r="D442" s="245" t="s">
        <v>266</v>
      </c>
      <c r="E442" s="547">
        <v>350</v>
      </c>
      <c r="F442" s="202">
        <f>E442*C442</f>
        <v>7000000</v>
      </c>
      <c r="G442" s="181"/>
    </row>
    <row r="443" spans="1:7" x14ac:dyDescent="0.25">
      <c r="A443" s="167"/>
      <c r="B443" s="168" t="s">
        <v>282</v>
      </c>
      <c r="C443" s="169">
        <v>8</v>
      </c>
      <c r="D443" s="245" t="s">
        <v>106</v>
      </c>
      <c r="E443" s="547">
        <v>90000</v>
      </c>
      <c r="F443" s="202">
        <f>E443*C443</f>
        <v>720000</v>
      </c>
      <c r="G443" s="181"/>
    </row>
    <row r="444" spans="1:7" x14ac:dyDescent="0.25">
      <c r="A444" s="167"/>
      <c r="B444" s="168"/>
      <c r="C444" s="169"/>
      <c r="D444" s="245"/>
      <c r="E444" s="547"/>
      <c r="F444" s="202"/>
      <c r="G444" s="221"/>
    </row>
    <row r="445" spans="1:7" ht="36" x14ac:dyDescent="0.25">
      <c r="A445" s="167" t="s">
        <v>267</v>
      </c>
      <c r="B445" s="168" t="s">
        <v>283</v>
      </c>
      <c r="C445" s="169"/>
      <c r="D445" s="245"/>
      <c r="E445" s="547"/>
      <c r="F445" s="202"/>
      <c r="G445" s="171"/>
    </row>
    <row r="446" spans="1:7" x14ac:dyDescent="0.25">
      <c r="A446" s="167"/>
      <c r="B446" s="168" t="s">
        <v>284</v>
      </c>
      <c r="C446" s="169">
        <f>50*8</f>
        <v>400</v>
      </c>
      <c r="D446" s="245" t="s">
        <v>269</v>
      </c>
      <c r="E446" s="547">
        <v>20000</v>
      </c>
      <c r="F446" s="202">
        <f>E446*C446</f>
        <v>8000000</v>
      </c>
      <c r="G446" s="181"/>
    </row>
    <row r="447" spans="1:7" x14ac:dyDescent="0.25">
      <c r="A447" s="167"/>
      <c r="B447" s="168"/>
      <c r="C447" s="169"/>
      <c r="D447" s="245"/>
      <c r="E447" s="547"/>
      <c r="F447" s="202"/>
      <c r="G447" s="221"/>
    </row>
    <row r="448" spans="1:7" x14ac:dyDescent="0.25">
      <c r="A448" s="167" t="s">
        <v>272</v>
      </c>
      <c r="B448" s="168" t="s">
        <v>285</v>
      </c>
      <c r="C448" s="169"/>
      <c r="D448" s="245"/>
      <c r="E448" s="547"/>
      <c r="F448" s="202"/>
      <c r="G448" s="171"/>
    </row>
    <row r="449" spans="1:11" x14ac:dyDescent="0.25">
      <c r="A449" s="167"/>
      <c r="B449" s="168" t="s">
        <v>286</v>
      </c>
      <c r="C449" s="169">
        <v>8</v>
      </c>
      <c r="D449" s="245" t="s">
        <v>287</v>
      </c>
      <c r="E449" s="547">
        <v>50000</v>
      </c>
      <c r="F449" s="202">
        <f>E449*C449</f>
        <v>400000</v>
      </c>
      <c r="G449" s="181"/>
    </row>
    <row r="450" spans="1:11" x14ac:dyDescent="0.25">
      <c r="A450" s="167"/>
      <c r="B450" s="168" t="s">
        <v>288</v>
      </c>
      <c r="C450" s="169">
        <f>4*8</f>
        <v>32</v>
      </c>
      <c r="D450" s="245" t="s">
        <v>158</v>
      </c>
      <c r="E450" s="547">
        <v>5000</v>
      </c>
      <c r="F450" s="202">
        <f>E450*C450</f>
        <v>160000</v>
      </c>
      <c r="G450" s="181"/>
    </row>
    <row r="451" spans="1:11" x14ac:dyDescent="0.25">
      <c r="A451" s="167"/>
      <c r="B451" s="168" t="s">
        <v>275</v>
      </c>
      <c r="C451" s="169">
        <f>5*8</f>
        <v>40</v>
      </c>
      <c r="D451" s="245" t="s">
        <v>158</v>
      </c>
      <c r="E451" s="547">
        <v>1000</v>
      </c>
      <c r="F451" s="202">
        <f>E451*C451</f>
        <v>40000</v>
      </c>
      <c r="G451" s="181"/>
    </row>
    <row r="452" spans="1:11" x14ac:dyDescent="0.25">
      <c r="A452" s="167"/>
      <c r="B452" s="168" t="s">
        <v>289</v>
      </c>
      <c r="C452" s="169">
        <v>8</v>
      </c>
      <c r="D452" s="245" t="s">
        <v>290</v>
      </c>
      <c r="E452" s="547">
        <v>10000</v>
      </c>
      <c r="F452" s="202">
        <f>E452*C452</f>
        <v>80000</v>
      </c>
      <c r="G452" s="181"/>
    </row>
    <row r="453" spans="1:11" x14ac:dyDescent="0.25">
      <c r="A453" s="167"/>
      <c r="B453" s="168"/>
      <c r="C453" s="169"/>
      <c r="D453" s="170"/>
      <c r="E453" s="547"/>
      <c r="F453" s="202"/>
      <c r="G453" s="181"/>
    </row>
    <row r="454" spans="1:11" x14ac:dyDescent="0.25">
      <c r="A454" s="193"/>
      <c r="B454" s="177"/>
      <c r="C454" s="206"/>
      <c r="D454" s="170"/>
      <c r="E454" s="1787"/>
      <c r="F454" s="215"/>
      <c r="G454" s="181"/>
    </row>
    <row r="455" spans="1:11" x14ac:dyDescent="0.25">
      <c r="A455" s="257"/>
      <c r="B455" s="1945" t="s">
        <v>26</v>
      </c>
      <c r="C455" s="1945"/>
      <c r="D455" s="1945"/>
      <c r="E455" s="1946"/>
      <c r="F455" s="179">
        <f>SUM(F441:F452)</f>
        <v>16400000</v>
      </c>
      <c r="G455" s="177" t="s">
        <v>1220</v>
      </c>
      <c r="J455" s="27">
        <f>F455</f>
        <v>16400000</v>
      </c>
      <c r="K455" s="27"/>
    </row>
    <row r="456" spans="1:11" x14ac:dyDescent="0.25">
      <c r="A456" s="1926" t="s">
        <v>516</v>
      </c>
      <c r="B456" s="1926"/>
      <c r="C456" s="152" t="s">
        <v>27</v>
      </c>
      <c r="D456" s="1926" t="s">
        <v>3654</v>
      </c>
      <c r="E456" s="1926"/>
      <c r="F456" s="1926"/>
      <c r="G456" s="152"/>
    </row>
    <row r="457" spans="1:11" x14ac:dyDescent="0.25">
      <c r="A457" s="1926" t="s">
        <v>28</v>
      </c>
      <c r="B457" s="1926"/>
      <c r="C457" s="152"/>
      <c r="D457" s="1927" t="s">
        <v>3382</v>
      </c>
      <c r="E457" s="1927"/>
      <c r="F457" s="1927"/>
      <c r="G457" s="152"/>
    </row>
    <row r="458" spans="1:11" x14ac:dyDescent="0.25">
      <c r="A458" s="150"/>
      <c r="B458" s="151"/>
      <c r="C458" s="152"/>
      <c r="D458" s="153"/>
      <c r="E458" s="1770"/>
      <c r="F458" s="182"/>
      <c r="G458" s="152"/>
    </row>
    <row r="459" spans="1:11" x14ac:dyDescent="0.25">
      <c r="A459" s="150"/>
      <c r="B459" s="151"/>
      <c r="C459" s="152"/>
      <c r="D459" s="153"/>
      <c r="E459" s="1770"/>
      <c r="F459" s="182"/>
      <c r="G459" s="152"/>
    </row>
    <row r="460" spans="1:11" x14ac:dyDescent="0.25">
      <c r="A460" s="1926"/>
      <c r="B460" s="1926"/>
      <c r="C460" s="152"/>
      <c r="D460" s="153"/>
      <c r="E460" s="1926"/>
      <c r="F460" s="1926"/>
      <c r="G460" s="152"/>
    </row>
    <row r="461" spans="1:11" x14ac:dyDescent="0.25">
      <c r="A461" s="1926" t="s">
        <v>29</v>
      </c>
      <c r="B461" s="1926"/>
      <c r="C461" s="152"/>
      <c r="D461" s="1926" t="s">
        <v>3383</v>
      </c>
      <c r="E461" s="1926"/>
      <c r="F461" s="1926"/>
      <c r="G461" s="152"/>
    </row>
    <row r="464" spans="1:11" x14ac:dyDescent="0.25">
      <c r="A464" s="1956" t="s">
        <v>0</v>
      </c>
      <c r="B464" s="1956"/>
      <c r="C464" s="1956"/>
      <c r="D464" s="1956"/>
      <c r="E464" s="1956"/>
      <c r="F464" s="1956"/>
      <c r="G464" s="258"/>
    </row>
    <row r="465" spans="1:7" x14ac:dyDescent="0.25">
      <c r="A465" s="1956" t="s">
        <v>1</v>
      </c>
      <c r="B465" s="1956"/>
      <c r="C465" s="1956"/>
      <c r="D465" s="1956"/>
      <c r="E465" s="1956"/>
      <c r="F465" s="1956"/>
      <c r="G465" s="258"/>
    </row>
    <row r="466" spans="1:7" x14ac:dyDescent="0.25">
      <c r="A466" s="1956" t="s">
        <v>2398</v>
      </c>
      <c r="B466" s="1956"/>
      <c r="C466" s="1956"/>
      <c r="D466" s="1956"/>
      <c r="E466" s="1956"/>
      <c r="F466" s="1956"/>
      <c r="G466" s="258"/>
    </row>
    <row r="467" spans="1:7" x14ac:dyDescent="0.25">
      <c r="A467" s="259"/>
      <c r="B467" s="259"/>
      <c r="C467" s="260"/>
      <c r="D467" s="261"/>
      <c r="E467" s="1788"/>
      <c r="F467" s="183"/>
      <c r="G467" s="260"/>
    </row>
    <row r="468" spans="1:7" ht="30" x14ac:dyDescent="0.25">
      <c r="A468" s="263" t="s">
        <v>236</v>
      </c>
      <c r="B468" s="264" t="s">
        <v>3</v>
      </c>
      <c r="C468" s="264"/>
      <c r="D468" s="264"/>
      <c r="E468" s="1789" t="s">
        <v>6</v>
      </c>
      <c r="F468" s="183"/>
      <c r="G468" s="260"/>
    </row>
    <row r="469" spans="1:7" ht="45" x14ac:dyDescent="0.25">
      <c r="A469" s="266" t="s">
        <v>237</v>
      </c>
      <c r="B469" s="264" t="s">
        <v>1344</v>
      </c>
      <c r="C469" s="264"/>
      <c r="D469" s="264"/>
      <c r="E469" s="1790" t="s">
        <v>9</v>
      </c>
      <c r="F469" s="267"/>
      <c r="G469" s="260"/>
    </row>
    <row r="470" spans="1:7" ht="30" x14ac:dyDescent="0.25">
      <c r="A470" s="266" t="s">
        <v>7</v>
      </c>
      <c r="B470" s="264" t="s">
        <v>1345</v>
      </c>
      <c r="C470" s="264"/>
      <c r="D470" s="264"/>
      <c r="E470" s="1788"/>
      <c r="F470" s="183"/>
      <c r="G470" s="260"/>
    </row>
    <row r="471" spans="1:7" x14ac:dyDescent="0.25">
      <c r="A471" s="260" t="s">
        <v>59</v>
      </c>
      <c r="B471" s="260" t="s">
        <v>60</v>
      </c>
      <c r="C471" s="260"/>
      <c r="D471" s="260"/>
      <c r="E471" s="1791"/>
      <c r="F471" s="260"/>
      <c r="G471" s="187"/>
    </row>
    <row r="472" spans="1:7" x14ac:dyDescent="0.25">
      <c r="A472" s="260" t="s">
        <v>61</v>
      </c>
      <c r="B472" s="260" t="s">
        <v>62</v>
      </c>
      <c r="C472" s="260"/>
      <c r="D472" s="1957"/>
      <c r="E472" s="1957"/>
      <c r="F472" s="260"/>
      <c r="G472" s="187"/>
    </row>
    <row r="473" spans="1:7" x14ac:dyDescent="0.25">
      <c r="A473" s="268"/>
      <c r="B473" s="268"/>
      <c r="C473" s="268"/>
      <c r="D473" s="268"/>
      <c r="E473" s="1792"/>
      <c r="F473" s="268"/>
      <c r="G473" s="187"/>
    </row>
    <row r="474" spans="1:7" ht="30" x14ac:dyDescent="0.25">
      <c r="A474" s="269" t="s">
        <v>255</v>
      </c>
      <c r="B474" s="269" t="s">
        <v>11</v>
      </c>
      <c r="C474" s="1962" t="s">
        <v>12</v>
      </c>
      <c r="D474" s="1962"/>
      <c r="E474" s="1793" t="s">
        <v>13</v>
      </c>
      <c r="F474" s="271" t="s">
        <v>14</v>
      </c>
      <c r="G474" s="272" t="s">
        <v>256</v>
      </c>
    </row>
    <row r="475" spans="1:7" x14ac:dyDescent="0.25">
      <c r="A475" s="269">
        <v>1</v>
      </c>
      <c r="B475" s="269">
        <v>2</v>
      </c>
      <c r="C475" s="1963">
        <v>3</v>
      </c>
      <c r="D475" s="1964"/>
      <c r="E475" s="1794">
        <v>4</v>
      </c>
      <c r="F475" s="271">
        <v>5</v>
      </c>
      <c r="G475" s="274">
        <v>6</v>
      </c>
    </row>
    <row r="476" spans="1:7" x14ac:dyDescent="0.25">
      <c r="A476" s="275" t="s">
        <v>257</v>
      </c>
      <c r="B476" s="276" t="s">
        <v>277</v>
      </c>
      <c r="C476" s="271"/>
      <c r="D476" s="277"/>
      <c r="E476" s="1794"/>
      <c r="F476" s="271"/>
      <c r="G476" s="278"/>
    </row>
    <row r="477" spans="1:7" x14ac:dyDescent="0.25">
      <c r="A477" s="275" t="s">
        <v>258</v>
      </c>
      <c r="B477" s="276" t="s">
        <v>84</v>
      </c>
      <c r="C477" s="279"/>
      <c r="D477" s="280"/>
      <c r="E477" s="1795"/>
      <c r="F477" s="282"/>
      <c r="G477" s="283"/>
    </row>
    <row r="478" spans="1:7" x14ac:dyDescent="0.25">
      <c r="A478" s="275"/>
      <c r="B478" s="276"/>
      <c r="C478" s="279"/>
      <c r="D478" s="284"/>
      <c r="E478" s="1796"/>
      <c r="F478" s="286"/>
      <c r="G478" s="288"/>
    </row>
    <row r="479" spans="1:7" ht="45" x14ac:dyDescent="0.25">
      <c r="A479" s="275" t="s">
        <v>267</v>
      </c>
      <c r="B479" s="276" t="s">
        <v>283</v>
      </c>
      <c r="C479" s="279"/>
      <c r="D479" s="284"/>
      <c r="E479" s="1796"/>
      <c r="F479" s="286"/>
      <c r="G479" s="283"/>
    </row>
    <row r="480" spans="1:7" x14ac:dyDescent="0.25">
      <c r="A480" s="275"/>
      <c r="B480" s="276" t="s">
        <v>1346</v>
      </c>
      <c r="C480" s="279">
        <f>50*8</f>
        <v>400</v>
      </c>
      <c r="D480" s="284" t="s">
        <v>269</v>
      </c>
      <c r="E480" s="1796">
        <v>20000</v>
      </c>
      <c r="F480" s="286">
        <f>E480*C480</f>
        <v>8000000</v>
      </c>
      <c r="G480" s="287"/>
    </row>
    <row r="481" spans="1:12" x14ac:dyDescent="0.25">
      <c r="A481" s="275"/>
      <c r="B481" s="276"/>
      <c r="C481" s="279"/>
      <c r="D481" s="284"/>
      <c r="E481" s="1796"/>
      <c r="F481" s="286"/>
      <c r="G481" s="288"/>
    </row>
    <row r="482" spans="1:12" x14ac:dyDescent="0.25">
      <c r="A482" s="275" t="s">
        <v>1746</v>
      </c>
      <c r="B482" s="276" t="s">
        <v>973</v>
      </c>
      <c r="C482" s="279"/>
      <c r="D482" s="284"/>
      <c r="E482" s="1796"/>
      <c r="F482" s="286"/>
      <c r="G482" s="283"/>
    </row>
    <row r="483" spans="1:12" x14ac:dyDescent="0.25">
      <c r="A483" s="275"/>
      <c r="B483" s="276" t="s">
        <v>282</v>
      </c>
      <c r="C483" s="279">
        <v>4</v>
      </c>
      <c r="D483" s="284" t="s">
        <v>106</v>
      </c>
      <c r="E483" s="1796">
        <v>90000</v>
      </c>
      <c r="F483" s="286">
        <f>E483*C483</f>
        <v>360000</v>
      </c>
      <c r="G483" s="287"/>
    </row>
    <row r="484" spans="1:12" x14ac:dyDescent="0.25">
      <c r="A484" s="275"/>
      <c r="B484" s="276"/>
      <c r="C484" s="279"/>
      <c r="D484" s="284"/>
      <c r="E484" s="1796"/>
      <c r="F484" s="286"/>
      <c r="G484" s="288"/>
    </row>
    <row r="485" spans="1:12" ht="30" x14ac:dyDescent="0.25">
      <c r="A485" s="275" t="s">
        <v>272</v>
      </c>
      <c r="B485" s="276" t="s">
        <v>285</v>
      </c>
      <c r="C485" s="279"/>
      <c r="D485" s="284"/>
      <c r="E485" s="1796"/>
      <c r="F485" s="286"/>
      <c r="G485" s="283"/>
    </row>
    <row r="486" spans="1:12" x14ac:dyDescent="0.25">
      <c r="A486" s="275"/>
      <c r="B486" s="276" t="s">
        <v>286</v>
      </c>
      <c r="C486" s="279">
        <v>4</v>
      </c>
      <c r="D486" s="284" t="s">
        <v>287</v>
      </c>
      <c r="E486" s="1796">
        <v>50000</v>
      </c>
      <c r="F486" s="286">
        <f>E486*C486</f>
        <v>200000</v>
      </c>
      <c r="G486" s="287"/>
    </row>
    <row r="487" spans="1:12" x14ac:dyDescent="0.25">
      <c r="A487" s="275"/>
      <c r="B487" s="276" t="s">
        <v>288</v>
      </c>
      <c r="C487" s="279">
        <v>16</v>
      </c>
      <c r="D487" s="284" t="s">
        <v>158</v>
      </c>
      <c r="E487" s="1796">
        <v>5000</v>
      </c>
      <c r="F487" s="286">
        <f>E487*C487</f>
        <v>80000</v>
      </c>
      <c r="G487" s="287"/>
    </row>
    <row r="488" spans="1:12" x14ac:dyDescent="0.25">
      <c r="A488" s="275"/>
      <c r="B488" s="276" t="s">
        <v>275</v>
      </c>
      <c r="C488" s="279">
        <v>5</v>
      </c>
      <c r="D488" s="284" t="s">
        <v>158</v>
      </c>
      <c r="E488" s="1796">
        <v>1000</v>
      </c>
      <c r="F488" s="286">
        <f>E488*C488</f>
        <v>5000</v>
      </c>
      <c r="G488" s="287"/>
    </row>
    <row r="489" spans="1:12" x14ac:dyDescent="0.25">
      <c r="A489" s="275"/>
      <c r="B489" s="276" t="s">
        <v>289</v>
      </c>
      <c r="C489" s="279">
        <v>4</v>
      </c>
      <c r="D489" s="284" t="s">
        <v>290</v>
      </c>
      <c r="E489" s="1796">
        <v>10000</v>
      </c>
      <c r="F489" s="286">
        <f>E489*C489</f>
        <v>40000</v>
      </c>
      <c r="G489" s="287"/>
    </row>
    <row r="490" spans="1:12" x14ac:dyDescent="0.25">
      <c r="A490" s="275"/>
      <c r="B490" s="276"/>
      <c r="C490" s="279"/>
      <c r="D490" s="280"/>
      <c r="E490" s="1796"/>
      <c r="F490" s="286"/>
      <c r="G490" s="287"/>
    </row>
    <row r="491" spans="1:12" x14ac:dyDescent="0.25">
      <c r="A491" s="289"/>
      <c r="B491" s="290"/>
      <c r="C491" s="291"/>
      <c r="D491" s="280"/>
      <c r="E491" s="1797"/>
      <c r="F491" s="292"/>
      <c r="G491" s="287"/>
    </row>
    <row r="492" spans="1:12" x14ac:dyDescent="0.25">
      <c r="A492" s="293"/>
      <c r="B492" s="1954" t="s">
        <v>26</v>
      </c>
      <c r="C492" s="1954"/>
      <c r="D492" s="1954"/>
      <c r="E492" s="1955"/>
      <c r="F492" s="294">
        <f>SUM(F478:F489)</f>
        <v>8685000</v>
      </c>
      <c r="G492" s="177" t="s">
        <v>2177</v>
      </c>
      <c r="K492" s="27"/>
      <c r="L492" s="27">
        <f>F492</f>
        <v>8685000</v>
      </c>
    </row>
    <row r="493" spans="1:12" x14ac:dyDescent="0.25">
      <c r="A493" s="1926" t="s">
        <v>516</v>
      </c>
      <c r="B493" s="1926"/>
      <c r="C493" s="152" t="s">
        <v>27</v>
      </c>
      <c r="D493" s="1926" t="s">
        <v>3654</v>
      </c>
      <c r="E493" s="1926"/>
      <c r="F493" s="1926"/>
      <c r="G493" s="152"/>
    </row>
    <row r="494" spans="1:12" x14ac:dyDescent="0.25">
      <c r="A494" s="1926" t="s">
        <v>28</v>
      </c>
      <c r="B494" s="1926"/>
      <c r="C494" s="152"/>
      <c r="D494" s="1927" t="s">
        <v>3382</v>
      </c>
      <c r="E494" s="1927"/>
      <c r="F494" s="1927"/>
      <c r="G494" s="152"/>
    </row>
    <row r="495" spans="1:12" x14ac:dyDescent="0.25">
      <c r="A495" s="150"/>
      <c r="B495" s="151"/>
      <c r="C495" s="152"/>
      <c r="D495" s="153"/>
      <c r="E495" s="1770"/>
      <c r="F495" s="182"/>
      <c r="G495" s="152"/>
    </row>
    <row r="496" spans="1:12" x14ac:dyDescent="0.25">
      <c r="A496" s="150"/>
      <c r="B496" s="151"/>
      <c r="C496" s="152"/>
      <c r="D496" s="153"/>
      <c r="E496" s="1770"/>
      <c r="F496" s="182"/>
      <c r="G496" s="152"/>
    </row>
    <row r="497" spans="1:7" x14ac:dyDescent="0.25">
      <c r="A497" s="1926"/>
      <c r="B497" s="1926"/>
      <c r="C497" s="152"/>
      <c r="D497" s="153"/>
      <c r="E497" s="1926"/>
      <c r="F497" s="1926"/>
      <c r="G497" s="152"/>
    </row>
    <row r="498" spans="1:7" x14ac:dyDescent="0.25">
      <c r="A498" s="1926" t="s">
        <v>29</v>
      </c>
      <c r="B498" s="1926"/>
      <c r="C498" s="152"/>
      <c r="D498" s="1926" t="s">
        <v>3383</v>
      </c>
      <c r="E498" s="1926"/>
      <c r="F498" s="1926"/>
      <c r="G498" s="152"/>
    </row>
    <row r="502" spans="1:7" x14ac:dyDescent="0.25">
      <c r="A502" s="1947" t="s">
        <v>0</v>
      </c>
      <c r="B502" s="1947"/>
      <c r="C502" s="1947"/>
      <c r="D502" s="1947"/>
      <c r="E502" s="1947"/>
      <c r="F502" s="1947"/>
      <c r="G502" s="149"/>
    </row>
    <row r="503" spans="1:7" x14ac:dyDescent="0.25">
      <c r="A503" s="1947" t="s">
        <v>1</v>
      </c>
      <c r="B503" s="1947"/>
      <c r="C503" s="1947"/>
      <c r="D503" s="1947"/>
      <c r="E503" s="1947"/>
      <c r="F503" s="1947"/>
      <c r="G503" s="149"/>
    </row>
    <row r="504" spans="1:7" x14ac:dyDescent="0.25">
      <c r="A504" s="1947" t="s">
        <v>2398</v>
      </c>
      <c r="B504" s="1947"/>
      <c r="C504" s="1947"/>
      <c r="D504" s="1947"/>
      <c r="E504" s="1947"/>
      <c r="F504" s="1947"/>
      <c r="G504" s="149"/>
    </row>
    <row r="505" spans="1:7" x14ac:dyDescent="0.25">
      <c r="A505" s="148"/>
      <c r="B505" s="148"/>
      <c r="C505" s="148"/>
      <c r="D505" s="148"/>
      <c r="E505" s="1764"/>
      <c r="F505" s="148"/>
      <c r="G505" s="149"/>
    </row>
    <row r="506" spans="1:7" x14ac:dyDescent="0.25">
      <c r="A506" s="150" t="s">
        <v>236</v>
      </c>
      <c r="B506" s="151" t="s">
        <v>3</v>
      </c>
      <c r="C506" s="152"/>
      <c r="D506" s="153"/>
      <c r="E506" s="1765"/>
      <c r="F506" s="155"/>
      <c r="G506" s="152"/>
    </row>
    <row r="507" spans="1:7" ht="36.75" x14ac:dyDescent="0.25">
      <c r="A507" s="156" t="s">
        <v>237</v>
      </c>
      <c r="B507" s="151" t="s">
        <v>5</v>
      </c>
      <c r="C507" s="152"/>
      <c r="D507" s="153"/>
      <c r="E507" s="1772" t="s">
        <v>6</v>
      </c>
      <c r="F507" s="155"/>
      <c r="G507" s="152"/>
    </row>
    <row r="508" spans="1:7" x14ac:dyDescent="0.25">
      <c r="A508" s="156" t="s">
        <v>7</v>
      </c>
      <c r="B508" s="151" t="s">
        <v>291</v>
      </c>
      <c r="C508" s="152"/>
      <c r="D508" s="153"/>
      <c r="E508" s="1766" t="s">
        <v>9</v>
      </c>
      <c r="F508" s="160"/>
      <c r="G508" s="152"/>
    </row>
    <row r="509" spans="1:7" x14ac:dyDescent="0.25">
      <c r="A509" s="185" t="s">
        <v>37</v>
      </c>
      <c r="B509" s="151" t="s">
        <v>60</v>
      </c>
      <c r="C509" s="152"/>
      <c r="D509" s="153"/>
      <c r="E509" s="1765"/>
      <c r="F509" s="155"/>
      <c r="G509" s="152"/>
    </row>
    <row r="510" spans="1:7" x14ac:dyDescent="0.25">
      <c r="A510" s="156" t="s">
        <v>10</v>
      </c>
      <c r="B510" s="151"/>
      <c r="C510" s="152"/>
      <c r="D510" s="153"/>
      <c r="E510" s="1765"/>
      <c r="F510" s="155"/>
      <c r="G510" s="152"/>
    </row>
    <row r="511" spans="1:7" x14ac:dyDescent="0.25">
      <c r="A511" s="156"/>
      <c r="B511" s="151"/>
      <c r="C511" s="152"/>
      <c r="D511" s="153"/>
      <c r="E511" s="1765"/>
      <c r="F511" s="155"/>
      <c r="G511" s="152"/>
    </row>
    <row r="512" spans="1:7" x14ac:dyDescent="0.25">
      <c r="A512" s="161" t="s">
        <v>30</v>
      </c>
      <c r="B512" s="162" t="s">
        <v>31</v>
      </c>
      <c r="C512" s="1931" t="s">
        <v>12</v>
      </c>
      <c r="D512" s="1932"/>
      <c r="E512" s="1767" t="s">
        <v>32</v>
      </c>
      <c r="F512" s="163" t="s">
        <v>33</v>
      </c>
      <c r="G512" s="161" t="s">
        <v>34</v>
      </c>
    </row>
    <row r="513" spans="1:11" x14ac:dyDescent="0.25">
      <c r="A513" s="164">
        <v>1</v>
      </c>
      <c r="B513" s="164">
        <v>2</v>
      </c>
      <c r="C513" s="1943">
        <v>3</v>
      </c>
      <c r="D513" s="1943"/>
      <c r="E513" s="1768">
        <v>4</v>
      </c>
      <c r="F513" s="166">
        <v>5</v>
      </c>
      <c r="G513" s="166">
        <v>6</v>
      </c>
    </row>
    <row r="514" spans="1:11" x14ac:dyDescent="0.25">
      <c r="A514" s="176" t="s">
        <v>292</v>
      </c>
      <c r="B514" s="201" t="s">
        <v>277</v>
      </c>
      <c r="C514" s="169"/>
      <c r="D514" s="170"/>
      <c r="E514" s="645"/>
      <c r="F514" s="163"/>
      <c r="G514" s="161"/>
    </row>
    <row r="515" spans="1:11" x14ac:dyDescent="0.25">
      <c r="A515" s="193" t="s">
        <v>293</v>
      </c>
      <c r="B515" s="177" t="s">
        <v>294</v>
      </c>
      <c r="C515" s="178"/>
      <c r="D515" s="170"/>
      <c r="E515" s="389"/>
      <c r="F515" s="179"/>
      <c r="G515" s="181"/>
    </row>
    <row r="516" spans="1:11" x14ac:dyDescent="0.25">
      <c r="A516" s="176" t="s">
        <v>2303</v>
      </c>
      <c r="B516" s="177" t="s">
        <v>298</v>
      </c>
      <c r="C516" s="178"/>
      <c r="D516" s="170"/>
      <c r="E516" s="389"/>
      <c r="F516" s="179"/>
      <c r="G516" s="181"/>
    </row>
    <row r="517" spans="1:11" x14ac:dyDescent="0.25">
      <c r="A517" s="176"/>
      <c r="B517" s="177" t="s">
        <v>298</v>
      </c>
      <c r="C517" s="178">
        <v>12</v>
      </c>
      <c r="D517" s="207" t="s">
        <v>21</v>
      </c>
      <c r="E517" s="389">
        <v>3499878.78</v>
      </c>
      <c r="F517" s="179">
        <f>C517*E517</f>
        <v>41998545.359999999</v>
      </c>
      <c r="G517" s="181"/>
    </row>
    <row r="518" spans="1:11" x14ac:dyDescent="0.25">
      <c r="A518" s="176" t="s">
        <v>295</v>
      </c>
      <c r="B518" s="177" t="s">
        <v>296</v>
      </c>
      <c r="C518" s="206"/>
      <c r="D518" s="170"/>
      <c r="E518" s="389"/>
      <c r="F518" s="181"/>
      <c r="G518" s="181"/>
    </row>
    <row r="519" spans="1:11" ht="24.75" x14ac:dyDescent="0.25">
      <c r="A519" s="176"/>
      <c r="B519" s="177" t="s">
        <v>1748</v>
      </c>
      <c r="C519" s="178">
        <f>9*12</f>
        <v>108</v>
      </c>
      <c r="D519" s="207" t="s">
        <v>21</v>
      </c>
      <c r="E519" s="389">
        <v>3499878.78</v>
      </c>
      <c r="F519" s="179">
        <f t="shared" ref="F519:F523" si="17">C519*E519</f>
        <v>377986908.23999995</v>
      </c>
      <c r="G519" s="181"/>
    </row>
    <row r="520" spans="1:11" x14ac:dyDescent="0.25">
      <c r="A520" s="176"/>
      <c r="B520" s="177" t="s">
        <v>297</v>
      </c>
      <c r="C520" s="178">
        <v>12</v>
      </c>
      <c r="D520" s="207" t="s">
        <v>21</v>
      </c>
      <c r="E520" s="389">
        <v>3499878.78</v>
      </c>
      <c r="F520" s="179">
        <f t="shared" si="17"/>
        <v>41998545.359999999</v>
      </c>
      <c r="G520" s="181"/>
    </row>
    <row r="521" spans="1:11" x14ac:dyDescent="0.25">
      <c r="A521" s="176"/>
      <c r="B521" s="181" t="s">
        <v>299</v>
      </c>
      <c r="C521" s="178">
        <v>12</v>
      </c>
      <c r="D521" s="207" t="s">
        <v>21</v>
      </c>
      <c r="E521" s="389">
        <v>3499878.78</v>
      </c>
      <c r="F521" s="179">
        <f t="shared" si="17"/>
        <v>41998545.359999999</v>
      </c>
      <c r="G521" s="181"/>
    </row>
    <row r="522" spans="1:11" x14ac:dyDescent="0.25">
      <c r="A522" s="176"/>
      <c r="B522" s="181" t="s">
        <v>1749</v>
      </c>
      <c r="C522" s="178">
        <v>12</v>
      </c>
      <c r="D522" s="207" t="s">
        <v>21</v>
      </c>
      <c r="E522" s="389">
        <v>2500000</v>
      </c>
      <c r="F522" s="179">
        <f t="shared" si="17"/>
        <v>30000000</v>
      </c>
      <c r="G522" s="181"/>
    </row>
    <row r="523" spans="1:11" ht="25.15" customHeight="1" x14ac:dyDescent="0.25">
      <c r="A523" s="176"/>
      <c r="B523" s="177" t="s">
        <v>1750</v>
      </c>
      <c r="C523" s="178">
        <v>12</v>
      </c>
      <c r="D523" s="207" t="s">
        <v>21</v>
      </c>
      <c r="E523" s="389">
        <v>1900000</v>
      </c>
      <c r="F523" s="179">
        <f t="shared" si="17"/>
        <v>22800000</v>
      </c>
      <c r="G523" s="181"/>
    </row>
    <row r="524" spans="1:11" ht="24.75" x14ac:dyDescent="0.25">
      <c r="A524" s="295"/>
      <c r="B524" s="177" t="s">
        <v>1751</v>
      </c>
      <c r="C524" s="178">
        <v>12</v>
      </c>
      <c r="D524" s="207" t="s">
        <v>21</v>
      </c>
      <c r="E524" s="389">
        <v>1900000</v>
      </c>
      <c r="F524" s="179">
        <f>E524*C524</f>
        <v>22800000</v>
      </c>
      <c r="G524" s="181"/>
    </row>
    <row r="525" spans="1:11" x14ac:dyDescent="0.25">
      <c r="A525" s="295"/>
      <c r="B525" s="177"/>
      <c r="C525" s="178"/>
      <c r="D525" s="207"/>
      <c r="E525" s="389"/>
      <c r="F525" s="179"/>
      <c r="G525" s="181"/>
    </row>
    <row r="526" spans="1:11" x14ac:dyDescent="0.25">
      <c r="A526" s="257"/>
      <c r="B526" s="1945" t="s">
        <v>26</v>
      </c>
      <c r="C526" s="1945"/>
      <c r="D526" s="1945"/>
      <c r="E526" s="1946"/>
      <c r="F526" s="179">
        <f>SUM(F517:F525)</f>
        <v>579582544.31999993</v>
      </c>
      <c r="G526" s="181" t="s">
        <v>1506</v>
      </c>
      <c r="K526" s="27">
        <f>F526</f>
        <v>579582544.31999993</v>
      </c>
    </row>
    <row r="527" spans="1:11" x14ac:dyDescent="0.25">
      <c r="A527" s="1926" t="s">
        <v>516</v>
      </c>
      <c r="B527" s="1926"/>
      <c r="C527" s="152" t="s">
        <v>27</v>
      </c>
      <c r="D527" s="1926" t="s">
        <v>3654</v>
      </c>
      <c r="E527" s="1926"/>
      <c r="F527" s="1926"/>
      <c r="G527" s="152"/>
    </row>
    <row r="528" spans="1:11" x14ac:dyDescent="0.25">
      <c r="A528" s="1926" t="s">
        <v>28</v>
      </c>
      <c r="B528" s="1926"/>
      <c r="C528" s="152"/>
      <c r="D528" s="1927" t="s">
        <v>3382</v>
      </c>
      <c r="E528" s="1927"/>
      <c r="F528" s="1927"/>
      <c r="G528" s="152"/>
    </row>
    <row r="529" spans="1:7" x14ac:dyDescent="0.25">
      <c r="A529" s="150"/>
      <c r="B529" s="151"/>
      <c r="C529" s="152"/>
      <c r="D529" s="153"/>
      <c r="E529" s="1770"/>
      <c r="F529" s="182"/>
      <c r="G529" s="152"/>
    </row>
    <row r="530" spans="1:7" x14ac:dyDescent="0.25">
      <c r="A530" s="150"/>
      <c r="B530" s="151"/>
      <c r="C530" s="152"/>
      <c r="D530" s="153"/>
      <c r="E530" s="1770"/>
      <c r="F530" s="182"/>
      <c r="G530" s="152"/>
    </row>
    <row r="531" spans="1:7" x14ac:dyDescent="0.25">
      <c r="A531" s="1926"/>
      <c r="B531" s="1926"/>
      <c r="C531" s="152"/>
      <c r="D531" s="153"/>
      <c r="E531" s="1926"/>
      <c r="F531" s="1926"/>
      <c r="G531" s="152"/>
    </row>
    <row r="532" spans="1:7" x14ac:dyDescent="0.25">
      <c r="A532" s="1926" t="s">
        <v>29</v>
      </c>
      <c r="B532" s="1926"/>
      <c r="C532" s="152"/>
      <c r="D532" s="1926" t="s">
        <v>3383</v>
      </c>
      <c r="E532" s="1926"/>
      <c r="F532" s="1926"/>
      <c r="G532" s="152"/>
    </row>
    <row r="535" spans="1:7" x14ac:dyDescent="0.25">
      <c r="A535" s="1956" t="s">
        <v>0</v>
      </c>
      <c r="B535" s="1956"/>
      <c r="C535" s="1956"/>
      <c r="D535" s="1956"/>
      <c r="E535" s="1956"/>
      <c r="F535" s="1956"/>
      <c r="G535" s="258"/>
    </row>
    <row r="536" spans="1:7" x14ac:dyDescent="0.25">
      <c r="A536" s="1956" t="s">
        <v>1</v>
      </c>
      <c r="B536" s="1956"/>
      <c r="C536" s="1956"/>
      <c r="D536" s="1956"/>
      <c r="E536" s="1956"/>
      <c r="F536" s="1956"/>
      <c r="G536" s="258"/>
    </row>
    <row r="537" spans="1:7" x14ac:dyDescent="0.25">
      <c r="A537" s="1956" t="s">
        <v>2398</v>
      </c>
      <c r="B537" s="1956"/>
      <c r="C537" s="1956"/>
      <c r="D537" s="1956"/>
      <c r="E537" s="1956"/>
      <c r="F537" s="1956"/>
      <c r="G537" s="258"/>
    </row>
    <row r="538" spans="1:7" x14ac:dyDescent="0.25">
      <c r="A538" s="259"/>
      <c r="B538" s="259"/>
      <c r="C538" s="259"/>
      <c r="D538" s="259"/>
      <c r="E538" s="1798"/>
      <c r="F538" s="259"/>
      <c r="G538" s="258"/>
    </row>
    <row r="539" spans="1:7" ht="30" x14ac:dyDescent="0.25">
      <c r="A539" s="263" t="s">
        <v>236</v>
      </c>
      <c r="B539" s="268" t="s">
        <v>3</v>
      </c>
      <c r="C539" s="260"/>
      <c r="D539" s="261"/>
      <c r="E539" s="1788"/>
      <c r="F539" s="183"/>
      <c r="G539" s="260"/>
    </row>
    <row r="540" spans="1:7" ht="45" x14ac:dyDescent="0.25">
      <c r="A540" s="266" t="s">
        <v>237</v>
      </c>
      <c r="B540" s="268" t="s">
        <v>1344</v>
      </c>
      <c r="C540" s="260"/>
      <c r="D540" s="261"/>
      <c r="E540" s="1789" t="s">
        <v>6</v>
      </c>
      <c r="F540" s="183"/>
      <c r="G540" s="260"/>
    </row>
    <row r="541" spans="1:7" ht="30" x14ac:dyDescent="0.25">
      <c r="A541" s="266" t="s">
        <v>7</v>
      </c>
      <c r="B541" s="268" t="s">
        <v>1173</v>
      </c>
      <c r="C541" s="260"/>
      <c r="D541" s="261"/>
      <c r="E541" s="1790" t="s">
        <v>9</v>
      </c>
      <c r="F541" s="267"/>
      <c r="G541" s="260"/>
    </row>
    <row r="542" spans="1:7" ht="30" x14ac:dyDescent="0.25">
      <c r="A542" s="296" t="s">
        <v>37</v>
      </c>
      <c r="B542" s="268"/>
      <c r="C542" s="260"/>
      <c r="D542" s="261"/>
      <c r="E542" s="1788"/>
      <c r="F542" s="183"/>
      <c r="G542" s="260"/>
    </row>
    <row r="543" spans="1:7" x14ac:dyDescent="0.25">
      <c r="A543" s="266" t="s">
        <v>10</v>
      </c>
      <c r="B543" s="268"/>
      <c r="C543" s="260"/>
      <c r="D543" s="261"/>
      <c r="E543" s="1788"/>
      <c r="F543" s="183"/>
      <c r="G543" s="260"/>
    </row>
    <row r="544" spans="1:7" x14ac:dyDescent="0.25">
      <c r="A544" s="266"/>
      <c r="B544" s="268"/>
      <c r="C544" s="260"/>
      <c r="D544" s="261"/>
      <c r="E544" s="1788"/>
      <c r="F544" s="183"/>
      <c r="G544" s="260"/>
    </row>
    <row r="545" spans="1:7" ht="30" x14ac:dyDescent="0.25">
      <c r="A545" s="281" t="s">
        <v>30</v>
      </c>
      <c r="B545" s="269" t="s">
        <v>31</v>
      </c>
      <c r="C545" s="1965" t="s">
        <v>12</v>
      </c>
      <c r="D545" s="1966"/>
      <c r="E545" s="1799" t="s">
        <v>32</v>
      </c>
      <c r="F545" s="282" t="s">
        <v>33</v>
      </c>
      <c r="G545" s="281" t="s">
        <v>34</v>
      </c>
    </row>
    <row r="546" spans="1:7" x14ac:dyDescent="0.25">
      <c r="A546" s="297">
        <v>1</v>
      </c>
      <c r="B546" s="297">
        <v>2</v>
      </c>
      <c r="C546" s="1967">
        <v>3</v>
      </c>
      <c r="D546" s="1967"/>
      <c r="E546" s="1800">
        <v>4</v>
      </c>
      <c r="F546" s="298">
        <v>5</v>
      </c>
      <c r="G546" s="298">
        <v>6</v>
      </c>
    </row>
    <row r="547" spans="1:7" x14ac:dyDescent="0.25">
      <c r="A547" s="275" t="s">
        <v>1347</v>
      </c>
      <c r="B547" s="276" t="s">
        <v>82</v>
      </c>
      <c r="C547" s="279"/>
      <c r="D547" s="280"/>
      <c r="E547" s="1795"/>
      <c r="F547" s="282"/>
      <c r="G547" s="299"/>
    </row>
    <row r="548" spans="1:7" x14ac:dyDescent="0.25">
      <c r="A548" s="275" t="s">
        <v>1348</v>
      </c>
      <c r="B548" s="276" t="s">
        <v>84</v>
      </c>
      <c r="C548" s="279"/>
      <c r="D548" s="280"/>
      <c r="E548" s="1795"/>
      <c r="F548" s="282"/>
      <c r="G548" s="299"/>
    </row>
    <row r="549" spans="1:7" ht="30" x14ac:dyDescent="0.25">
      <c r="A549" s="275" t="s">
        <v>1349</v>
      </c>
      <c r="B549" s="290" t="s">
        <v>260</v>
      </c>
      <c r="C549" s="291"/>
      <c r="D549" s="300"/>
      <c r="E549" s="1797"/>
      <c r="F549" s="292"/>
      <c r="G549" s="299"/>
    </row>
    <row r="550" spans="1:7" x14ac:dyDescent="0.25">
      <c r="A550" s="287"/>
      <c r="B550" s="287" t="s">
        <v>1752</v>
      </c>
      <c r="C550" s="301">
        <v>50</v>
      </c>
      <c r="D550" s="300" t="s">
        <v>93</v>
      </c>
      <c r="E550" s="1797">
        <v>5000</v>
      </c>
      <c r="F550" s="292">
        <f>C550*E550</f>
        <v>250000</v>
      </c>
      <c r="G550" s="299"/>
    </row>
    <row r="551" spans="1:7" x14ac:dyDescent="0.25">
      <c r="A551" s="287"/>
      <c r="B551" s="302" t="s">
        <v>1460</v>
      </c>
      <c r="C551" s="301">
        <v>35</v>
      </c>
      <c r="D551" s="300" t="s">
        <v>93</v>
      </c>
      <c r="E551" s="1797">
        <v>7000</v>
      </c>
      <c r="F551" s="292">
        <f>C551*E551</f>
        <v>245000</v>
      </c>
      <c r="G551" s="299"/>
    </row>
    <row r="552" spans="1:7" ht="42.75" x14ac:dyDescent="0.25">
      <c r="A552" s="275" t="s">
        <v>1350</v>
      </c>
      <c r="B552" s="303" t="s">
        <v>283</v>
      </c>
      <c r="C552" s="279"/>
      <c r="D552" s="284"/>
      <c r="E552" s="1796"/>
      <c r="F552" s="286"/>
      <c r="G552" s="283"/>
    </row>
    <row r="553" spans="1:7" x14ac:dyDescent="0.25">
      <c r="A553" s="275"/>
      <c r="B553" s="276" t="s">
        <v>1174</v>
      </c>
      <c r="C553" s="279">
        <f>35*4</f>
        <v>140</v>
      </c>
      <c r="D553" s="284" t="s">
        <v>269</v>
      </c>
      <c r="E553" s="1796">
        <v>20000</v>
      </c>
      <c r="F553" s="285">
        <f>E553*C553</f>
        <v>2800000</v>
      </c>
      <c r="G553" s="287"/>
    </row>
    <row r="554" spans="1:7" ht="30" x14ac:dyDescent="0.25">
      <c r="A554" s="275"/>
      <c r="B554" s="276" t="s">
        <v>1753</v>
      </c>
      <c r="C554" s="279">
        <v>220</v>
      </c>
      <c r="D554" s="284" t="s">
        <v>269</v>
      </c>
      <c r="E554" s="1796">
        <v>20000</v>
      </c>
      <c r="F554" s="285">
        <f>E554*C554</f>
        <v>4400000</v>
      </c>
      <c r="G554" s="287"/>
    </row>
    <row r="555" spans="1:7" ht="30" x14ac:dyDescent="0.25">
      <c r="A555" s="304"/>
      <c r="B555" s="305" t="s">
        <v>1754</v>
      </c>
      <c r="C555" s="279">
        <f>35*2</f>
        <v>70</v>
      </c>
      <c r="D555" s="284" t="s">
        <v>269</v>
      </c>
      <c r="E555" s="1796">
        <v>20000</v>
      </c>
      <c r="F555" s="285">
        <f>E555*C555</f>
        <v>1400000</v>
      </c>
      <c r="G555" s="281"/>
    </row>
    <row r="556" spans="1:7" ht="29.25" x14ac:dyDescent="0.25">
      <c r="A556" s="275" t="s">
        <v>1351</v>
      </c>
      <c r="B556" s="306" t="s">
        <v>949</v>
      </c>
      <c r="C556" s="291"/>
      <c r="D556" s="280"/>
      <c r="E556" s="1801"/>
      <c r="F556" s="287"/>
      <c r="G556" s="287"/>
    </row>
    <row r="557" spans="1:7" x14ac:dyDescent="0.25">
      <c r="A557" s="304"/>
      <c r="B557" s="307" t="s">
        <v>1755</v>
      </c>
      <c r="C557" s="279">
        <v>4</v>
      </c>
      <c r="D557" s="280" t="s">
        <v>106</v>
      </c>
      <c r="E557" s="308">
        <v>90000</v>
      </c>
      <c r="F557" s="309">
        <f>C557*E557</f>
        <v>360000</v>
      </c>
      <c r="G557" s="287"/>
    </row>
    <row r="558" spans="1:7" x14ac:dyDescent="0.25">
      <c r="A558" s="275" t="s">
        <v>1352</v>
      </c>
      <c r="B558" s="310" t="s">
        <v>294</v>
      </c>
      <c r="C558" s="301"/>
      <c r="D558" s="300"/>
      <c r="E558" s="1802"/>
      <c r="F558" s="294"/>
      <c r="G558" s="287"/>
    </row>
    <row r="559" spans="1:7" ht="29.25" x14ac:dyDescent="0.25">
      <c r="A559" s="275" t="s">
        <v>1353</v>
      </c>
      <c r="B559" s="311" t="s">
        <v>968</v>
      </c>
      <c r="C559" s="301"/>
      <c r="D559" s="300"/>
      <c r="E559" s="1802"/>
      <c r="F559" s="294"/>
      <c r="G559" s="287"/>
    </row>
    <row r="560" spans="1:7" x14ac:dyDescent="0.25">
      <c r="A560" s="275"/>
      <c r="B560" s="287" t="s">
        <v>1756</v>
      </c>
      <c r="C560" s="301">
        <v>2</v>
      </c>
      <c r="D560" s="280" t="s">
        <v>269</v>
      </c>
      <c r="E560" s="308">
        <v>400000</v>
      </c>
      <c r="F560" s="309">
        <f>C560*E560</f>
        <v>800000</v>
      </c>
      <c r="G560" s="287"/>
    </row>
    <row r="561" spans="1:20" x14ac:dyDescent="0.25">
      <c r="A561" s="275"/>
      <c r="B561" s="287" t="s">
        <v>1757</v>
      </c>
      <c r="C561" s="301">
        <v>2</v>
      </c>
      <c r="D561" s="280" t="s">
        <v>269</v>
      </c>
      <c r="E561" s="308">
        <v>300000</v>
      </c>
      <c r="F561" s="309">
        <f>E561*C561</f>
        <v>600000</v>
      </c>
      <c r="G561" s="287"/>
    </row>
    <row r="562" spans="1:20" x14ac:dyDescent="0.25">
      <c r="A562" s="275"/>
      <c r="B562" s="287" t="s">
        <v>1758</v>
      </c>
      <c r="C562" s="301">
        <v>6</v>
      </c>
      <c r="D562" s="280" t="s">
        <v>269</v>
      </c>
      <c r="E562" s="308">
        <v>200000</v>
      </c>
      <c r="F562" s="309">
        <f>C562*E562</f>
        <v>1200000</v>
      </c>
      <c r="G562" s="287"/>
    </row>
    <row r="563" spans="1:20" x14ac:dyDescent="0.25">
      <c r="A563" s="275" t="s">
        <v>1354</v>
      </c>
      <c r="B563" s="312" t="s">
        <v>294</v>
      </c>
      <c r="C563" s="301"/>
      <c r="D563" s="300"/>
      <c r="E563" s="1802"/>
      <c r="F563" s="294"/>
      <c r="G563" s="287"/>
    </row>
    <row r="564" spans="1:20" x14ac:dyDescent="0.25">
      <c r="A564" s="313"/>
      <c r="B564" s="314" t="s">
        <v>1759</v>
      </c>
      <c r="C564" s="301">
        <v>6</v>
      </c>
      <c r="D564" s="300" t="s">
        <v>1760</v>
      </c>
      <c r="E564" s="1802">
        <v>900000</v>
      </c>
      <c r="F564" s="294">
        <f>E564*C564</f>
        <v>5400000</v>
      </c>
      <c r="G564" s="287"/>
    </row>
    <row r="565" spans="1:20" x14ac:dyDescent="0.25">
      <c r="A565" s="313"/>
      <c r="B565" s="314"/>
      <c r="C565" s="301"/>
      <c r="D565" s="300"/>
      <c r="E565" s="1802"/>
      <c r="F565" s="294"/>
      <c r="G565" s="287"/>
    </row>
    <row r="566" spans="1:20" x14ac:dyDescent="0.25">
      <c r="A566" s="315"/>
      <c r="B566" s="290"/>
      <c r="C566" s="301"/>
      <c r="D566" s="300"/>
      <c r="E566" s="1802"/>
      <c r="F566" s="294"/>
      <c r="G566" s="287"/>
    </row>
    <row r="567" spans="1:20" ht="24.75" x14ac:dyDescent="0.25">
      <c r="A567" s="293"/>
      <c r="B567" s="1954" t="s">
        <v>26</v>
      </c>
      <c r="C567" s="1954"/>
      <c r="D567" s="1954"/>
      <c r="E567" s="1955"/>
      <c r="F567" s="294">
        <f>SUM(F550:F566)</f>
        <v>17455000</v>
      </c>
      <c r="G567" s="177" t="s">
        <v>1775</v>
      </c>
      <c r="T567" s="27">
        <f>F567</f>
        <v>17455000</v>
      </c>
    </row>
    <row r="568" spans="1:20" x14ac:dyDescent="0.25">
      <c r="A568" s="1926" t="s">
        <v>516</v>
      </c>
      <c r="B568" s="1926"/>
      <c r="C568" s="152" t="s">
        <v>27</v>
      </c>
      <c r="D568" s="1926" t="s">
        <v>3654</v>
      </c>
      <c r="E568" s="1926"/>
      <c r="F568" s="1926"/>
      <c r="G568" s="152"/>
    </row>
    <row r="569" spans="1:20" x14ac:dyDescent="0.25">
      <c r="A569" s="1926" t="s">
        <v>28</v>
      </c>
      <c r="B569" s="1926"/>
      <c r="C569" s="152"/>
      <c r="D569" s="1927" t="s">
        <v>3382</v>
      </c>
      <c r="E569" s="1927"/>
      <c r="F569" s="1927"/>
      <c r="G569" s="152"/>
    </row>
    <row r="570" spans="1:20" x14ac:dyDescent="0.25">
      <c r="A570" s="150"/>
      <c r="B570" s="151"/>
      <c r="C570" s="152"/>
      <c r="D570" s="153"/>
      <c r="E570" s="1770"/>
      <c r="F570" s="182"/>
      <c r="G570" s="152"/>
    </row>
    <row r="571" spans="1:20" x14ac:dyDescent="0.25">
      <c r="A571" s="150"/>
      <c r="B571" s="151"/>
      <c r="C571" s="152"/>
      <c r="D571" s="153"/>
      <c r="E571" s="1770"/>
      <c r="F571" s="182"/>
      <c r="G571" s="152"/>
    </row>
    <row r="572" spans="1:20" x14ac:dyDescent="0.25">
      <c r="A572" s="1926"/>
      <c r="B572" s="1926"/>
      <c r="C572" s="152"/>
      <c r="D572" s="153"/>
      <c r="E572" s="1926"/>
      <c r="F572" s="1926"/>
      <c r="G572" s="152"/>
    </row>
    <row r="573" spans="1:20" x14ac:dyDescent="0.25">
      <c r="A573" s="1926" t="s">
        <v>29</v>
      </c>
      <c r="B573" s="1926"/>
      <c r="C573" s="152"/>
      <c r="D573" s="1926" t="s">
        <v>3383</v>
      </c>
      <c r="E573" s="1926"/>
      <c r="F573" s="1926"/>
      <c r="G573" s="152"/>
    </row>
    <row r="577" spans="1:7" x14ac:dyDescent="0.25">
      <c r="A577" s="1947" t="s">
        <v>0</v>
      </c>
      <c r="B577" s="1947"/>
      <c r="C577" s="1947"/>
      <c r="D577" s="1947"/>
      <c r="E577" s="1947"/>
      <c r="F577" s="1947"/>
      <c r="G577" s="149"/>
    </row>
    <row r="578" spans="1:7" x14ac:dyDescent="0.25">
      <c r="A578" s="1947" t="s">
        <v>1</v>
      </c>
      <c r="B578" s="1947"/>
      <c r="C578" s="1947"/>
      <c r="D578" s="1947"/>
      <c r="E578" s="1947"/>
      <c r="F578" s="1947"/>
      <c r="G578" s="149"/>
    </row>
    <row r="579" spans="1:7" x14ac:dyDescent="0.25">
      <c r="A579" s="1947" t="s">
        <v>2398</v>
      </c>
      <c r="B579" s="1947"/>
      <c r="C579" s="1947"/>
      <c r="D579" s="1947"/>
      <c r="E579" s="1947"/>
      <c r="F579" s="1947"/>
      <c r="G579" s="149"/>
    </row>
    <row r="580" spans="1:7" x14ac:dyDescent="0.25">
      <c r="A580" s="148"/>
      <c r="B580" s="148"/>
      <c r="C580" s="148"/>
      <c r="D580" s="148"/>
      <c r="E580" s="1764"/>
      <c r="F580" s="148"/>
      <c r="G580" s="149"/>
    </row>
    <row r="581" spans="1:7" x14ac:dyDescent="0.25">
      <c r="A581" s="150" t="s">
        <v>236</v>
      </c>
      <c r="B581" s="151" t="s">
        <v>3</v>
      </c>
      <c r="C581" s="152"/>
      <c r="D581" s="153"/>
      <c r="E581" s="1765"/>
      <c r="F581" s="155"/>
      <c r="G581" s="152"/>
    </row>
    <row r="582" spans="1:7" ht="36.75" x14ac:dyDescent="0.25">
      <c r="A582" s="156" t="s">
        <v>237</v>
      </c>
      <c r="B582" s="151" t="s">
        <v>5</v>
      </c>
      <c r="C582" s="152"/>
      <c r="D582" s="153"/>
      <c r="E582" s="1772" t="s">
        <v>6</v>
      </c>
      <c r="F582" s="155"/>
      <c r="G582" s="152"/>
    </row>
    <row r="583" spans="1:7" ht="24.75" x14ac:dyDescent="0.25">
      <c r="A583" s="156" t="s">
        <v>7</v>
      </c>
      <c r="B583" s="151" t="s">
        <v>1328</v>
      </c>
      <c r="C583" s="152"/>
      <c r="D583" s="153"/>
      <c r="E583" s="1766" t="s">
        <v>9</v>
      </c>
      <c r="F583" s="160"/>
      <c r="G583" s="152"/>
    </row>
    <row r="584" spans="1:7" x14ac:dyDescent="0.25">
      <c r="A584" s="185" t="s">
        <v>37</v>
      </c>
      <c r="B584" s="151"/>
      <c r="C584" s="152"/>
      <c r="D584" s="153"/>
      <c r="E584" s="1765"/>
      <c r="F584" s="155"/>
      <c r="G584" s="152"/>
    </row>
    <row r="585" spans="1:7" x14ac:dyDescent="0.25">
      <c r="A585" s="156" t="s">
        <v>10</v>
      </c>
      <c r="B585" s="151"/>
      <c r="C585" s="152"/>
      <c r="D585" s="153"/>
      <c r="E585" s="1765"/>
      <c r="F585" s="155"/>
      <c r="G585" s="152"/>
    </row>
    <row r="586" spans="1:7" x14ac:dyDescent="0.25">
      <c r="A586" s="156"/>
      <c r="B586" s="151"/>
      <c r="C586" s="152"/>
      <c r="D586" s="153"/>
      <c r="E586" s="1765"/>
      <c r="F586" s="155"/>
      <c r="G586" s="152"/>
    </row>
    <row r="587" spans="1:7" x14ac:dyDescent="0.25">
      <c r="A587" s="161" t="s">
        <v>30</v>
      </c>
      <c r="B587" s="162" t="s">
        <v>31</v>
      </c>
      <c r="C587" s="1931" t="s">
        <v>12</v>
      </c>
      <c r="D587" s="1932"/>
      <c r="E587" s="1767" t="s">
        <v>32</v>
      </c>
      <c r="F587" s="163" t="s">
        <v>33</v>
      </c>
      <c r="G587" s="161" t="s">
        <v>34</v>
      </c>
    </row>
    <row r="588" spans="1:7" x14ac:dyDescent="0.25">
      <c r="A588" s="164">
        <v>1</v>
      </c>
      <c r="B588" s="164">
        <v>2</v>
      </c>
      <c r="C588" s="1943">
        <v>3</v>
      </c>
      <c r="D588" s="1943"/>
      <c r="E588" s="1768">
        <v>4</v>
      </c>
      <c r="F588" s="166">
        <v>5</v>
      </c>
      <c r="G588" s="166">
        <v>6</v>
      </c>
    </row>
    <row r="589" spans="1:7" x14ac:dyDescent="0.25">
      <c r="A589" s="167" t="s">
        <v>2304</v>
      </c>
      <c r="B589" s="316" t="s">
        <v>277</v>
      </c>
      <c r="C589" s="169"/>
      <c r="D589" s="245"/>
      <c r="E589" s="547"/>
      <c r="F589" s="202"/>
      <c r="G589" s="171"/>
    </row>
    <row r="590" spans="1:7" x14ac:dyDescent="0.25">
      <c r="A590" s="167" t="s">
        <v>2305</v>
      </c>
      <c r="B590" s="316" t="s">
        <v>2306</v>
      </c>
      <c r="C590" s="169"/>
      <c r="D590" s="245"/>
      <c r="E590" s="547"/>
      <c r="F590" s="202"/>
      <c r="G590" s="171"/>
    </row>
    <row r="591" spans="1:7" x14ac:dyDescent="0.25">
      <c r="A591" s="167" t="s">
        <v>2307</v>
      </c>
      <c r="B591" s="317" t="s">
        <v>2308</v>
      </c>
      <c r="C591" s="169"/>
      <c r="D591" s="170"/>
      <c r="E591" s="547"/>
      <c r="F591" s="202"/>
      <c r="G591" s="161"/>
    </row>
    <row r="592" spans="1:7" ht="24" x14ac:dyDescent="0.25">
      <c r="A592" s="167"/>
      <c r="B592" s="201" t="s">
        <v>1332</v>
      </c>
      <c r="C592" s="169">
        <v>12</v>
      </c>
      <c r="D592" s="170" t="s">
        <v>21</v>
      </c>
      <c r="E592" s="547">
        <v>188000</v>
      </c>
      <c r="F592" s="202">
        <f>E592*C592</f>
        <v>2256000</v>
      </c>
      <c r="G592" s="161"/>
    </row>
    <row r="593" spans="1:11" ht="24" x14ac:dyDescent="0.25">
      <c r="A593" s="167"/>
      <c r="B593" s="201" t="s">
        <v>1331</v>
      </c>
      <c r="C593" s="169">
        <v>12</v>
      </c>
      <c r="D593" s="170" t="s">
        <v>21</v>
      </c>
      <c r="E593" s="547">
        <v>172000</v>
      </c>
      <c r="F593" s="202">
        <f t="shared" ref="F593:F600" si="18">E593*C593</f>
        <v>2064000</v>
      </c>
      <c r="G593" s="161"/>
    </row>
    <row r="594" spans="1:11" ht="24" x14ac:dyDescent="0.25">
      <c r="A594" s="167"/>
      <c r="B594" s="201" t="s">
        <v>1330</v>
      </c>
      <c r="C594" s="169">
        <v>12</v>
      </c>
      <c r="D594" s="170" t="s">
        <v>21</v>
      </c>
      <c r="E594" s="547">
        <v>156000</v>
      </c>
      <c r="F594" s="202">
        <f t="shared" si="18"/>
        <v>1872000</v>
      </c>
      <c r="G594" s="161"/>
    </row>
    <row r="595" spans="1:11" ht="24.75" x14ac:dyDescent="0.25">
      <c r="A595" s="193"/>
      <c r="B595" s="177" t="s">
        <v>1329</v>
      </c>
      <c r="C595" s="178">
        <f>6*12</f>
        <v>72</v>
      </c>
      <c r="D595" s="170" t="s">
        <v>21</v>
      </c>
      <c r="E595" s="389">
        <v>139995.15</v>
      </c>
      <c r="F595" s="202">
        <f t="shared" si="18"/>
        <v>10079650.799999999</v>
      </c>
      <c r="G595" s="181"/>
    </row>
    <row r="596" spans="1:11" ht="24.75" x14ac:dyDescent="0.25">
      <c r="A596" s="167" t="s">
        <v>2309</v>
      </c>
      <c r="B596" s="318" t="s">
        <v>2310</v>
      </c>
      <c r="C596" s="206"/>
      <c r="D596" s="170"/>
      <c r="E596" s="1776"/>
      <c r="F596" s="202"/>
      <c r="G596" s="181"/>
    </row>
    <row r="597" spans="1:11" ht="24" x14ac:dyDescent="0.25">
      <c r="A597" s="167"/>
      <c r="B597" s="201" t="s">
        <v>1333</v>
      </c>
      <c r="C597" s="169">
        <v>12</v>
      </c>
      <c r="D597" s="170" t="s">
        <v>21</v>
      </c>
      <c r="E597" s="388">
        <v>293280</v>
      </c>
      <c r="F597" s="202">
        <f t="shared" si="18"/>
        <v>3519360</v>
      </c>
      <c r="G597" s="181"/>
    </row>
    <row r="598" spans="1:11" ht="24" x14ac:dyDescent="0.25">
      <c r="A598" s="167"/>
      <c r="B598" s="201" t="s">
        <v>1334</v>
      </c>
      <c r="C598" s="169">
        <v>12</v>
      </c>
      <c r="D598" s="170" t="s">
        <v>21</v>
      </c>
      <c r="E598" s="388">
        <v>268320</v>
      </c>
      <c r="F598" s="202">
        <f t="shared" si="18"/>
        <v>3219840</v>
      </c>
      <c r="G598" s="181"/>
    </row>
    <row r="599" spans="1:11" ht="24" x14ac:dyDescent="0.25">
      <c r="A599" s="167"/>
      <c r="B599" s="201" t="s">
        <v>1335</v>
      </c>
      <c r="C599" s="169">
        <v>12</v>
      </c>
      <c r="D599" s="170" t="s">
        <v>21</v>
      </c>
      <c r="E599" s="388">
        <v>243360</v>
      </c>
      <c r="F599" s="202">
        <f t="shared" si="18"/>
        <v>2920320</v>
      </c>
      <c r="G599" s="181"/>
    </row>
    <row r="600" spans="1:11" ht="24.75" x14ac:dyDescent="0.25">
      <c r="A600" s="167"/>
      <c r="B600" s="177" t="s">
        <v>1336</v>
      </c>
      <c r="C600" s="178">
        <f>6*12</f>
        <v>72</v>
      </c>
      <c r="D600" s="170" t="s">
        <v>21</v>
      </c>
      <c r="E600" s="388">
        <v>205920</v>
      </c>
      <c r="F600" s="202">
        <f t="shared" si="18"/>
        <v>14826240</v>
      </c>
      <c r="G600" s="181"/>
    </row>
    <row r="601" spans="1:11" x14ac:dyDescent="0.25">
      <c r="A601" s="257"/>
      <c r="B601" s="1945" t="s">
        <v>26</v>
      </c>
      <c r="C601" s="1945"/>
      <c r="D601" s="1945"/>
      <c r="E601" s="1946"/>
      <c r="F601" s="179">
        <f>SUM(F592:F600)</f>
        <v>40757410.799999997</v>
      </c>
      <c r="G601" s="181" t="s">
        <v>1506</v>
      </c>
      <c r="K601" s="27">
        <f>F601</f>
        <v>40757410.799999997</v>
      </c>
    </row>
    <row r="602" spans="1:11" x14ac:dyDescent="0.25">
      <c r="A602" s="1926" t="s">
        <v>516</v>
      </c>
      <c r="B602" s="1926"/>
      <c r="C602" s="152" t="s">
        <v>27</v>
      </c>
      <c r="D602" s="1926" t="s">
        <v>3654</v>
      </c>
      <c r="E602" s="1926"/>
      <c r="F602" s="1926"/>
      <c r="G602" s="152"/>
    </row>
    <row r="603" spans="1:11" x14ac:dyDescent="0.25">
      <c r="A603" s="1926" t="s">
        <v>28</v>
      </c>
      <c r="B603" s="1926"/>
      <c r="C603" s="152"/>
      <c r="D603" s="1927" t="s">
        <v>3382</v>
      </c>
      <c r="E603" s="1927"/>
      <c r="F603" s="1927"/>
      <c r="G603" s="152"/>
    </row>
    <row r="604" spans="1:11" x14ac:dyDescent="0.25">
      <c r="A604" s="150"/>
      <c r="B604" s="151"/>
      <c r="C604" s="152"/>
      <c r="D604" s="153"/>
      <c r="E604" s="1770"/>
      <c r="F604" s="182"/>
      <c r="G604" s="152"/>
    </row>
    <row r="605" spans="1:11" x14ac:dyDescent="0.25">
      <c r="A605" s="150"/>
      <c r="B605" s="151"/>
      <c r="C605" s="152"/>
      <c r="D605" s="153"/>
      <c r="E605" s="1770"/>
      <c r="F605" s="182"/>
      <c r="G605" s="152"/>
    </row>
    <row r="606" spans="1:11" x14ac:dyDescent="0.25">
      <c r="A606" s="1926"/>
      <c r="B606" s="1926"/>
      <c r="C606" s="152"/>
      <c r="D606" s="153"/>
      <c r="E606" s="1926"/>
      <c r="F606" s="1926"/>
      <c r="G606" s="152"/>
    </row>
    <row r="607" spans="1:11" x14ac:dyDescent="0.25">
      <c r="A607" s="1926" t="s">
        <v>29</v>
      </c>
      <c r="B607" s="1926"/>
      <c r="C607" s="152"/>
      <c r="D607" s="1926" t="s">
        <v>3383</v>
      </c>
      <c r="E607" s="1926"/>
      <c r="F607" s="1926"/>
      <c r="G607" s="152"/>
    </row>
    <row r="611" spans="1:7" x14ac:dyDescent="0.25">
      <c r="A611" s="1947" t="s">
        <v>0</v>
      </c>
      <c r="B611" s="1947"/>
      <c r="C611" s="1947"/>
      <c r="D611" s="1947"/>
      <c r="E611" s="1947"/>
      <c r="F611" s="1947"/>
      <c r="G611" s="149"/>
    </row>
    <row r="612" spans="1:7" x14ac:dyDescent="0.25">
      <c r="A612" s="1947" t="s">
        <v>1</v>
      </c>
      <c r="B612" s="1947"/>
      <c r="C612" s="1947"/>
      <c r="D612" s="1947"/>
      <c r="E612" s="1947"/>
      <c r="F612" s="1947"/>
      <c r="G612" s="149"/>
    </row>
    <row r="613" spans="1:7" x14ac:dyDescent="0.25">
      <c r="A613" s="1947" t="s">
        <v>2398</v>
      </c>
      <c r="B613" s="1947"/>
      <c r="C613" s="1947"/>
      <c r="D613" s="1947"/>
      <c r="E613" s="1947"/>
      <c r="F613" s="1947"/>
      <c r="G613" s="149"/>
    </row>
    <row r="614" spans="1:7" x14ac:dyDescent="0.25">
      <c r="A614" s="148"/>
      <c r="B614" s="148"/>
      <c r="C614" s="148"/>
      <c r="D614" s="148"/>
      <c r="E614" s="1764"/>
      <c r="F614" s="148"/>
      <c r="G614" s="149"/>
    </row>
    <row r="615" spans="1:7" x14ac:dyDescent="0.25">
      <c r="A615" s="150" t="s">
        <v>236</v>
      </c>
      <c r="B615" s="151" t="s">
        <v>3</v>
      </c>
      <c r="C615" s="152"/>
      <c r="D615" s="153"/>
      <c r="E615" s="1765"/>
      <c r="F615" s="155"/>
      <c r="G615" s="152"/>
    </row>
    <row r="616" spans="1:7" ht="36.75" x14ac:dyDescent="0.25">
      <c r="A616" s="156" t="s">
        <v>237</v>
      </c>
      <c r="B616" s="151" t="s">
        <v>5</v>
      </c>
      <c r="C616" s="152"/>
      <c r="D616" s="153"/>
      <c r="E616" s="1772" t="s">
        <v>6</v>
      </c>
      <c r="F616" s="155"/>
      <c r="G616" s="152"/>
    </row>
    <row r="617" spans="1:7" ht="24.75" x14ac:dyDescent="0.25">
      <c r="A617" s="156" t="s">
        <v>7</v>
      </c>
      <c r="B617" s="151" t="s">
        <v>1337</v>
      </c>
      <c r="C617" s="152"/>
      <c r="D617" s="153"/>
      <c r="E617" s="1766" t="s">
        <v>9</v>
      </c>
      <c r="F617" s="160"/>
      <c r="G617" s="152"/>
    </row>
    <row r="618" spans="1:7" x14ac:dyDescent="0.25">
      <c r="A618" s="185" t="s">
        <v>37</v>
      </c>
      <c r="B618" s="151"/>
      <c r="C618" s="152"/>
      <c r="D618" s="153"/>
      <c r="E618" s="1765"/>
      <c r="F618" s="155"/>
      <c r="G618" s="152"/>
    </row>
    <row r="619" spans="1:7" x14ac:dyDescent="0.25">
      <c r="A619" s="156" t="s">
        <v>10</v>
      </c>
      <c r="B619" s="151"/>
      <c r="C619" s="152"/>
      <c r="D619" s="153"/>
      <c r="E619" s="1765"/>
      <c r="F619" s="155"/>
      <c r="G619" s="152"/>
    </row>
    <row r="620" spans="1:7" x14ac:dyDescent="0.25">
      <c r="A620" s="156"/>
      <c r="B620" s="151"/>
      <c r="C620" s="152"/>
      <c r="D620" s="153"/>
      <c r="E620" s="1765"/>
      <c r="F620" s="155"/>
      <c r="G620" s="152"/>
    </row>
    <row r="621" spans="1:7" x14ac:dyDescent="0.25">
      <c r="A621" s="161" t="s">
        <v>30</v>
      </c>
      <c r="B621" s="162" t="s">
        <v>31</v>
      </c>
      <c r="C621" s="1931" t="s">
        <v>12</v>
      </c>
      <c r="D621" s="1932"/>
      <c r="E621" s="1767" t="s">
        <v>32</v>
      </c>
      <c r="F621" s="163" t="s">
        <v>33</v>
      </c>
      <c r="G621" s="161" t="s">
        <v>34</v>
      </c>
    </row>
    <row r="622" spans="1:7" x14ac:dyDescent="0.25">
      <c r="A622" s="164">
        <v>1</v>
      </c>
      <c r="B622" s="164">
        <v>2</v>
      </c>
      <c r="C622" s="1943">
        <v>3</v>
      </c>
      <c r="D622" s="1943"/>
      <c r="E622" s="1768">
        <v>4</v>
      </c>
      <c r="F622" s="166">
        <v>5</v>
      </c>
      <c r="G622" s="166">
        <v>6</v>
      </c>
    </row>
    <row r="623" spans="1:7" x14ac:dyDescent="0.25">
      <c r="A623" s="167" t="s">
        <v>2304</v>
      </c>
      <c r="B623" s="316" t="s">
        <v>277</v>
      </c>
      <c r="C623" s="169"/>
      <c r="D623" s="245"/>
      <c r="E623" s="547"/>
      <c r="F623" s="202"/>
      <c r="G623" s="171"/>
    </row>
    <row r="624" spans="1:7" x14ac:dyDescent="0.25">
      <c r="A624" s="167" t="s">
        <v>2305</v>
      </c>
      <c r="B624" s="316" t="s">
        <v>2306</v>
      </c>
      <c r="C624" s="169"/>
      <c r="D624" s="245"/>
      <c r="E624" s="547"/>
      <c r="F624" s="202"/>
      <c r="G624" s="171"/>
    </row>
    <row r="625" spans="1:11" x14ac:dyDescent="0.25">
      <c r="A625" s="167" t="s">
        <v>2307</v>
      </c>
      <c r="B625" s="317" t="s">
        <v>2308</v>
      </c>
      <c r="C625" s="169"/>
      <c r="D625" s="170"/>
      <c r="E625" s="547"/>
      <c r="F625" s="202"/>
      <c r="G625" s="161"/>
    </row>
    <row r="626" spans="1:11" ht="24" x14ac:dyDescent="0.25">
      <c r="A626" s="167"/>
      <c r="B626" s="201" t="s">
        <v>1761</v>
      </c>
      <c r="C626" s="169">
        <f>9*12</f>
        <v>108</v>
      </c>
      <c r="D626" s="170" t="s">
        <v>21</v>
      </c>
      <c r="E626" s="1803">
        <v>139995.15</v>
      </c>
      <c r="F626" s="202">
        <f>E626*C626</f>
        <v>15119476.199999999</v>
      </c>
      <c r="G626" s="161"/>
    </row>
    <row r="627" spans="1:11" x14ac:dyDescent="0.25">
      <c r="A627" s="167"/>
      <c r="B627" s="201" t="s">
        <v>1338</v>
      </c>
      <c r="C627" s="169">
        <v>12</v>
      </c>
      <c r="D627" s="170" t="s">
        <v>21</v>
      </c>
      <c r="E627" s="1803">
        <v>139995.15</v>
      </c>
      <c r="F627" s="202">
        <f t="shared" ref="F627:F631" si="19">E627*C627</f>
        <v>1679941.7999999998</v>
      </c>
      <c r="G627" s="161"/>
    </row>
    <row r="628" spans="1:11" ht="24" x14ac:dyDescent="0.25">
      <c r="A628" s="167"/>
      <c r="B628" s="201" t="s">
        <v>1339</v>
      </c>
      <c r="C628" s="169">
        <v>12</v>
      </c>
      <c r="D628" s="170" t="s">
        <v>21</v>
      </c>
      <c r="E628" s="1803">
        <v>139995.15</v>
      </c>
      <c r="F628" s="202">
        <f t="shared" si="19"/>
        <v>1679941.7999999998</v>
      </c>
      <c r="G628" s="161"/>
    </row>
    <row r="629" spans="1:11" ht="24.75" x14ac:dyDescent="0.25">
      <c r="A629" s="193"/>
      <c r="B629" s="177" t="s">
        <v>1500</v>
      </c>
      <c r="C629" s="178">
        <v>12</v>
      </c>
      <c r="D629" s="170" t="s">
        <v>21</v>
      </c>
      <c r="E629" s="1803">
        <v>139995.15</v>
      </c>
      <c r="F629" s="202">
        <f t="shared" si="19"/>
        <v>1679941.7999999998</v>
      </c>
      <c r="G629" s="181"/>
    </row>
    <row r="630" spans="1:11" x14ac:dyDescent="0.25">
      <c r="A630" s="212"/>
      <c r="B630" s="177" t="s">
        <v>1340</v>
      </c>
      <c r="C630" s="178">
        <v>12</v>
      </c>
      <c r="D630" s="170" t="s">
        <v>21</v>
      </c>
      <c r="E630" s="1803">
        <v>139995.15</v>
      </c>
      <c r="F630" s="202">
        <f t="shared" si="19"/>
        <v>1679941.7999999998</v>
      </c>
      <c r="G630" s="181"/>
    </row>
    <row r="631" spans="1:11" ht="24.75" x14ac:dyDescent="0.25">
      <c r="A631" s="212"/>
      <c r="B631" s="177" t="s">
        <v>1341</v>
      </c>
      <c r="C631" s="178">
        <f>2*12</f>
        <v>24</v>
      </c>
      <c r="D631" s="170" t="s">
        <v>21</v>
      </c>
      <c r="E631" s="1803">
        <v>139995.15</v>
      </c>
      <c r="F631" s="202">
        <f t="shared" si="19"/>
        <v>3359883.5999999996</v>
      </c>
      <c r="G631" s="181"/>
    </row>
    <row r="632" spans="1:11" ht="24.75" x14ac:dyDescent="0.25">
      <c r="A632" s="167" t="s">
        <v>2309</v>
      </c>
      <c r="B632" s="318" t="s">
        <v>2310</v>
      </c>
      <c r="C632" s="178"/>
      <c r="D632" s="170"/>
      <c r="E632" s="389"/>
      <c r="F632" s="202"/>
      <c r="G632" s="181"/>
    </row>
    <row r="633" spans="1:11" ht="24" x14ac:dyDescent="0.25">
      <c r="A633" s="193"/>
      <c r="B633" s="201" t="s">
        <v>1762</v>
      </c>
      <c r="C633" s="169">
        <f>9*12</f>
        <v>108</v>
      </c>
      <c r="D633" s="170" t="s">
        <v>21</v>
      </c>
      <c r="E633" s="1775">
        <v>18899.349999999999</v>
      </c>
      <c r="F633" s="202">
        <f t="shared" ref="F633:F638" si="20">E633*C633</f>
        <v>2041129.7999999998</v>
      </c>
      <c r="G633" s="181"/>
      <c r="H633">
        <v>18899.349999999999</v>
      </c>
    </row>
    <row r="634" spans="1:11" ht="24" x14ac:dyDescent="0.25">
      <c r="A634" s="193"/>
      <c r="B634" s="201" t="s">
        <v>1501</v>
      </c>
      <c r="C634" s="169">
        <v>12</v>
      </c>
      <c r="D634" s="170" t="s">
        <v>21</v>
      </c>
      <c r="E634" s="1775">
        <v>18899.349999999999</v>
      </c>
      <c r="F634" s="202">
        <f t="shared" si="20"/>
        <v>226792.19999999998</v>
      </c>
      <c r="G634" s="181"/>
      <c r="H634" s="68"/>
    </row>
    <row r="635" spans="1:11" ht="24" x14ac:dyDescent="0.25">
      <c r="A635" s="193"/>
      <c r="B635" s="201" t="s">
        <v>1502</v>
      </c>
      <c r="C635" s="169">
        <v>12</v>
      </c>
      <c r="D635" s="170" t="s">
        <v>21</v>
      </c>
      <c r="E635" s="1775">
        <v>18899.349999999999</v>
      </c>
      <c r="F635" s="202">
        <f t="shared" si="20"/>
        <v>226792.19999999998</v>
      </c>
      <c r="G635" s="181"/>
      <c r="H635" s="23"/>
    </row>
    <row r="636" spans="1:11" ht="24.75" x14ac:dyDescent="0.25">
      <c r="A636" s="193"/>
      <c r="B636" s="177" t="s">
        <v>1503</v>
      </c>
      <c r="C636" s="178">
        <v>12</v>
      </c>
      <c r="D636" s="170" t="s">
        <v>21</v>
      </c>
      <c r="E636" s="1775">
        <v>18899.349999999999</v>
      </c>
      <c r="F636" s="202">
        <f t="shared" si="20"/>
        <v>226792.19999999998</v>
      </c>
      <c r="G636" s="181"/>
      <c r="H636" s="23"/>
    </row>
    <row r="637" spans="1:11" ht="24.75" x14ac:dyDescent="0.25">
      <c r="A637" s="193"/>
      <c r="B637" s="177" t="s">
        <v>1504</v>
      </c>
      <c r="C637" s="178">
        <v>12</v>
      </c>
      <c r="D637" s="170" t="s">
        <v>21</v>
      </c>
      <c r="E637" s="1775">
        <v>18899.349999999999</v>
      </c>
      <c r="F637" s="202">
        <f t="shared" si="20"/>
        <v>226792.19999999998</v>
      </c>
      <c r="G637" s="181"/>
      <c r="H637" s="68"/>
    </row>
    <row r="638" spans="1:11" ht="24.75" x14ac:dyDescent="0.25">
      <c r="A638" s="193"/>
      <c r="B638" s="177" t="s">
        <v>1505</v>
      </c>
      <c r="C638" s="178">
        <f>2*12</f>
        <v>24</v>
      </c>
      <c r="D638" s="170" t="s">
        <v>21</v>
      </c>
      <c r="E638" s="1775">
        <v>18899.349999999999</v>
      </c>
      <c r="F638" s="202">
        <f t="shared" si="20"/>
        <v>453584.39999999997</v>
      </c>
      <c r="G638" s="181"/>
    </row>
    <row r="639" spans="1:11" x14ac:dyDescent="0.25">
      <c r="A639" s="257"/>
      <c r="B639" s="1945" t="s">
        <v>26</v>
      </c>
      <c r="C639" s="1945"/>
      <c r="D639" s="1945"/>
      <c r="E639" s="1946"/>
      <c r="F639" s="179">
        <f>SUM(F626:F638)</f>
        <v>28601009.999999996</v>
      </c>
      <c r="G639" s="181" t="s">
        <v>1506</v>
      </c>
      <c r="K639" s="27">
        <f>F639</f>
        <v>28601009.999999996</v>
      </c>
    </row>
    <row r="640" spans="1:11" x14ac:dyDescent="0.25">
      <c r="A640" s="1926" t="s">
        <v>516</v>
      </c>
      <c r="B640" s="1926"/>
      <c r="C640" s="152" t="s">
        <v>27</v>
      </c>
      <c r="D640" s="1926" t="s">
        <v>3654</v>
      </c>
      <c r="E640" s="1926"/>
      <c r="F640" s="1926"/>
      <c r="G640" s="152"/>
    </row>
    <row r="641" spans="1:7" x14ac:dyDescent="0.25">
      <c r="A641" s="1926" t="s">
        <v>28</v>
      </c>
      <c r="B641" s="1926"/>
      <c r="C641" s="152"/>
      <c r="D641" s="1927" t="s">
        <v>3382</v>
      </c>
      <c r="E641" s="1927"/>
      <c r="F641" s="1927"/>
      <c r="G641" s="152"/>
    </row>
    <row r="642" spans="1:7" x14ac:dyDescent="0.25">
      <c r="A642" s="150"/>
      <c r="B642" s="151"/>
      <c r="C642" s="152"/>
      <c r="D642" s="153"/>
      <c r="E642" s="1770"/>
      <c r="F642" s="182"/>
      <c r="G642" s="152"/>
    </row>
    <row r="643" spans="1:7" x14ac:dyDescent="0.25">
      <c r="A643" s="150"/>
      <c r="B643" s="151"/>
      <c r="C643" s="152"/>
      <c r="D643" s="153"/>
      <c r="E643" s="1770"/>
      <c r="F643" s="182"/>
      <c r="G643" s="152"/>
    </row>
    <row r="644" spans="1:7" x14ac:dyDescent="0.25">
      <c r="A644" s="1926"/>
      <c r="B644" s="1926"/>
      <c r="C644" s="152"/>
      <c r="D644" s="153"/>
      <c r="E644" s="1926"/>
      <c r="F644" s="1926"/>
      <c r="G644" s="152"/>
    </row>
    <row r="645" spans="1:7" x14ac:dyDescent="0.25">
      <c r="A645" s="1926" t="s">
        <v>29</v>
      </c>
      <c r="B645" s="1926"/>
      <c r="C645" s="152"/>
      <c r="D645" s="1926" t="s">
        <v>3383</v>
      </c>
      <c r="E645" s="1926"/>
      <c r="F645" s="1926"/>
      <c r="G645" s="152"/>
    </row>
    <row r="649" spans="1:7" x14ac:dyDescent="0.25">
      <c r="A649" s="1947" t="s">
        <v>0</v>
      </c>
      <c r="B649" s="1947"/>
      <c r="C649" s="1947"/>
      <c r="D649" s="1947"/>
      <c r="E649" s="1947"/>
      <c r="F649" s="1947"/>
      <c r="G649" s="149"/>
    </row>
    <row r="650" spans="1:7" x14ac:dyDescent="0.25">
      <c r="A650" s="1947" t="s">
        <v>1</v>
      </c>
      <c r="B650" s="1947"/>
      <c r="C650" s="1947"/>
      <c r="D650" s="1947"/>
      <c r="E650" s="1947"/>
      <c r="F650" s="1947"/>
      <c r="G650" s="149"/>
    </row>
    <row r="651" spans="1:7" x14ac:dyDescent="0.25">
      <c r="A651" s="1947" t="s">
        <v>2398</v>
      </c>
      <c r="B651" s="1947"/>
      <c r="C651" s="1947"/>
      <c r="D651" s="1947"/>
      <c r="E651" s="1947"/>
      <c r="F651" s="1947"/>
      <c r="G651" s="149"/>
    </row>
    <row r="652" spans="1:7" x14ac:dyDescent="0.25">
      <c r="A652" s="148"/>
      <c r="B652" s="148"/>
      <c r="C652" s="148"/>
      <c r="D652" s="148"/>
      <c r="E652" s="1764"/>
      <c r="F652" s="148"/>
      <c r="G652" s="149"/>
    </row>
    <row r="653" spans="1:7" x14ac:dyDescent="0.25">
      <c r="A653" s="150" t="s">
        <v>236</v>
      </c>
      <c r="B653" s="151" t="s">
        <v>3</v>
      </c>
      <c r="C653" s="152"/>
      <c r="D653" s="153"/>
      <c r="E653" s="1765"/>
      <c r="F653" s="155"/>
      <c r="G653" s="152"/>
    </row>
    <row r="654" spans="1:7" ht="36.75" x14ac:dyDescent="0.25">
      <c r="A654" s="156" t="s">
        <v>237</v>
      </c>
      <c r="B654" s="151" t="s">
        <v>5</v>
      </c>
      <c r="C654" s="152"/>
      <c r="D654" s="153"/>
      <c r="E654" s="1772" t="s">
        <v>6</v>
      </c>
      <c r="F654" s="155"/>
      <c r="G654" s="152"/>
    </row>
    <row r="655" spans="1:7" ht="24.75" x14ac:dyDescent="0.25">
      <c r="A655" s="156" t="s">
        <v>7</v>
      </c>
      <c r="B655" s="151" t="s">
        <v>1342</v>
      </c>
      <c r="C655" s="152"/>
      <c r="D655" s="153"/>
      <c r="E655" s="1766" t="s">
        <v>9</v>
      </c>
      <c r="F655" s="160"/>
      <c r="G655" s="152"/>
    </row>
    <row r="656" spans="1:7" x14ac:dyDescent="0.25">
      <c r="A656" s="185" t="s">
        <v>37</v>
      </c>
      <c r="B656" s="151"/>
      <c r="C656" s="152"/>
      <c r="D656" s="153"/>
      <c r="E656" s="1765"/>
      <c r="F656" s="155"/>
      <c r="G656" s="152"/>
    </row>
    <row r="657" spans="1:7" x14ac:dyDescent="0.25">
      <c r="A657" s="156" t="s">
        <v>10</v>
      </c>
      <c r="B657" s="151"/>
      <c r="C657" s="152"/>
      <c r="D657" s="153"/>
      <c r="E657" s="1765"/>
      <c r="F657" s="155"/>
      <c r="G657" s="152"/>
    </row>
    <row r="658" spans="1:7" x14ac:dyDescent="0.25">
      <c r="A658" s="156"/>
      <c r="B658" s="151"/>
      <c r="C658" s="152"/>
      <c r="D658" s="153"/>
      <c r="E658" s="1765"/>
      <c r="F658" s="155"/>
      <c r="G658" s="152"/>
    </row>
    <row r="659" spans="1:7" x14ac:dyDescent="0.25">
      <c r="A659" s="161" t="s">
        <v>30</v>
      </c>
      <c r="B659" s="162" t="s">
        <v>31</v>
      </c>
      <c r="C659" s="1931" t="s">
        <v>12</v>
      </c>
      <c r="D659" s="1932"/>
      <c r="E659" s="1767" t="s">
        <v>32</v>
      </c>
      <c r="F659" s="163" t="s">
        <v>33</v>
      </c>
      <c r="G659" s="161" t="s">
        <v>34</v>
      </c>
    </row>
    <row r="660" spans="1:7" x14ac:dyDescent="0.25">
      <c r="A660" s="164">
        <v>1</v>
      </c>
      <c r="B660" s="164">
        <v>2</v>
      </c>
      <c r="C660" s="1943">
        <v>3</v>
      </c>
      <c r="D660" s="1943"/>
      <c r="E660" s="1768">
        <v>4</v>
      </c>
      <c r="F660" s="166">
        <v>5</v>
      </c>
      <c r="G660" s="166">
        <v>6</v>
      </c>
    </row>
    <row r="661" spans="1:7" x14ac:dyDescent="0.25">
      <c r="A661" s="167" t="s">
        <v>2304</v>
      </c>
      <c r="B661" s="316" t="s">
        <v>277</v>
      </c>
      <c r="C661" s="169"/>
      <c r="D661" s="245"/>
      <c r="E661" s="547"/>
      <c r="F661" s="202"/>
      <c r="G661" s="171"/>
    </row>
    <row r="662" spans="1:7" ht="43.5" x14ac:dyDescent="0.25">
      <c r="A662" s="167" t="s">
        <v>2311</v>
      </c>
      <c r="B662" s="707" t="s">
        <v>2312</v>
      </c>
      <c r="C662" s="169"/>
      <c r="D662" s="245"/>
      <c r="E662" s="547"/>
      <c r="F662" s="202"/>
      <c r="G662" s="181"/>
    </row>
    <row r="663" spans="1:7" ht="43.5" x14ac:dyDescent="0.25">
      <c r="A663" s="167" t="s">
        <v>2314</v>
      </c>
      <c r="B663" s="707" t="s">
        <v>2313</v>
      </c>
      <c r="C663" s="169"/>
      <c r="D663" s="170"/>
      <c r="E663" s="547"/>
      <c r="F663" s="202"/>
      <c r="G663" s="161"/>
    </row>
    <row r="664" spans="1:7" ht="24" x14ac:dyDescent="0.25">
      <c r="A664" s="167"/>
      <c r="B664" s="201" t="s">
        <v>3324</v>
      </c>
      <c r="C664" s="169">
        <f>249*12</f>
        <v>2988</v>
      </c>
      <c r="D664" s="170" t="s">
        <v>21</v>
      </c>
      <c r="E664" s="547">
        <v>17809.830000000002</v>
      </c>
      <c r="F664" s="202">
        <f>E664*C664</f>
        <v>53215772.040000007</v>
      </c>
      <c r="G664" s="161"/>
    </row>
    <row r="665" spans="1:7" x14ac:dyDescent="0.25">
      <c r="A665" s="167"/>
      <c r="B665" s="201" t="s">
        <v>3323</v>
      </c>
      <c r="C665" s="169"/>
      <c r="D665" s="170"/>
      <c r="E665" s="547"/>
      <c r="F665" s="202"/>
      <c r="G665" s="161"/>
    </row>
    <row r="666" spans="1:7" x14ac:dyDescent="0.25">
      <c r="A666" s="212"/>
      <c r="B666" s="201" t="s">
        <v>3325</v>
      </c>
      <c r="C666" s="178"/>
      <c r="D666" s="170"/>
      <c r="E666" s="389"/>
      <c r="F666" s="202"/>
      <c r="G666" s="181"/>
    </row>
    <row r="667" spans="1:7" x14ac:dyDescent="0.25">
      <c r="A667" s="212"/>
      <c r="B667" s="201" t="s">
        <v>3301</v>
      </c>
      <c r="C667" s="178"/>
      <c r="D667" s="170"/>
      <c r="E667" s="389"/>
      <c r="F667" s="202"/>
      <c r="G667" s="181"/>
    </row>
    <row r="668" spans="1:7" x14ac:dyDescent="0.25">
      <c r="A668" s="212"/>
      <c r="B668" s="201" t="s">
        <v>3302</v>
      </c>
      <c r="C668" s="178"/>
      <c r="D668" s="170"/>
      <c r="E668" s="389"/>
      <c r="F668" s="202"/>
      <c r="G668" s="181"/>
    </row>
    <row r="669" spans="1:7" x14ac:dyDescent="0.25">
      <c r="A669" s="212"/>
      <c r="B669" s="201" t="s">
        <v>3326</v>
      </c>
      <c r="C669" s="178"/>
      <c r="D669" s="170"/>
      <c r="E669" s="389"/>
      <c r="F669" s="202"/>
      <c r="G669" s="181"/>
    </row>
    <row r="670" spans="1:7" x14ac:dyDescent="0.25">
      <c r="A670" s="212"/>
      <c r="B670" s="201" t="s">
        <v>1770</v>
      </c>
      <c r="C670" s="178"/>
      <c r="D670" s="170"/>
      <c r="E670" s="389"/>
      <c r="F670" s="202"/>
      <c r="G670" s="181"/>
    </row>
    <row r="671" spans="1:7" x14ac:dyDescent="0.25">
      <c r="A671" s="212"/>
      <c r="B671" s="201" t="s">
        <v>2687</v>
      </c>
      <c r="C671" s="178"/>
      <c r="D671" s="170"/>
      <c r="E671" s="389"/>
      <c r="F671" s="202"/>
      <c r="G671" s="181"/>
    </row>
    <row r="672" spans="1:7" x14ac:dyDescent="0.25">
      <c r="A672" s="212"/>
      <c r="B672" s="201" t="s">
        <v>3304</v>
      </c>
      <c r="C672" s="178"/>
      <c r="D672" s="170"/>
      <c r="E672" s="389"/>
      <c r="F672" s="202"/>
      <c r="G672" s="181"/>
    </row>
    <row r="673" spans="1:11" x14ac:dyDescent="0.25">
      <c r="A673" s="212"/>
      <c r="B673" s="177" t="s">
        <v>1343</v>
      </c>
      <c r="C673" s="178"/>
      <c r="D673" s="170"/>
      <c r="E673" s="389"/>
      <c r="F673" s="202"/>
      <c r="G673" s="181"/>
    </row>
    <row r="674" spans="1:11" x14ac:dyDescent="0.25">
      <c r="A674" s="212"/>
      <c r="B674" s="177" t="s">
        <v>3303</v>
      </c>
      <c r="C674" s="178"/>
      <c r="D674" s="170"/>
      <c r="E674" s="389"/>
      <c r="F674" s="202"/>
      <c r="G674" s="181"/>
    </row>
    <row r="675" spans="1:11" x14ac:dyDescent="0.25">
      <c r="A675" s="212"/>
      <c r="B675" s="177" t="s">
        <v>3305</v>
      </c>
      <c r="C675" s="178"/>
      <c r="D675" s="170"/>
      <c r="E675" s="389"/>
      <c r="F675" s="202"/>
      <c r="G675" s="181"/>
    </row>
    <row r="676" spans="1:11" x14ac:dyDescent="0.25">
      <c r="A676" s="257"/>
      <c r="B676" s="1945" t="s">
        <v>26</v>
      </c>
      <c r="C676" s="1945"/>
      <c r="D676" s="1945"/>
      <c r="E676" s="1946"/>
      <c r="F676" s="179">
        <f>SUM(F664:F675)</f>
        <v>53215772.040000007</v>
      </c>
      <c r="G676" s="181" t="s">
        <v>1506</v>
      </c>
      <c r="K676" s="27">
        <f>F676</f>
        <v>53215772.040000007</v>
      </c>
    </row>
    <row r="678" spans="1:11" x14ac:dyDescent="0.25">
      <c r="A678" s="1926" t="s">
        <v>516</v>
      </c>
      <c r="B678" s="1926"/>
      <c r="C678" s="152" t="s">
        <v>27</v>
      </c>
      <c r="D678" s="1926" t="s">
        <v>3654</v>
      </c>
      <c r="E678" s="1926"/>
      <c r="F678" s="1926"/>
      <c r="G678" s="152"/>
    </row>
    <row r="679" spans="1:11" x14ac:dyDescent="0.25">
      <c r="A679" s="1926" t="s">
        <v>28</v>
      </c>
      <c r="B679" s="1926"/>
      <c r="C679" s="152"/>
      <c r="D679" s="1927" t="s">
        <v>3382</v>
      </c>
      <c r="E679" s="1927"/>
      <c r="F679" s="1927"/>
      <c r="G679" s="152"/>
    </row>
    <row r="680" spans="1:11" x14ac:dyDescent="0.25">
      <c r="A680" s="150"/>
      <c r="B680" s="151"/>
      <c r="C680" s="152"/>
      <c r="D680" s="153"/>
      <c r="E680" s="1770"/>
      <c r="F680" s="182"/>
      <c r="G680" s="152"/>
    </row>
    <row r="681" spans="1:11" x14ac:dyDescent="0.25">
      <c r="A681" s="150"/>
      <c r="B681" s="151"/>
      <c r="C681" s="152"/>
      <c r="D681" s="153"/>
      <c r="E681" s="1770"/>
      <c r="F681" s="182"/>
      <c r="G681" s="152"/>
    </row>
    <row r="682" spans="1:11" x14ac:dyDescent="0.25">
      <c r="A682" s="1926"/>
      <c r="B682" s="1926"/>
      <c r="C682" s="152"/>
      <c r="D682" s="153"/>
      <c r="E682" s="1926"/>
      <c r="F682" s="1926"/>
      <c r="G682" s="152"/>
    </row>
    <row r="683" spans="1:11" x14ac:dyDescent="0.25">
      <c r="A683" s="1926" t="s">
        <v>29</v>
      </c>
      <c r="B683" s="1926"/>
      <c r="C683" s="152"/>
      <c r="D683" s="1926" t="s">
        <v>3383</v>
      </c>
      <c r="E683" s="1926"/>
      <c r="F683" s="1926"/>
      <c r="G683" s="152"/>
    </row>
    <row r="685" spans="1:11" x14ac:dyDescent="0.25">
      <c r="A685" s="1947" t="s">
        <v>0</v>
      </c>
      <c r="B685" s="1947"/>
      <c r="C685" s="1947"/>
      <c r="D685" s="1947"/>
      <c r="E685" s="1947"/>
      <c r="F685" s="1947"/>
      <c r="G685" s="1947"/>
    </row>
    <row r="686" spans="1:11" x14ac:dyDescent="0.25">
      <c r="A686" s="1947" t="s">
        <v>1</v>
      </c>
      <c r="B686" s="1947"/>
      <c r="C686" s="1947"/>
      <c r="D686" s="1947"/>
      <c r="E686" s="1947"/>
      <c r="F686" s="1947"/>
      <c r="G686" s="1947"/>
    </row>
    <row r="687" spans="1:11" x14ac:dyDescent="0.25">
      <c r="A687" s="1947" t="s">
        <v>2398</v>
      </c>
      <c r="B687" s="1947"/>
      <c r="C687" s="1947"/>
      <c r="D687" s="1947"/>
      <c r="E687" s="1947"/>
      <c r="F687" s="1947"/>
      <c r="G687" s="1947"/>
    </row>
    <row r="688" spans="1:11" x14ac:dyDescent="0.25">
      <c r="A688" s="148"/>
      <c r="B688" s="148"/>
      <c r="C688" s="148"/>
      <c r="D688" s="148"/>
      <c r="E688" s="1764"/>
      <c r="F688" s="148"/>
      <c r="G688" s="148"/>
    </row>
    <row r="689" spans="1:7" x14ac:dyDescent="0.25">
      <c r="A689" s="226" t="s">
        <v>251</v>
      </c>
      <c r="B689" s="189" t="s">
        <v>3</v>
      </c>
      <c r="C689" s="226"/>
      <c r="D689" s="226"/>
      <c r="E689" s="1772" t="s">
        <v>6</v>
      </c>
      <c r="F689" s="155"/>
    </row>
    <row r="690" spans="1:7" ht="51" x14ac:dyDescent="0.25">
      <c r="A690" s="226" t="s">
        <v>252</v>
      </c>
      <c r="B690" s="189" t="s">
        <v>5</v>
      </c>
      <c r="C690" s="226"/>
      <c r="D690" s="226"/>
      <c r="E690" s="1766" t="s">
        <v>9</v>
      </c>
      <c r="F690" s="160"/>
    </row>
    <row r="691" spans="1:7" x14ac:dyDescent="0.25">
      <c r="A691" s="228" t="s">
        <v>253</v>
      </c>
      <c r="B691" s="228" t="s">
        <v>452</v>
      </c>
      <c r="C691" s="228"/>
      <c r="D691" s="228"/>
      <c r="E691" s="1782"/>
      <c r="F691" s="228"/>
    </row>
    <row r="692" spans="1:7" x14ac:dyDescent="0.25">
      <c r="A692" s="229" t="s">
        <v>59</v>
      </c>
      <c r="B692" s="190" t="s">
        <v>60</v>
      </c>
      <c r="C692" s="190"/>
      <c r="D692" s="152"/>
      <c r="E692" s="1770"/>
      <c r="F692" s="152"/>
    </row>
    <row r="693" spans="1:7" x14ac:dyDescent="0.25">
      <c r="A693" s="190" t="s">
        <v>61</v>
      </c>
      <c r="B693" s="190"/>
      <c r="C693" s="190"/>
      <c r="D693" s="1952"/>
      <c r="E693" s="1952"/>
      <c r="F693" s="152"/>
    </row>
    <row r="694" spans="1:7" x14ac:dyDescent="0.25">
      <c r="A694" s="151"/>
      <c r="B694" s="151"/>
      <c r="C694" s="151"/>
      <c r="D694" s="151"/>
      <c r="E694" s="1783"/>
      <c r="F694" s="151"/>
    </row>
    <row r="695" spans="1:7" x14ac:dyDescent="0.25">
      <c r="A695" s="162" t="s">
        <v>255</v>
      </c>
      <c r="B695" s="162" t="s">
        <v>11</v>
      </c>
      <c r="C695" s="1959" t="s">
        <v>12</v>
      </c>
      <c r="D695" s="1960"/>
      <c r="E695" s="1784" t="s">
        <v>13</v>
      </c>
      <c r="F695" s="231" t="s">
        <v>14</v>
      </c>
      <c r="G695" s="25" t="s">
        <v>256</v>
      </c>
    </row>
    <row r="696" spans="1:7" x14ac:dyDescent="0.25">
      <c r="A696" s="162">
        <v>1</v>
      </c>
      <c r="B696" s="162">
        <v>2</v>
      </c>
      <c r="C696" s="1959">
        <v>3</v>
      </c>
      <c r="D696" s="1960"/>
      <c r="E696" s="1785">
        <v>4</v>
      </c>
      <c r="F696" s="231">
        <v>5</v>
      </c>
      <c r="G696" s="26">
        <v>6</v>
      </c>
    </row>
    <row r="697" spans="1:7" x14ac:dyDescent="0.25">
      <c r="A697" s="167" t="s">
        <v>2315</v>
      </c>
      <c r="B697" s="168" t="s">
        <v>277</v>
      </c>
      <c r="C697" s="169"/>
      <c r="D697" s="170"/>
      <c r="E697" s="645"/>
      <c r="F697" s="163"/>
      <c r="G697" s="186"/>
    </row>
    <row r="698" spans="1:7" ht="24" x14ac:dyDescent="0.25">
      <c r="A698" s="167" t="s">
        <v>2316</v>
      </c>
      <c r="B698" s="168" t="s">
        <v>453</v>
      </c>
      <c r="C698" s="169"/>
      <c r="D698" s="170"/>
      <c r="E698" s="645"/>
      <c r="F698" s="163"/>
      <c r="G698" s="186"/>
    </row>
    <row r="699" spans="1:7" ht="24.75" x14ac:dyDescent="0.25">
      <c r="A699" s="167" t="s">
        <v>2317</v>
      </c>
      <c r="B699" s="177" t="s">
        <v>454</v>
      </c>
      <c r="C699" s="206"/>
      <c r="D699" s="207"/>
      <c r="E699" s="1787"/>
      <c r="F699" s="215"/>
      <c r="G699" s="186"/>
    </row>
    <row r="700" spans="1:7" x14ac:dyDescent="0.25">
      <c r="A700" s="181"/>
      <c r="B700" s="319" t="s">
        <v>1763</v>
      </c>
      <c r="C700" s="206">
        <f>10*12</f>
        <v>120</v>
      </c>
      <c r="D700" s="207" t="s">
        <v>154</v>
      </c>
      <c r="E700" s="1787">
        <v>22000</v>
      </c>
      <c r="F700" s="215">
        <f>E700*C700</f>
        <v>2640000</v>
      </c>
      <c r="G700" s="186"/>
    </row>
    <row r="701" spans="1:7" x14ac:dyDescent="0.25">
      <c r="A701" s="181"/>
      <c r="B701" s="319" t="s">
        <v>1764</v>
      </c>
      <c r="C701" s="206">
        <v>60</v>
      </c>
      <c r="D701" s="207" t="s">
        <v>154</v>
      </c>
      <c r="E701" s="1787">
        <v>108800</v>
      </c>
      <c r="F701" s="215">
        <f t="shared" ref="F701:F706" si="21">E701*C701</f>
        <v>6528000</v>
      </c>
      <c r="G701" s="186"/>
    </row>
    <row r="702" spans="1:7" x14ac:dyDescent="0.25">
      <c r="A702" s="181"/>
      <c r="B702" s="319" t="s">
        <v>1765</v>
      </c>
      <c r="C702" s="206">
        <f>10*12</f>
        <v>120</v>
      </c>
      <c r="D702" s="207" t="s">
        <v>154</v>
      </c>
      <c r="E702" s="1787">
        <v>50000</v>
      </c>
      <c r="F702" s="215">
        <f t="shared" si="21"/>
        <v>6000000</v>
      </c>
      <c r="G702" s="186"/>
    </row>
    <row r="703" spans="1:7" x14ac:dyDescent="0.25">
      <c r="A703" s="181"/>
      <c r="B703" s="181" t="s">
        <v>1766</v>
      </c>
      <c r="C703" s="206">
        <v>240</v>
      </c>
      <c r="D703" s="207" t="s">
        <v>154</v>
      </c>
      <c r="E703" s="1787">
        <v>20000</v>
      </c>
      <c r="F703" s="215">
        <f>E703*C703</f>
        <v>4800000</v>
      </c>
      <c r="G703" s="186"/>
    </row>
    <row r="704" spans="1:7" x14ac:dyDescent="0.25">
      <c r="A704" s="181"/>
      <c r="B704" s="319" t="s">
        <v>1767</v>
      </c>
      <c r="C704" s="206">
        <v>172</v>
      </c>
      <c r="D704" s="207" t="s">
        <v>455</v>
      </c>
      <c r="E704" s="1787">
        <v>12000</v>
      </c>
      <c r="F704" s="215">
        <f t="shared" si="21"/>
        <v>2064000</v>
      </c>
      <c r="G704" s="186"/>
    </row>
    <row r="705" spans="1:16" x14ac:dyDescent="0.25">
      <c r="A705" s="181"/>
      <c r="B705" s="319" t="s">
        <v>1768</v>
      </c>
      <c r="C705" s="206">
        <f>25*12</f>
        <v>300</v>
      </c>
      <c r="D705" s="207" t="s">
        <v>456</v>
      </c>
      <c r="E705" s="1787">
        <v>5000</v>
      </c>
      <c r="F705" s="215">
        <f>E705*C705</f>
        <v>1500000</v>
      </c>
      <c r="G705" s="186"/>
    </row>
    <row r="706" spans="1:16" x14ac:dyDescent="0.25">
      <c r="A706" s="181"/>
      <c r="B706" s="319" t="s">
        <v>1769</v>
      </c>
      <c r="C706" s="206">
        <v>310</v>
      </c>
      <c r="D706" s="207" t="s">
        <v>104</v>
      </c>
      <c r="E706" s="1787">
        <v>50000</v>
      </c>
      <c r="F706" s="215">
        <f t="shared" si="21"/>
        <v>15500000</v>
      </c>
      <c r="G706" s="186"/>
    </row>
    <row r="707" spans="1:16" x14ac:dyDescent="0.25">
      <c r="A707" s="181"/>
      <c r="B707" s="320"/>
      <c r="C707" s="198"/>
      <c r="D707" s="321"/>
      <c r="E707" s="1804"/>
      <c r="F707" s="323"/>
      <c r="G707" s="186"/>
    </row>
    <row r="708" spans="1:16" x14ac:dyDescent="0.25">
      <c r="A708" s="181"/>
      <c r="B708" s="1944" t="s">
        <v>26</v>
      </c>
      <c r="C708" s="1945"/>
      <c r="D708" s="1945"/>
      <c r="E708" s="1946"/>
      <c r="F708" s="324">
        <f>SUM(F700:F707)</f>
        <v>39032000</v>
      </c>
      <c r="G708" s="325" t="s">
        <v>1223</v>
      </c>
      <c r="P708" s="23">
        <f>F708</f>
        <v>39032000</v>
      </c>
    </row>
    <row r="710" spans="1:16" x14ac:dyDescent="0.25">
      <c r="A710" s="1926" t="s">
        <v>516</v>
      </c>
      <c r="B710" s="1926"/>
      <c r="C710" s="152" t="s">
        <v>27</v>
      </c>
      <c r="D710" s="1926" t="s">
        <v>3654</v>
      </c>
      <c r="E710" s="1926"/>
      <c r="F710" s="1926"/>
      <c r="G710" s="152"/>
    </row>
    <row r="711" spans="1:16" x14ac:dyDescent="0.25">
      <c r="A711" s="1926" t="s">
        <v>28</v>
      </c>
      <c r="B711" s="1926"/>
      <c r="C711" s="152"/>
      <c r="D711" s="1927" t="s">
        <v>3382</v>
      </c>
      <c r="E711" s="1927"/>
      <c r="F711" s="1927"/>
      <c r="G711" s="152"/>
    </row>
    <row r="712" spans="1:16" x14ac:dyDescent="0.25">
      <c r="A712" s="150"/>
      <c r="B712" s="151"/>
      <c r="C712" s="152"/>
      <c r="D712" s="153"/>
      <c r="E712" s="1770"/>
      <c r="F712" s="182"/>
      <c r="G712" s="152"/>
    </row>
    <row r="713" spans="1:16" x14ac:dyDescent="0.25">
      <c r="A713" s="150"/>
      <c r="B713" s="151"/>
      <c r="C713" s="152"/>
      <c r="D713" s="153"/>
      <c r="E713" s="1770"/>
      <c r="F713" s="182"/>
      <c r="G713" s="152"/>
    </row>
    <row r="714" spans="1:16" x14ac:dyDescent="0.25">
      <c r="A714" s="1926"/>
      <c r="B714" s="1926"/>
      <c r="C714" s="152"/>
      <c r="D714" s="153"/>
      <c r="E714" s="1926"/>
      <c r="F714" s="1926"/>
      <c r="G714" s="152"/>
    </row>
    <row r="715" spans="1:16" x14ac:dyDescent="0.25">
      <c r="A715" s="1926" t="s">
        <v>29</v>
      </c>
      <c r="B715" s="1926"/>
      <c r="C715" s="152"/>
      <c r="D715" s="1926" t="s">
        <v>3383</v>
      </c>
      <c r="E715" s="1926"/>
      <c r="F715" s="1926"/>
      <c r="G715" s="152"/>
    </row>
    <row r="717" spans="1:16" x14ac:dyDescent="0.25">
      <c r="A717" s="1968" t="s">
        <v>0</v>
      </c>
      <c r="B717" s="1968"/>
      <c r="C717" s="1968"/>
      <c r="D717" s="1968"/>
      <c r="E717" s="1968"/>
      <c r="F717" s="1968"/>
      <c r="G717" s="1968"/>
    </row>
    <row r="718" spans="1:16" x14ac:dyDescent="0.25">
      <c r="A718" s="1968" t="s">
        <v>1</v>
      </c>
      <c r="B718" s="1968"/>
      <c r="C718" s="1968"/>
      <c r="D718" s="1968"/>
      <c r="E718" s="1968"/>
      <c r="F718" s="1968"/>
      <c r="G718" s="1968"/>
    </row>
    <row r="719" spans="1:16" x14ac:dyDescent="0.25">
      <c r="A719" s="1968" t="s">
        <v>2398</v>
      </c>
      <c r="B719" s="1968"/>
      <c r="C719" s="1968"/>
      <c r="D719" s="1968"/>
      <c r="E719" s="1968"/>
      <c r="F719" s="1968"/>
      <c r="G719" s="1968"/>
    </row>
    <row r="720" spans="1:16" x14ac:dyDescent="0.25">
      <c r="A720" s="1377"/>
      <c r="B720" s="1377"/>
      <c r="C720" s="1377"/>
      <c r="D720" s="1377"/>
      <c r="E720" s="1805"/>
      <c r="F720" s="1377"/>
      <c r="G720" s="1377"/>
    </row>
    <row r="721" spans="1:9" x14ac:dyDescent="0.25">
      <c r="A721" s="1741" t="s">
        <v>251</v>
      </c>
      <c r="B721" s="1742" t="s">
        <v>3</v>
      </c>
      <c r="C721" s="1741"/>
      <c r="D721" s="1741"/>
      <c r="E721" s="1806" t="s">
        <v>6</v>
      </c>
      <c r="F721" s="1743"/>
      <c r="G721" s="96"/>
    </row>
    <row r="722" spans="1:9" ht="51" x14ac:dyDescent="0.25">
      <c r="A722" s="1741" t="s">
        <v>252</v>
      </c>
      <c r="B722" s="1742" t="s">
        <v>5</v>
      </c>
      <c r="C722" s="1741"/>
      <c r="D722" s="1741"/>
      <c r="E722" s="1807" t="s">
        <v>9</v>
      </c>
      <c r="F722" s="1744"/>
      <c r="G722" s="96"/>
    </row>
    <row r="723" spans="1:9" x14ac:dyDescent="0.25">
      <c r="A723" s="1745" t="s">
        <v>253</v>
      </c>
      <c r="B723" s="1745" t="s">
        <v>1771</v>
      </c>
      <c r="C723" s="1745"/>
      <c r="D723" s="1745"/>
      <c r="E723" s="1808"/>
      <c r="F723" s="1745"/>
      <c r="G723" s="96"/>
    </row>
    <row r="724" spans="1:9" x14ac:dyDescent="0.25">
      <c r="A724" s="1746" t="s">
        <v>59</v>
      </c>
      <c r="B724" s="1747" t="s">
        <v>60</v>
      </c>
      <c r="C724" s="1747"/>
      <c r="D724" s="1259"/>
      <c r="E724" s="1809"/>
      <c r="F724" s="1259"/>
      <c r="G724" s="96"/>
    </row>
    <row r="725" spans="1:9" x14ac:dyDescent="0.25">
      <c r="A725" s="1747" t="s">
        <v>61</v>
      </c>
      <c r="B725" s="1747"/>
      <c r="C725" s="1747"/>
      <c r="D725" s="1970"/>
      <c r="E725" s="1970"/>
      <c r="F725" s="1259"/>
      <c r="G725" s="96"/>
    </row>
    <row r="726" spans="1:9" x14ac:dyDescent="0.25">
      <c r="A726" s="1262"/>
      <c r="B726" s="1262"/>
      <c r="C726" s="1262"/>
      <c r="D726" s="1262"/>
      <c r="E726" s="1810"/>
      <c r="F726" s="1262"/>
      <c r="G726" s="96"/>
    </row>
    <row r="727" spans="1:9" x14ac:dyDescent="0.25">
      <c r="A727" s="1228" t="s">
        <v>255</v>
      </c>
      <c r="B727" s="1228" t="s">
        <v>11</v>
      </c>
      <c r="C727" s="1998" t="s">
        <v>12</v>
      </c>
      <c r="D727" s="1999"/>
      <c r="E727" s="1811" t="s">
        <v>13</v>
      </c>
      <c r="F727" s="1748" t="s">
        <v>14</v>
      </c>
      <c r="G727" s="905" t="s">
        <v>256</v>
      </c>
    </row>
    <row r="728" spans="1:9" x14ac:dyDescent="0.25">
      <c r="A728" s="1228">
        <v>1</v>
      </c>
      <c r="B728" s="1228">
        <v>2</v>
      </c>
      <c r="C728" s="1998">
        <v>3</v>
      </c>
      <c r="D728" s="1999"/>
      <c r="E728" s="1812">
        <v>4</v>
      </c>
      <c r="F728" s="1748">
        <v>5</v>
      </c>
      <c r="G728" s="1749">
        <v>6</v>
      </c>
    </row>
    <row r="729" spans="1:9" x14ac:dyDescent="0.25">
      <c r="A729" s="1750" t="s">
        <v>2318</v>
      </c>
      <c r="B729" s="1428" t="s">
        <v>277</v>
      </c>
      <c r="C729" s="1229"/>
      <c r="D729" s="1230"/>
      <c r="E729" s="1813"/>
      <c r="F729" s="1751"/>
      <c r="G729" s="1286"/>
    </row>
    <row r="730" spans="1:9" ht="24" x14ac:dyDescent="0.25">
      <c r="A730" s="1750" t="s">
        <v>2319</v>
      </c>
      <c r="B730" s="1428" t="s">
        <v>453</v>
      </c>
      <c r="C730" s="1229"/>
      <c r="D730" s="1230"/>
      <c r="E730" s="1813"/>
      <c r="F730" s="1751"/>
      <c r="G730" s="1286"/>
    </row>
    <row r="731" spans="1:9" ht="24.75" x14ac:dyDescent="0.25">
      <c r="A731" s="1750" t="s">
        <v>2320</v>
      </c>
      <c r="B731" s="911" t="s">
        <v>454</v>
      </c>
      <c r="C731" s="1752"/>
      <c r="D731" s="913"/>
      <c r="E731" s="1814"/>
      <c r="F731" s="1753"/>
      <c r="G731" s="1286"/>
    </row>
    <row r="732" spans="1:9" s="863" customFormat="1" x14ac:dyDescent="0.25">
      <c r="A732" s="941"/>
      <c r="B732" s="1754" t="s">
        <v>1772</v>
      </c>
      <c r="C732" s="1752">
        <v>1</v>
      </c>
      <c r="D732" s="913" t="s">
        <v>210</v>
      </c>
      <c r="E732" s="1814">
        <v>11203680</v>
      </c>
      <c r="F732" s="1753">
        <f>E732*C732</f>
        <v>11203680</v>
      </c>
      <c r="G732" s="1286" t="s">
        <v>1410</v>
      </c>
    </row>
    <row r="733" spans="1:9" x14ac:dyDescent="0.25">
      <c r="A733" s="941"/>
      <c r="B733" s="1754"/>
      <c r="C733" s="1752"/>
      <c r="D733" s="913"/>
      <c r="E733" s="1814"/>
      <c r="F733" s="1753"/>
      <c r="G733" s="1286"/>
    </row>
    <row r="734" spans="1:9" x14ac:dyDescent="0.25">
      <c r="A734" s="941"/>
      <c r="B734" s="1736"/>
      <c r="C734" s="1737"/>
      <c r="D734" s="1755"/>
      <c r="E734" s="1815"/>
      <c r="F734" s="1739"/>
      <c r="G734" s="1286"/>
    </row>
    <row r="735" spans="1:9" x14ac:dyDescent="0.25">
      <c r="A735" s="941"/>
      <c r="B735" s="2000" t="s">
        <v>26</v>
      </c>
      <c r="C735" s="2001"/>
      <c r="D735" s="2001"/>
      <c r="E735" s="2002"/>
      <c r="F735" s="1756"/>
      <c r="G735" s="1568" t="s">
        <v>1410</v>
      </c>
      <c r="I735" s="23">
        <f>F735</f>
        <v>0</v>
      </c>
    </row>
    <row r="736" spans="1:9" x14ac:dyDescent="0.25">
      <c r="A736" s="96"/>
      <c r="B736" s="96"/>
      <c r="C736" s="96"/>
      <c r="D736" s="96"/>
      <c r="E736" s="1816"/>
      <c r="F736" s="96"/>
      <c r="G736" s="96"/>
    </row>
    <row r="737" spans="1:7" x14ac:dyDescent="0.25">
      <c r="A737" s="1969" t="s">
        <v>516</v>
      </c>
      <c r="B737" s="1969"/>
      <c r="C737" s="1259" t="s">
        <v>27</v>
      </c>
      <c r="D737" s="1970" t="s">
        <v>1224</v>
      </c>
      <c r="E737" s="1970"/>
      <c r="F737" s="1970"/>
      <c r="G737" s="1259"/>
    </row>
    <row r="738" spans="1:7" x14ac:dyDescent="0.25">
      <c r="A738" s="1969" t="s">
        <v>28</v>
      </c>
      <c r="B738" s="1969"/>
      <c r="C738" s="1259"/>
      <c r="D738" s="1971" t="s">
        <v>2443</v>
      </c>
      <c r="E738" s="1971"/>
      <c r="F738" s="1971"/>
      <c r="G738" s="1259"/>
    </row>
    <row r="739" spans="1:7" x14ac:dyDescent="0.25">
      <c r="A739" s="1261"/>
      <c r="B739" s="1262"/>
      <c r="C739" s="1259"/>
      <c r="D739" s="1260"/>
      <c r="E739" s="1809"/>
      <c r="F739" s="948"/>
      <c r="G739" s="1259"/>
    </row>
    <row r="740" spans="1:7" x14ac:dyDescent="0.25">
      <c r="A740" s="1261"/>
      <c r="B740" s="1262"/>
      <c r="C740" s="1259"/>
      <c r="D740" s="1260"/>
      <c r="E740" s="1809"/>
      <c r="F740" s="948"/>
      <c r="G740" s="1259"/>
    </row>
    <row r="741" spans="1:7" x14ac:dyDescent="0.25">
      <c r="A741" s="1969"/>
      <c r="B741" s="1969"/>
      <c r="C741" s="1259"/>
      <c r="D741" s="1260"/>
      <c r="E741" s="1969"/>
      <c r="F741" s="1969"/>
      <c r="G741" s="1259"/>
    </row>
    <row r="742" spans="1:7" x14ac:dyDescent="0.25">
      <c r="A742" s="1969" t="s">
        <v>29</v>
      </c>
      <c r="B742" s="1969"/>
      <c r="C742" s="1259"/>
      <c r="D742" s="1969" t="s">
        <v>517</v>
      </c>
      <c r="E742" s="1969"/>
      <c r="F742" s="1969"/>
      <c r="G742" s="1259"/>
    </row>
    <row r="746" spans="1:7" x14ac:dyDescent="0.25">
      <c r="A746" s="1947" t="s">
        <v>0</v>
      </c>
      <c r="B746" s="1947"/>
      <c r="C746" s="1947"/>
      <c r="D746" s="1947"/>
      <c r="E746" s="1947"/>
      <c r="F746" s="1947"/>
      <c r="G746" s="1947"/>
    </row>
    <row r="747" spans="1:7" x14ac:dyDescent="0.25">
      <c r="A747" s="1947" t="s">
        <v>1</v>
      </c>
      <c r="B747" s="1947"/>
      <c r="C747" s="1947"/>
      <c r="D747" s="1947"/>
      <c r="E747" s="1947"/>
      <c r="F747" s="1947"/>
      <c r="G747" s="1947"/>
    </row>
    <row r="748" spans="1:7" x14ac:dyDescent="0.25">
      <c r="A748" s="1947" t="s">
        <v>2398</v>
      </c>
      <c r="B748" s="1947"/>
      <c r="C748" s="1947"/>
      <c r="D748" s="1947"/>
      <c r="E748" s="1947"/>
      <c r="F748" s="1947"/>
      <c r="G748" s="1947"/>
    </row>
    <row r="749" spans="1:7" x14ac:dyDescent="0.25">
      <c r="A749" s="148"/>
      <c r="B749" s="148"/>
      <c r="C749" s="148"/>
      <c r="D749" s="148"/>
      <c r="E749" s="1764"/>
      <c r="F749" s="148"/>
      <c r="G749" s="149"/>
    </row>
    <row r="750" spans="1:7" x14ac:dyDescent="0.25">
      <c r="A750" s="150" t="s">
        <v>236</v>
      </c>
      <c r="B750" s="151" t="s">
        <v>3</v>
      </c>
      <c r="C750" s="152"/>
      <c r="D750" s="153"/>
      <c r="E750" s="1765"/>
      <c r="F750" s="155"/>
      <c r="G750" s="152"/>
    </row>
    <row r="751" spans="1:7" ht="36.75" x14ac:dyDescent="0.25">
      <c r="A751" s="156" t="s">
        <v>237</v>
      </c>
      <c r="B751" s="151" t="s">
        <v>5</v>
      </c>
      <c r="C751" s="152"/>
      <c r="D751" s="153"/>
      <c r="E751" s="1772" t="s">
        <v>6</v>
      </c>
      <c r="F751" s="155"/>
      <c r="G751" s="152"/>
    </row>
    <row r="752" spans="1:7" ht="24.75" x14ac:dyDescent="0.25">
      <c r="A752" s="156" t="s">
        <v>7</v>
      </c>
      <c r="B752" s="151" t="s">
        <v>506</v>
      </c>
      <c r="C752" s="152"/>
      <c r="D752" s="153"/>
      <c r="E752" s="1766" t="s">
        <v>9</v>
      </c>
      <c r="F752" s="160"/>
      <c r="G752" s="152"/>
    </row>
    <row r="753" spans="1:14" x14ac:dyDescent="0.25">
      <c r="A753" s="185" t="s">
        <v>37</v>
      </c>
      <c r="B753" s="151" t="s">
        <v>1509</v>
      </c>
      <c r="C753" s="152"/>
      <c r="D753" s="153"/>
      <c r="E753" s="1765"/>
      <c r="F753" s="155"/>
      <c r="G753" s="152"/>
    </row>
    <row r="754" spans="1:14" x14ac:dyDescent="0.25">
      <c r="A754" s="156" t="s">
        <v>10</v>
      </c>
      <c r="B754" s="151"/>
      <c r="C754" s="152"/>
      <c r="D754" s="153"/>
      <c r="E754" s="1765"/>
      <c r="F754" s="155"/>
      <c r="G754" s="152"/>
    </row>
    <row r="755" spans="1:14" x14ac:dyDescent="0.25">
      <c r="A755" s="156"/>
      <c r="B755" s="151"/>
      <c r="C755" s="152"/>
      <c r="D755" s="153"/>
      <c r="E755" s="1765"/>
      <c r="F755" s="155"/>
      <c r="G755" s="152"/>
    </row>
    <row r="756" spans="1:14" x14ac:dyDescent="0.25">
      <c r="A756" s="161" t="s">
        <v>30</v>
      </c>
      <c r="B756" s="162" t="s">
        <v>31</v>
      </c>
      <c r="C756" s="1931" t="s">
        <v>12</v>
      </c>
      <c r="D756" s="1932"/>
      <c r="E756" s="1767" t="s">
        <v>32</v>
      </c>
      <c r="F756" s="163" t="s">
        <v>33</v>
      </c>
      <c r="G756" s="161" t="s">
        <v>34</v>
      </c>
    </row>
    <row r="757" spans="1:14" x14ac:dyDescent="0.25">
      <c r="A757" s="164">
        <v>1</v>
      </c>
      <c r="B757" s="164">
        <v>2</v>
      </c>
      <c r="C757" s="1943">
        <v>3</v>
      </c>
      <c r="D757" s="1943"/>
      <c r="E757" s="1768">
        <v>4</v>
      </c>
      <c r="F757" s="166">
        <v>5</v>
      </c>
      <c r="G757" s="166">
        <v>6</v>
      </c>
    </row>
    <row r="758" spans="1:14" x14ac:dyDescent="0.25">
      <c r="A758" s="167" t="s">
        <v>507</v>
      </c>
      <c r="B758" s="168" t="s">
        <v>16</v>
      </c>
      <c r="C758" s="169"/>
      <c r="D758" s="170"/>
      <c r="E758" s="1769"/>
      <c r="F758" s="172"/>
      <c r="G758" s="171"/>
    </row>
    <row r="759" spans="1:14" ht="27.75" customHeight="1" x14ac:dyDescent="0.25">
      <c r="A759" s="167" t="s">
        <v>508</v>
      </c>
      <c r="B759" s="168" t="s">
        <v>18</v>
      </c>
      <c r="C759" s="174"/>
      <c r="D759" s="175"/>
      <c r="E759" s="1769"/>
      <c r="F759" s="172"/>
      <c r="G759" s="171"/>
    </row>
    <row r="760" spans="1:14" ht="24" customHeight="1" x14ac:dyDescent="0.25">
      <c r="A760" s="176" t="s">
        <v>509</v>
      </c>
      <c r="B760" s="177" t="s">
        <v>20</v>
      </c>
      <c r="C760" s="178">
        <v>12</v>
      </c>
      <c r="D760" s="170" t="s">
        <v>510</v>
      </c>
      <c r="E760" s="389">
        <v>1500000</v>
      </c>
      <c r="F760" s="180">
        <f>C760*E760</f>
        <v>18000000</v>
      </c>
      <c r="G760" s="181"/>
    </row>
    <row r="761" spans="1:14" x14ac:dyDescent="0.25">
      <c r="A761" s="219"/>
      <c r="B761" s="177"/>
      <c r="C761" s="206"/>
      <c r="D761" s="207"/>
      <c r="E761" s="1787"/>
      <c r="F761" s="215"/>
      <c r="G761" s="181"/>
    </row>
    <row r="762" spans="1:14" x14ac:dyDescent="0.25">
      <c r="A762" s="181"/>
      <c r="B762" s="181"/>
      <c r="C762" s="206"/>
      <c r="D762" s="211"/>
      <c r="E762" s="389"/>
      <c r="F762" s="179"/>
      <c r="G762" s="181"/>
    </row>
    <row r="763" spans="1:14" ht="24.75" x14ac:dyDescent="0.25">
      <c r="A763" s="1948" t="s">
        <v>26</v>
      </c>
      <c r="B763" s="1949"/>
      <c r="C763" s="1949"/>
      <c r="D763" s="1949"/>
      <c r="E763" s="1950"/>
      <c r="F763" s="179">
        <f>F760</f>
        <v>18000000</v>
      </c>
      <c r="G763" s="177" t="s">
        <v>1773</v>
      </c>
      <c r="N763" s="27">
        <f>F763</f>
        <v>18000000</v>
      </c>
    </row>
    <row r="765" spans="1:14" x14ac:dyDescent="0.25">
      <c r="A765" s="1926" t="s">
        <v>516</v>
      </c>
      <c r="B765" s="1926"/>
      <c r="C765" s="152" t="s">
        <v>27</v>
      </c>
      <c r="D765" s="1926" t="s">
        <v>3654</v>
      </c>
      <c r="E765" s="1926"/>
      <c r="F765" s="1926"/>
      <c r="G765" s="152"/>
    </row>
    <row r="766" spans="1:14" x14ac:dyDescent="0.25">
      <c r="A766" s="1926" t="s">
        <v>28</v>
      </c>
      <c r="B766" s="1926"/>
      <c r="C766" s="152"/>
      <c r="D766" s="1927" t="s">
        <v>3382</v>
      </c>
      <c r="E766" s="1927"/>
      <c r="F766" s="1927"/>
      <c r="G766" s="152"/>
    </row>
    <row r="767" spans="1:14" x14ac:dyDescent="0.25">
      <c r="A767" s="150"/>
      <c r="B767" s="151"/>
      <c r="C767" s="152"/>
      <c r="D767" s="153"/>
      <c r="E767" s="1770"/>
      <c r="F767" s="182"/>
      <c r="G767" s="152"/>
    </row>
    <row r="768" spans="1:14" x14ac:dyDescent="0.25">
      <c r="A768" s="150"/>
      <c r="B768" s="151"/>
      <c r="C768" s="152"/>
      <c r="D768" s="153"/>
      <c r="E768" s="1770"/>
      <c r="F768" s="182"/>
      <c r="G768" s="152"/>
    </row>
    <row r="769" spans="1:7" x14ac:dyDescent="0.25">
      <c r="A769" s="1926"/>
      <c r="B769" s="1926"/>
      <c r="C769" s="152"/>
      <c r="D769" s="153"/>
      <c r="E769" s="1926"/>
      <c r="F769" s="1926"/>
      <c r="G769" s="152"/>
    </row>
    <row r="770" spans="1:7" x14ac:dyDescent="0.25">
      <c r="A770" s="1926" t="s">
        <v>29</v>
      </c>
      <c r="B770" s="1926"/>
      <c r="C770" s="152"/>
      <c r="D770" s="1926" t="s">
        <v>3383</v>
      </c>
      <c r="E770" s="1926"/>
      <c r="F770" s="1926"/>
      <c r="G770" s="152"/>
    </row>
    <row r="772" spans="1:7" x14ac:dyDescent="0.25">
      <c r="F772" s="23"/>
    </row>
    <row r="773" spans="1:7" x14ac:dyDescent="0.25">
      <c r="A773" s="1947" t="s">
        <v>0</v>
      </c>
      <c r="B773" s="1947"/>
      <c r="C773" s="1947"/>
      <c r="D773" s="1947"/>
      <c r="E773" s="1947"/>
      <c r="F773" s="1947"/>
      <c r="G773" s="1947"/>
    </row>
    <row r="774" spans="1:7" x14ac:dyDescent="0.25">
      <c r="A774" s="1947" t="s">
        <v>1</v>
      </c>
      <c r="B774" s="1947"/>
      <c r="C774" s="1947"/>
      <c r="D774" s="1947"/>
      <c r="E774" s="1947"/>
      <c r="F774" s="1947"/>
      <c r="G774" s="1947"/>
    </row>
    <row r="775" spans="1:7" x14ac:dyDescent="0.25">
      <c r="A775" s="1947" t="s">
        <v>2398</v>
      </c>
      <c r="B775" s="1947"/>
      <c r="C775" s="1947"/>
      <c r="D775" s="1947"/>
      <c r="E775" s="1947"/>
      <c r="F775" s="1947"/>
      <c r="G775" s="1947"/>
    </row>
    <row r="776" spans="1:7" x14ac:dyDescent="0.25">
      <c r="A776" s="148"/>
      <c r="B776" s="148"/>
      <c r="C776" s="148"/>
      <c r="D776" s="148"/>
      <c r="E776" s="1764"/>
      <c r="F776" s="148"/>
      <c r="G776" s="149"/>
    </row>
    <row r="777" spans="1:7" x14ac:dyDescent="0.25">
      <c r="A777" s="150" t="s">
        <v>236</v>
      </c>
      <c r="B777" s="151" t="s">
        <v>3</v>
      </c>
      <c r="C777" s="152"/>
      <c r="D777" s="153"/>
      <c r="E777" s="1765"/>
      <c r="F777" s="155"/>
      <c r="G777" s="152"/>
    </row>
    <row r="778" spans="1:7" ht="36.75" x14ac:dyDescent="0.25">
      <c r="A778" s="156" t="s">
        <v>237</v>
      </c>
      <c r="B778" s="151" t="s">
        <v>5</v>
      </c>
      <c r="C778" s="152"/>
      <c r="D778" s="153"/>
      <c r="E778" s="1772" t="s">
        <v>6</v>
      </c>
      <c r="F778" s="155"/>
      <c r="G778" s="152"/>
    </row>
    <row r="779" spans="1:7" ht="24.75" x14ac:dyDescent="0.25">
      <c r="A779" s="156" t="s">
        <v>7</v>
      </c>
      <c r="B779" s="151" t="s">
        <v>1225</v>
      </c>
      <c r="C779" s="152"/>
      <c r="D779" s="153"/>
      <c r="E779" s="1766" t="s">
        <v>9</v>
      </c>
      <c r="F779" s="160"/>
      <c r="G779" s="152"/>
    </row>
    <row r="780" spans="1:7" x14ac:dyDescent="0.25">
      <c r="A780" s="185" t="s">
        <v>37</v>
      </c>
      <c r="B780" s="151" t="s">
        <v>1509</v>
      </c>
      <c r="C780" s="152"/>
      <c r="D780" s="153"/>
      <c r="E780" s="1765"/>
      <c r="F780" s="155"/>
      <c r="G780" s="152"/>
    </row>
    <row r="781" spans="1:7" x14ac:dyDescent="0.25">
      <c r="A781" s="156" t="s">
        <v>10</v>
      </c>
      <c r="B781" s="151"/>
      <c r="C781" s="152"/>
      <c r="D781" s="153"/>
      <c r="E781" s="1765"/>
      <c r="F781" s="155"/>
      <c r="G781" s="152"/>
    </row>
    <row r="782" spans="1:7" x14ac:dyDescent="0.25">
      <c r="A782" s="156"/>
      <c r="B782" s="151"/>
      <c r="C782" s="152"/>
      <c r="D782" s="153"/>
      <c r="E782" s="1765"/>
      <c r="F782" s="155"/>
      <c r="G782" s="152"/>
    </row>
    <row r="783" spans="1:7" x14ac:dyDescent="0.25">
      <c r="A783" s="161" t="s">
        <v>30</v>
      </c>
      <c r="B783" s="162" t="s">
        <v>31</v>
      </c>
      <c r="C783" s="1931" t="s">
        <v>12</v>
      </c>
      <c r="D783" s="1932"/>
      <c r="E783" s="1767" t="s">
        <v>32</v>
      </c>
      <c r="F783" s="163" t="s">
        <v>33</v>
      </c>
      <c r="G783" s="161" t="s">
        <v>34</v>
      </c>
    </row>
    <row r="784" spans="1:7" x14ac:dyDescent="0.25">
      <c r="A784" s="164">
        <v>1</v>
      </c>
      <c r="B784" s="164">
        <v>2</v>
      </c>
      <c r="C784" s="1943">
        <v>3</v>
      </c>
      <c r="D784" s="1943"/>
      <c r="E784" s="1768">
        <v>4</v>
      </c>
      <c r="F784" s="166">
        <v>5</v>
      </c>
      <c r="G784" s="166">
        <v>6</v>
      </c>
    </row>
    <row r="785" spans="1:14" x14ac:dyDescent="0.25">
      <c r="A785" s="167" t="s">
        <v>2321</v>
      </c>
      <c r="B785" s="168" t="s">
        <v>16</v>
      </c>
      <c r="C785" s="169"/>
      <c r="D785" s="170"/>
      <c r="E785" s="1769"/>
      <c r="F785" s="172"/>
      <c r="G785" s="171"/>
    </row>
    <row r="786" spans="1:14" ht="24" x14ac:dyDescent="0.25">
      <c r="A786" s="167" t="s">
        <v>2322</v>
      </c>
      <c r="B786" s="168" t="s">
        <v>1774</v>
      </c>
      <c r="C786" s="174"/>
      <c r="D786" s="175"/>
      <c r="E786" s="1769"/>
      <c r="F786" s="172"/>
      <c r="G786" s="171"/>
    </row>
    <row r="787" spans="1:14" ht="24" x14ac:dyDescent="0.25">
      <c r="A787" s="176" t="s">
        <v>3415</v>
      </c>
      <c r="B787" s="168" t="s">
        <v>1774</v>
      </c>
      <c r="C787" s="174"/>
      <c r="D787" s="175"/>
      <c r="E787" s="1769"/>
      <c r="F787" s="172"/>
      <c r="G787" s="171"/>
    </row>
    <row r="788" spans="1:14" x14ac:dyDescent="0.25">
      <c r="A788" s="176"/>
      <c r="B788" s="177" t="s">
        <v>1226</v>
      </c>
      <c r="C788" s="178">
        <v>12</v>
      </c>
      <c r="D788" s="170" t="s">
        <v>510</v>
      </c>
      <c r="E788" s="389">
        <v>500000</v>
      </c>
      <c r="F788" s="180">
        <f>C788*E788</f>
        <v>6000000</v>
      </c>
      <c r="G788" s="181"/>
    </row>
    <row r="789" spans="1:14" x14ac:dyDescent="0.25">
      <c r="A789" s="176"/>
      <c r="B789" s="177" t="s">
        <v>1227</v>
      </c>
      <c r="C789" s="178">
        <v>36</v>
      </c>
      <c r="D789" s="170" t="s">
        <v>122</v>
      </c>
      <c r="E789" s="389">
        <v>300000</v>
      </c>
      <c r="F789" s="180">
        <f>C789*E789</f>
        <v>10800000</v>
      </c>
      <c r="G789" s="181"/>
    </row>
    <row r="790" spans="1:14" x14ac:dyDescent="0.25">
      <c r="A790" s="176"/>
      <c r="B790" s="177" t="s">
        <v>1228</v>
      </c>
      <c r="C790" s="178">
        <v>36</v>
      </c>
      <c r="D790" s="170" t="s">
        <v>122</v>
      </c>
      <c r="E790" s="389">
        <v>300000</v>
      </c>
      <c r="F790" s="180">
        <f>C790*E790</f>
        <v>10800000</v>
      </c>
      <c r="G790" s="181"/>
    </row>
    <row r="791" spans="1:14" x14ac:dyDescent="0.25">
      <c r="A791" s="176"/>
      <c r="B791" s="177" t="s">
        <v>1229</v>
      </c>
      <c r="C791" s="178">
        <v>96</v>
      </c>
      <c r="D791" s="170" t="s">
        <v>122</v>
      </c>
      <c r="E791" s="389">
        <v>300000</v>
      </c>
      <c r="F791" s="180">
        <f>C791*E791</f>
        <v>28800000</v>
      </c>
      <c r="G791" s="181"/>
    </row>
    <row r="792" spans="1:14" x14ac:dyDescent="0.25">
      <c r="A792" s="176"/>
      <c r="B792" s="177"/>
      <c r="C792" s="178"/>
      <c r="D792" s="170"/>
      <c r="E792" s="389"/>
      <c r="F792" s="180"/>
      <c r="G792" s="181"/>
    </row>
    <row r="793" spans="1:14" x14ac:dyDescent="0.25">
      <c r="A793" s="219"/>
      <c r="B793" s="177"/>
      <c r="C793" s="206"/>
      <c r="D793" s="207"/>
      <c r="E793" s="1787"/>
      <c r="F793" s="215"/>
      <c r="G793" s="181"/>
    </row>
    <row r="794" spans="1:14" x14ac:dyDescent="0.25">
      <c r="A794" s="181"/>
      <c r="B794" s="181"/>
      <c r="C794" s="206"/>
      <c r="D794" s="211"/>
      <c r="E794" s="389"/>
      <c r="F794" s="179"/>
      <c r="G794" s="181"/>
    </row>
    <row r="795" spans="1:14" ht="24.75" x14ac:dyDescent="0.25">
      <c r="A795" s="1948" t="s">
        <v>26</v>
      </c>
      <c r="B795" s="1949"/>
      <c r="C795" s="1949"/>
      <c r="D795" s="1949"/>
      <c r="E795" s="1950"/>
      <c r="F795" s="179">
        <f>SUM(F788:F794)</f>
        <v>56400000</v>
      </c>
      <c r="G795" s="177" t="s">
        <v>1773</v>
      </c>
      <c r="N795" s="27">
        <f>F795</f>
        <v>56400000</v>
      </c>
    </row>
    <row r="797" spans="1:14" x14ac:dyDescent="0.25">
      <c r="A797" s="1926" t="s">
        <v>516</v>
      </c>
      <c r="B797" s="1926"/>
      <c r="C797" s="152" t="s">
        <v>27</v>
      </c>
      <c r="D797" s="1926" t="s">
        <v>3654</v>
      </c>
      <c r="E797" s="1926"/>
      <c r="F797" s="1926"/>
      <c r="G797" s="152"/>
    </row>
    <row r="798" spans="1:14" x14ac:dyDescent="0.25">
      <c r="A798" s="1926" t="s">
        <v>28</v>
      </c>
      <c r="B798" s="1926"/>
      <c r="C798" s="152"/>
      <c r="D798" s="1927" t="s">
        <v>3382</v>
      </c>
      <c r="E798" s="1927"/>
      <c r="F798" s="1927"/>
      <c r="G798" s="152"/>
    </row>
    <row r="799" spans="1:14" x14ac:dyDescent="0.25">
      <c r="A799" s="150"/>
      <c r="B799" s="151"/>
      <c r="C799" s="152"/>
      <c r="D799" s="153"/>
      <c r="E799" s="1770"/>
      <c r="F799" s="182"/>
      <c r="G799" s="152"/>
    </row>
    <row r="800" spans="1:14" x14ac:dyDescent="0.25">
      <c r="A800" s="150"/>
      <c r="B800" s="151"/>
      <c r="C800" s="152"/>
      <c r="D800" s="153"/>
      <c r="E800" s="1770"/>
      <c r="F800" s="182"/>
      <c r="G800" s="152"/>
    </row>
    <row r="801" spans="1:7" x14ac:dyDescent="0.25">
      <c r="A801" s="1926"/>
      <c r="B801" s="1926"/>
      <c r="C801" s="152"/>
      <c r="D801" s="153"/>
      <c r="E801" s="1926"/>
      <c r="F801" s="1926"/>
      <c r="G801" s="152"/>
    </row>
    <row r="802" spans="1:7" x14ac:dyDescent="0.25">
      <c r="A802" s="1926" t="s">
        <v>29</v>
      </c>
      <c r="B802" s="1926"/>
      <c r="C802" s="152"/>
      <c r="D802" s="1926" t="s">
        <v>3383</v>
      </c>
      <c r="E802" s="1926"/>
      <c r="F802" s="1926"/>
      <c r="G802" s="152"/>
    </row>
    <row r="805" spans="1:7" x14ac:dyDescent="0.25">
      <c r="A805" s="1947" t="s">
        <v>0</v>
      </c>
      <c r="B805" s="1947"/>
      <c r="C805" s="1947"/>
      <c r="D805" s="1947"/>
      <c r="E805" s="1947"/>
      <c r="F805" s="1947"/>
      <c r="G805" s="1947"/>
    </row>
    <row r="806" spans="1:7" x14ac:dyDescent="0.25">
      <c r="A806" s="1947" t="s">
        <v>1</v>
      </c>
      <c r="B806" s="1947"/>
      <c r="C806" s="1947"/>
      <c r="D806" s="1947"/>
      <c r="E806" s="1947"/>
      <c r="F806" s="1947"/>
      <c r="G806" s="1947"/>
    </row>
    <row r="807" spans="1:7" x14ac:dyDescent="0.25">
      <c r="A807" s="1947" t="s">
        <v>2398</v>
      </c>
      <c r="B807" s="1947"/>
      <c r="C807" s="1947"/>
      <c r="D807" s="1947"/>
      <c r="E807" s="1947"/>
      <c r="F807" s="1947"/>
      <c r="G807" s="1947"/>
    </row>
    <row r="808" spans="1:7" x14ac:dyDescent="0.25">
      <c r="A808" s="148"/>
      <c r="B808" s="148"/>
      <c r="C808" s="148"/>
      <c r="D808" s="148"/>
      <c r="E808" s="1764"/>
      <c r="F808" s="148"/>
      <c r="G808" s="149"/>
    </row>
    <row r="809" spans="1:7" x14ac:dyDescent="0.25">
      <c r="A809" s="150" t="s">
        <v>236</v>
      </c>
      <c r="B809" s="151" t="s">
        <v>3</v>
      </c>
      <c r="C809" s="152"/>
      <c r="D809" s="153"/>
      <c r="E809" s="1772" t="s">
        <v>6</v>
      </c>
      <c r="F809" s="155"/>
      <c r="G809" s="152"/>
    </row>
    <row r="810" spans="1:7" x14ac:dyDescent="0.25">
      <c r="A810" s="156" t="s">
        <v>237</v>
      </c>
      <c r="B810" s="151" t="s">
        <v>393</v>
      </c>
      <c r="C810" s="152"/>
      <c r="D810" s="153"/>
      <c r="E810" s="1766" t="s">
        <v>9</v>
      </c>
      <c r="G810" s="152"/>
    </row>
    <row r="811" spans="1:7" ht="24.75" x14ac:dyDescent="0.25">
      <c r="A811" s="156" t="s">
        <v>7</v>
      </c>
      <c r="B811" s="151" t="s">
        <v>394</v>
      </c>
      <c r="C811" s="152"/>
      <c r="D811" s="153"/>
      <c r="E811" s="1766"/>
      <c r="G811" s="152"/>
    </row>
    <row r="812" spans="1:7" x14ac:dyDescent="0.25">
      <c r="A812" s="185" t="s">
        <v>395</v>
      </c>
      <c r="B812" s="151" t="s">
        <v>408</v>
      </c>
      <c r="C812" s="152"/>
      <c r="D812" s="153"/>
      <c r="E812" s="1766"/>
      <c r="F812" s="155"/>
      <c r="G812" s="152"/>
    </row>
    <row r="813" spans="1:7" x14ac:dyDescent="0.25">
      <c r="A813" s="156" t="s">
        <v>10</v>
      </c>
      <c r="B813" s="151"/>
      <c r="C813" s="152"/>
      <c r="D813" s="153"/>
      <c r="E813" s="1765"/>
      <c r="F813" s="155"/>
      <c r="G813" s="152"/>
    </row>
    <row r="814" spans="1:7" x14ac:dyDescent="0.25">
      <c r="A814" s="161" t="s">
        <v>30</v>
      </c>
      <c r="B814" s="162" t="s">
        <v>31</v>
      </c>
      <c r="C814" s="1931" t="s">
        <v>12</v>
      </c>
      <c r="D814" s="1932"/>
      <c r="E814" s="1767" t="s">
        <v>32</v>
      </c>
      <c r="F814" s="163" t="s">
        <v>33</v>
      </c>
      <c r="G814" s="161" t="s">
        <v>34</v>
      </c>
    </row>
    <row r="815" spans="1:7" x14ac:dyDescent="0.25">
      <c r="A815" s="164">
        <v>1</v>
      </c>
      <c r="B815" s="164">
        <v>2</v>
      </c>
      <c r="C815" s="1943">
        <v>3</v>
      </c>
      <c r="D815" s="1943"/>
      <c r="E815" s="1768">
        <v>4</v>
      </c>
      <c r="F815" s="166">
        <v>5</v>
      </c>
      <c r="G815" s="166">
        <v>6</v>
      </c>
    </row>
    <row r="816" spans="1:7" x14ac:dyDescent="0.25">
      <c r="A816" s="176" t="s">
        <v>396</v>
      </c>
      <c r="B816" s="201" t="s">
        <v>397</v>
      </c>
      <c r="C816" s="169"/>
      <c r="D816" s="170"/>
      <c r="E816" s="645"/>
      <c r="F816" s="326"/>
      <c r="G816" s="161"/>
    </row>
    <row r="817" spans="1:23" x14ac:dyDescent="0.25">
      <c r="A817" s="176" t="s">
        <v>2664</v>
      </c>
      <c r="B817" s="201" t="s">
        <v>2665</v>
      </c>
      <c r="C817" s="169"/>
      <c r="D817" s="170"/>
      <c r="E817" s="645"/>
      <c r="F817" s="326"/>
      <c r="G817" s="161"/>
    </row>
    <row r="818" spans="1:23" x14ac:dyDescent="0.25">
      <c r="A818" s="176" t="s">
        <v>2666</v>
      </c>
      <c r="B818" s="201" t="s">
        <v>2667</v>
      </c>
      <c r="C818" s="169"/>
      <c r="D818" s="170"/>
      <c r="E818" s="645"/>
      <c r="F818" s="326"/>
      <c r="G818" s="161"/>
    </row>
    <row r="819" spans="1:23" x14ac:dyDescent="0.25">
      <c r="A819" s="176"/>
      <c r="B819" s="201" t="s">
        <v>3531</v>
      </c>
      <c r="C819" s="169">
        <v>26</v>
      </c>
      <c r="D819" s="170" t="s">
        <v>213</v>
      </c>
      <c r="E819" s="537">
        <v>95000000</v>
      </c>
      <c r="F819" s="326">
        <f>E819*C819</f>
        <v>2470000000</v>
      </c>
      <c r="G819" s="177" t="s">
        <v>1506</v>
      </c>
      <c r="H819" t="s">
        <v>3432</v>
      </c>
      <c r="K819" s="23">
        <f>F819</f>
        <v>2470000000</v>
      </c>
    </row>
    <row r="820" spans="1:23" x14ac:dyDescent="0.25">
      <c r="A820" s="176"/>
      <c r="B820" s="201"/>
      <c r="C820" s="169"/>
      <c r="D820" s="170"/>
      <c r="E820" s="645"/>
      <c r="F820" s="326"/>
      <c r="G820" s="161"/>
    </row>
    <row r="821" spans="1:23" x14ac:dyDescent="0.25">
      <c r="A821" s="176"/>
      <c r="B821" s="201"/>
      <c r="C821" s="169"/>
      <c r="D821" s="170"/>
      <c r="E821" s="645"/>
      <c r="F821" s="326"/>
      <c r="G821" s="161"/>
    </row>
    <row r="822" spans="1:23" ht="24" x14ac:dyDescent="0.25">
      <c r="A822" s="176" t="s">
        <v>398</v>
      </c>
      <c r="B822" s="201" t="s">
        <v>399</v>
      </c>
      <c r="C822" s="169"/>
      <c r="D822" s="170"/>
      <c r="E822" s="645"/>
      <c r="F822" s="326"/>
      <c r="G822" s="161"/>
    </row>
    <row r="823" spans="1:23" ht="24" x14ac:dyDescent="0.25">
      <c r="A823" s="176" t="s">
        <v>400</v>
      </c>
      <c r="B823" s="201" t="s">
        <v>401</v>
      </c>
      <c r="C823" s="169"/>
      <c r="D823" s="170"/>
      <c r="E823" s="645"/>
      <c r="F823" s="326"/>
      <c r="G823" s="161"/>
    </row>
    <row r="824" spans="1:23" x14ac:dyDescent="0.25">
      <c r="A824" s="176"/>
      <c r="B824" s="201" t="s">
        <v>402</v>
      </c>
      <c r="C824" s="169">
        <v>1</v>
      </c>
      <c r="D824" s="170" t="s">
        <v>444</v>
      </c>
      <c r="E824" s="547">
        <v>300000</v>
      </c>
      <c r="F824" s="326">
        <f>E824*C824</f>
        <v>300000</v>
      </c>
      <c r="G824" s="177" t="s">
        <v>1506</v>
      </c>
      <c r="K824" s="23">
        <f>F824</f>
        <v>300000</v>
      </c>
    </row>
    <row r="825" spans="1:23" x14ac:dyDescent="0.25">
      <c r="A825" s="176"/>
      <c r="B825" s="201" t="s">
        <v>180</v>
      </c>
      <c r="C825" s="169">
        <v>1</v>
      </c>
      <c r="D825" s="170" t="s">
        <v>444</v>
      </c>
      <c r="E825" s="547">
        <v>250000</v>
      </c>
      <c r="F825" s="326">
        <f>E825*C825</f>
        <v>250000</v>
      </c>
      <c r="G825" s="177" t="s">
        <v>1506</v>
      </c>
      <c r="K825" s="23">
        <f t="shared" ref="K825:K826" si="22">F825</f>
        <v>250000</v>
      </c>
    </row>
    <row r="826" spans="1:23" x14ac:dyDescent="0.25">
      <c r="A826" s="176"/>
      <c r="B826" s="201" t="s">
        <v>331</v>
      </c>
      <c r="C826" s="169">
        <v>3</v>
      </c>
      <c r="D826" s="170" t="s">
        <v>444</v>
      </c>
      <c r="E826" s="547">
        <v>200000</v>
      </c>
      <c r="F826" s="326">
        <f>E826*C826</f>
        <v>600000</v>
      </c>
      <c r="G826" s="177" t="s">
        <v>1506</v>
      </c>
      <c r="K826" s="23">
        <f t="shared" si="22"/>
        <v>600000</v>
      </c>
    </row>
    <row r="827" spans="1:23" x14ac:dyDescent="0.25">
      <c r="A827" s="176"/>
      <c r="B827" s="201"/>
      <c r="C827" s="169"/>
      <c r="D827" s="170"/>
      <c r="E827" s="547"/>
      <c r="F827" s="326"/>
      <c r="G827" s="161"/>
    </row>
    <row r="828" spans="1:23" x14ac:dyDescent="0.25">
      <c r="A828" s="213"/>
      <c r="B828" s="1477"/>
      <c r="C828" s="327"/>
      <c r="D828" s="328"/>
      <c r="E828" s="1817"/>
      <c r="F828" s="215"/>
      <c r="G828" s="213"/>
    </row>
    <row r="829" spans="1:23" ht="24.75" x14ac:dyDescent="0.25">
      <c r="A829" s="176" t="s">
        <v>403</v>
      </c>
      <c r="B829" s="177" t="s">
        <v>404</v>
      </c>
      <c r="C829" s="206"/>
      <c r="D829" s="170"/>
      <c r="E829" s="1776"/>
      <c r="F829" s="324"/>
      <c r="G829" s="181"/>
    </row>
    <row r="830" spans="1:23" x14ac:dyDescent="0.25">
      <c r="A830" s="176"/>
      <c r="B830" s="177" t="s">
        <v>3414</v>
      </c>
      <c r="C830" s="206">
        <v>1</v>
      </c>
      <c r="D830" s="170" t="s">
        <v>110</v>
      </c>
      <c r="E830" s="388">
        <v>33228833</v>
      </c>
      <c r="F830" s="324">
        <f>E830*C830</f>
        <v>33228833</v>
      </c>
      <c r="G830" s="181" t="s">
        <v>1506</v>
      </c>
      <c r="H830" s="23"/>
      <c r="J830" s="139"/>
      <c r="K830" s="23">
        <f>F830</f>
        <v>33228833</v>
      </c>
    </row>
    <row r="831" spans="1:23" x14ac:dyDescent="0.25">
      <c r="A831" s="1576"/>
      <c r="B831" s="1580" t="s">
        <v>3381</v>
      </c>
      <c r="C831" s="1577">
        <v>1</v>
      </c>
      <c r="D831" s="1578" t="s">
        <v>110</v>
      </c>
      <c r="E831" s="1818">
        <v>2247000</v>
      </c>
      <c r="F831" s="1579">
        <f>E831*C831</f>
        <v>2247000</v>
      </c>
      <c r="G831" s="1580" t="s">
        <v>1223</v>
      </c>
      <c r="P831" s="23">
        <f>F831</f>
        <v>2247000</v>
      </c>
      <c r="W831" s="23"/>
    </row>
    <row r="832" spans="1:23" x14ac:dyDescent="0.25">
      <c r="A832" s="176"/>
      <c r="B832" s="742" t="s">
        <v>2464</v>
      </c>
      <c r="C832" s="178">
        <v>1</v>
      </c>
      <c r="D832" s="170" t="s">
        <v>220</v>
      </c>
      <c r="E832" s="388">
        <v>5034999</v>
      </c>
      <c r="F832" s="324">
        <f>E832*C832</f>
        <v>5034999</v>
      </c>
      <c r="G832" s="177" t="s">
        <v>1506</v>
      </c>
      <c r="H832" s="23"/>
      <c r="K832" s="23">
        <f>F832</f>
        <v>5034999</v>
      </c>
    </row>
    <row r="833" spans="1:25" ht="24.75" x14ac:dyDescent="0.25">
      <c r="A833" s="176"/>
      <c r="B833" s="177" t="s">
        <v>1776</v>
      </c>
      <c r="C833" s="178">
        <v>2</v>
      </c>
      <c r="D833" s="170" t="s">
        <v>110</v>
      </c>
      <c r="E833" s="389">
        <v>10625000</v>
      </c>
      <c r="F833" s="215">
        <f t="shared" ref="F833" si="23">E833*C833</f>
        <v>21250000</v>
      </c>
      <c r="G833" s="177" t="s">
        <v>3339</v>
      </c>
      <c r="K833" s="23"/>
      <c r="Y833" s="23">
        <f>F833</f>
        <v>21250000</v>
      </c>
    </row>
    <row r="834" spans="1:25" x14ac:dyDescent="0.25">
      <c r="A834" s="176"/>
      <c r="B834" s="177" t="s">
        <v>1778</v>
      </c>
      <c r="C834" s="178">
        <v>1</v>
      </c>
      <c r="D834" s="170" t="s">
        <v>110</v>
      </c>
      <c r="E834" s="389">
        <v>264000</v>
      </c>
      <c r="F834" s="215">
        <f>E834*C834</f>
        <v>264000</v>
      </c>
      <c r="G834" s="177" t="s">
        <v>1506</v>
      </c>
      <c r="K834" s="23">
        <f t="shared" ref="K834:K837" si="24">F834</f>
        <v>264000</v>
      </c>
    </row>
    <row r="835" spans="1:25" x14ac:dyDescent="0.25">
      <c r="A835" s="176"/>
      <c r="B835" s="177" t="s">
        <v>3328</v>
      </c>
      <c r="C835" s="178">
        <v>1</v>
      </c>
      <c r="D835" s="170" t="s">
        <v>110</v>
      </c>
      <c r="E835" s="389">
        <v>3000000</v>
      </c>
      <c r="F835" s="215">
        <f>E835*C835</f>
        <v>3000000</v>
      </c>
      <c r="G835" s="177" t="s">
        <v>1506</v>
      </c>
      <c r="K835" s="23">
        <f t="shared" si="24"/>
        <v>3000000</v>
      </c>
    </row>
    <row r="836" spans="1:25" x14ac:dyDescent="0.25">
      <c r="A836" s="176"/>
      <c r="B836" s="177" t="s">
        <v>3114</v>
      </c>
      <c r="C836" s="178">
        <v>2</v>
      </c>
      <c r="D836" s="170" t="s">
        <v>220</v>
      </c>
      <c r="E836" s="389">
        <v>3929000</v>
      </c>
      <c r="F836" s="215">
        <f>E836*C836</f>
        <v>7858000</v>
      </c>
      <c r="G836" s="177" t="s">
        <v>1223</v>
      </c>
      <c r="K836" s="23"/>
      <c r="P836" s="23">
        <f>F836</f>
        <v>7858000</v>
      </c>
      <c r="W836" s="23"/>
    </row>
    <row r="837" spans="1:25" x14ac:dyDescent="0.25">
      <c r="A837" s="176"/>
      <c r="B837" s="177" t="s">
        <v>1779</v>
      </c>
      <c r="C837" s="178">
        <v>2</v>
      </c>
      <c r="D837" s="170" t="s">
        <v>110</v>
      </c>
      <c r="E837" s="389">
        <v>4000000</v>
      </c>
      <c r="F837" s="215">
        <f>E837*C837</f>
        <v>8000000</v>
      </c>
      <c r="G837" s="177" t="s">
        <v>1506</v>
      </c>
      <c r="K837" s="23">
        <f t="shared" si="24"/>
        <v>8000000</v>
      </c>
    </row>
    <row r="838" spans="1:25" x14ac:dyDescent="0.25">
      <c r="A838" s="176" t="s">
        <v>3265</v>
      </c>
      <c r="B838" s="177" t="s">
        <v>3266</v>
      </c>
      <c r="C838" s="178"/>
      <c r="D838" s="170"/>
      <c r="E838" s="389"/>
      <c r="F838" s="215"/>
      <c r="G838" s="163"/>
      <c r="H838" s="27"/>
    </row>
    <row r="839" spans="1:25" ht="30" customHeight="1" x14ac:dyDescent="0.25">
      <c r="A839" s="176" t="s">
        <v>3268</v>
      </c>
      <c r="B839" s="410" t="s">
        <v>3267</v>
      </c>
      <c r="C839" s="178"/>
      <c r="D839" s="170"/>
      <c r="E839" s="389"/>
      <c r="F839" s="215"/>
      <c r="G839" s="163"/>
    </row>
    <row r="840" spans="1:25" x14ac:dyDescent="0.25">
      <c r="A840" s="176"/>
      <c r="B840" s="393" t="s">
        <v>3269</v>
      </c>
      <c r="C840" s="178">
        <v>1</v>
      </c>
      <c r="D840" s="170" t="s">
        <v>220</v>
      </c>
      <c r="E840" s="389">
        <v>658800000</v>
      </c>
      <c r="F840" s="215">
        <f>E840*C840</f>
        <v>658800000</v>
      </c>
      <c r="G840" s="177" t="s">
        <v>1506</v>
      </c>
      <c r="K840" s="23">
        <f>F840</f>
        <v>658800000</v>
      </c>
    </row>
    <row r="841" spans="1:25" ht="24.75" x14ac:dyDescent="0.25">
      <c r="A841" s="176" t="s">
        <v>405</v>
      </c>
      <c r="B841" s="177" t="s">
        <v>406</v>
      </c>
      <c r="C841" s="178"/>
      <c r="D841" s="170"/>
      <c r="E841" s="1787"/>
      <c r="F841" s="215"/>
      <c r="G841" s="163"/>
    </row>
    <row r="842" spans="1:25" x14ac:dyDescent="0.25">
      <c r="A842" s="176"/>
      <c r="B842" s="177" t="s">
        <v>3577</v>
      </c>
      <c r="C842" s="178">
        <v>1</v>
      </c>
      <c r="D842" s="170" t="s">
        <v>110</v>
      </c>
      <c r="E842" s="1787">
        <v>22775167</v>
      </c>
      <c r="F842" s="215">
        <f>E842*C842</f>
        <v>22775167</v>
      </c>
      <c r="G842" s="163" t="s">
        <v>1220</v>
      </c>
      <c r="J842" s="23">
        <f>F842</f>
        <v>22775167</v>
      </c>
    </row>
    <row r="843" spans="1:25" x14ac:dyDescent="0.25">
      <c r="A843" s="176"/>
      <c r="B843" s="177" t="s">
        <v>3291</v>
      </c>
      <c r="C843" s="178">
        <v>1</v>
      </c>
      <c r="D843" s="170" t="s">
        <v>110</v>
      </c>
      <c r="E843" s="1787">
        <v>1000000</v>
      </c>
      <c r="F843" s="215">
        <f t="shared" ref="F843:F846" si="25">E843*C843</f>
        <v>1000000</v>
      </c>
      <c r="G843" s="177" t="s">
        <v>1506</v>
      </c>
      <c r="K843" s="23">
        <f>F843</f>
        <v>1000000</v>
      </c>
    </row>
    <row r="844" spans="1:25" ht="24.75" x14ac:dyDescent="0.25">
      <c r="A844" s="176"/>
      <c r="B844" s="177" t="s">
        <v>3292</v>
      </c>
      <c r="C844" s="178">
        <v>2</v>
      </c>
      <c r="D844" s="170" t="s">
        <v>220</v>
      </c>
      <c r="E844" s="1787">
        <v>2500000</v>
      </c>
      <c r="F844" s="215">
        <f t="shared" si="25"/>
        <v>5000000</v>
      </c>
      <c r="G844" s="177" t="s">
        <v>1506</v>
      </c>
      <c r="K844" s="23">
        <f t="shared" ref="K844:K846" si="26">F844</f>
        <v>5000000</v>
      </c>
    </row>
    <row r="845" spans="1:25" x14ac:dyDescent="0.25">
      <c r="A845" s="176"/>
      <c r="B845" s="177" t="s">
        <v>2166</v>
      </c>
      <c r="C845" s="178">
        <v>2</v>
      </c>
      <c r="D845" s="170" t="s">
        <v>110</v>
      </c>
      <c r="E845" s="1787">
        <v>1000000</v>
      </c>
      <c r="F845" s="215">
        <f t="shared" si="25"/>
        <v>2000000</v>
      </c>
      <c r="G845" s="177" t="s">
        <v>1506</v>
      </c>
      <c r="K845" s="23">
        <f t="shared" si="26"/>
        <v>2000000</v>
      </c>
    </row>
    <row r="846" spans="1:25" x14ac:dyDescent="0.25">
      <c r="A846" s="176"/>
      <c r="B846" s="177" t="s">
        <v>1795</v>
      </c>
      <c r="C846" s="178">
        <v>1</v>
      </c>
      <c r="D846" s="170" t="s">
        <v>220</v>
      </c>
      <c r="E846" s="1787">
        <v>1500000</v>
      </c>
      <c r="F846" s="215">
        <f t="shared" si="25"/>
        <v>1500000</v>
      </c>
      <c r="G846" s="177" t="s">
        <v>1506</v>
      </c>
      <c r="K846" s="23">
        <f t="shared" si="26"/>
        <v>1500000</v>
      </c>
    </row>
    <row r="847" spans="1:25" x14ac:dyDescent="0.25">
      <c r="A847" s="176"/>
      <c r="B847" s="177"/>
      <c r="C847" s="178"/>
      <c r="D847" s="170"/>
      <c r="E847" s="1787"/>
      <c r="F847" s="215"/>
      <c r="G847" s="163"/>
    </row>
    <row r="848" spans="1:25" x14ac:dyDescent="0.25">
      <c r="A848" s="1990" t="s">
        <v>26</v>
      </c>
      <c r="B848" s="1990"/>
      <c r="C848" s="1990"/>
      <c r="D848" s="1990"/>
      <c r="E848" s="1990"/>
      <c r="F848" s="215">
        <f>SUM(F816:F846)</f>
        <v>3243107999</v>
      </c>
      <c r="G848" s="177"/>
      <c r="K848" s="23"/>
    </row>
    <row r="849" spans="1:7" x14ac:dyDescent="0.25">
      <c r="A849" s="1926" t="s">
        <v>516</v>
      </c>
      <c r="B849" s="1926"/>
      <c r="C849" s="152" t="s">
        <v>27</v>
      </c>
      <c r="D849" s="1926" t="s">
        <v>3654</v>
      </c>
      <c r="E849" s="1926"/>
      <c r="F849" s="1926"/>
      <c r="G849" s="152"/>
    </row>
    <row r="850" spans="1:7" x14ac:dyDescent="0.25">
      <c r="A850" s="1926" t="s">
        <v>28</v>
      </c>
      <c r="B850" s="1926"/>
      <c r="C850" s="152"/>
      <c r="D850" s="1927" t="s">
        <v>3382</v>
      </c>
      <c r="E850" s="1927"/>
      <c r="F850" s="1927"/>
      <c r="G850" s="152"/>
    </row>
    <row r="851" spans="1:7" x14ac:dyDescent="0.25">
      <c r="A851" s="150"/>
      <c r="B851" s="151"/>
      <c r="C851" s="152"/>
      <c r="D851" s="153"/>
      <c r="E851" s="1770"/>
      <c r="F851" s="182"/>
      <c r="G851" s="152"/>
    </row>
    <row r="852" spans="1:7" x14ac:dyDescent="0.25">
      <c r="A852" s="150"/>
      <c r="B852" s="151"/>
      <c r="C852" s="152"/>
      <c r="D852" s="153"/>
      <c r="E852" s="1770"/>
      <c r="F852" s="182"/>
      <c r="G852" s="152"/>
    </row>
    <row r="853" spans="1:7" x14ac:dyDescent="0.25">
      <c r="A853" s="1926"/>
      <c r="B853" s="1926"/>
      <c r="C853" s="152"/>
      <c r="D853" s="153"/>
      <c r="E853" s="1926"/>
      <c r="F853" s="1926"/>
      <c r="G853" s="152"/>
    </row>
    <row r="854" spans="1:7" x14ac:dyDescent="0.25">
      <c r="A854" s="1926" t="s">
        <v>29</v>
      </c>
      <c r="B854" s="1926"/>
      <c r="C854" s="152"/>
      <c r="D854" s="1926" t="s">
        <v>3383</v>
      </c>
      <c r="E854" s="1926"/>
      <c r="F854" s="1926"/>
      <c r="G854" s="152"/>
    </row>
    <row r="856" spans="1:7" x14ac:dyDescent="0.25">
      <c r="A856" s="1928" t="s">
        <v>1285</v>
      </c>
      <c r="B856" s="1928"/>
      <c r="C856" s="1928"/>
      <c r="D856" s="1928"/>
      <c r="E856" s="1928"/>
      <c r="F856" s="1928"/>
      <c r="G856" s="1928"/>
    </row>
    <row r="857" spans="1:7" x14ac:dyDescent="0.25">
      <c r="A857" s="1928" t="s">
        <v>1</v>
      </c>
      <c r="B857" s="1928"/>
      <c r="C857" s="1928"/>
      <c r="D857" s="1928"/>
      <c r="E857" s="1928"/>
      <c r="F857" s="1928"/>
      <c r="G857" s="1928"/>
    </row>
    <row r="858" spans="1:7" x14ac:dyDescent="0.25">
      <c r="A858" s="1928" t="s">
        <v>2398</v>
      </c>
      <c r="B858" s="1928"/>
      <c r="C858" s="1928"/>
      <c r="D858" s="1928"/>
      <c r="E858" s="1928"/>
      <c r="F858" s="1928"/>
      <c r="G858" s="1928"/>
    </row>
    <row r="859" spans="1:7" x14ac:dyDescent="0.25">
      <c r="A859" s="329"/>
      <c r="B859" s="330"/>
      <c r="C859" s="331"/>
      <c r="D859" s="331"/>
      <c r="E859" s="1819"/>
      <c r="F859" s="332"/>
      <c r="G859" s="332"/>
    </row>
    <row r="860" spans="1:7" x14ac:dyDescent="0.25">
      <c r="A860" s="332" t="s">
        <v>1263</v>
      </c>
      <c r="B860" s="333"/>
      <c r="C860" s="334"/>
      <c r="D860" s="334"/>
      <c r="E860" s="1820"/>
      <c r="F860" s="335"/>
      <c r="G860" s="332"/>
    </row>
    <row r="861" spans="1:7" ht="30" x14ac:dyDescent="0.25">
      <c r="A861" s="1041" t="s">
        <v>659</v>
      </c>
      <c r="B861" s="745" t="s">
        <v>2945</v>
      </c>
      <c r="C861" s="334"/>
      <c r="D861" s="334"/>
      <c r="E861" s="1821" t="s">
        <v>1264</v>
      </c>
      <c r="F861" s="335"/>
      <c r="G861" s="332"/>
    </row>
    <row r="862" spans="1:7" ht="30" x14ac:dyDescent="0.25">
      <c r="A862" s="338" t="s">
        <v>685</v>
      </c>
      <c r="B862" s="339" t="s">
        <v>2946</v>
      </c>
      <c r="C862" s="334"/>
      <c r="D862" s="334"/>
      <c r="E862" s="1821" t="s">
        <v>1265</v>
      </c>
      <c r="F862" s="335"/>
      <c r="G862" s="336"/>
    </row>
    <row r="863" spans="1:7" ht="60" x14ac:dyDescent="0.25">
      <c r="A863" s="338" t="s">
        <v>1266</v>
      </c>
      <c r="B863" s="339" t="s">
        <v>2947</v>
      </c>
      <c r="C863" s="334"/>
      <c r="D863" s="334"/>
      <c r="E863" s="1820"/>
      <c r="F863" s="335"/>
      <c r="G863" s="336"/>
    </row>
    <row r="864" spans="1:7" x14ac:dyDescent="0.25">
      <c r="A864" s="332" t="s">
        <v>1267</v>
      </c>
      <c r="B864" s="333" t="s">
        <v>60</v>
      </c>
      <c r="C864" s="334"/>
      <c r="D864" s="334"/>
      <c r="E864" s="1819"/>
      <c r="F864" s="332"/>
      <c r="G864" s="332"/>
    </row>
    <row r="865" spans="1:7" x14ac:dyDescent="0.25">
      <c r="A865" s="336" t="s">
        <v>61</v>
      </c>
      <c r="B865" s="337" t="s">
        <v>62</v>
      </c>
      <c r="C865" s="334"/>
      <c r="D865" s="334"/>
      <c r="E865" s="1819"/>
      <c r="F865" s="336"/>
      <c r="G865" s="336"/>
    </row>
    <row r="866" spans="1:7" x14ac:dyDescent="0.25">
      <c r="A866" s="340"/>
      <c r="B866" s="341"/>
      <c r="C866" s="342"/>
      <c r="D866" s="342"/>
      <c r="E866" s="1764"/>
      <c r="F866" s="340"/>
      <c r="G866" s="340"/>
    </row>
    <row r="867" spans="1:7" x14ac:dyDescent="0.25">
      <c r="A867" s="343" t="s">
        <v>30</v>
      </c>
      <c r="B867" s="343" t="s">
        <v>11</v>
      </c>
      <c r="C867" s="1929" t="s">
        <v>12</v>
      </c>
      <c r="D867" s="1930"/>
      <c r="E867" s="1822" t="s">
        <v>13</v>
      </c>
      <c r="F867" s="344" t="s">
        <v>14</v>
      </c>
      <c r="G867" s="345" t="s">
        <v>256</v>
      </c>
    </row>
    <row r="868" spans="1:7" x14ac:dyDescent="0.25">
      <c r="A868" s="161">
        <v>1</v>
      </c>
      <c r="B868" s="162">
        <v>2</v>
      </c>
      <c r="C868" s="1931">
        <v>3</v>
      </c>
      <c r="D868" s="1932"/>
      <c r="E868" s="1823">
        <v>4</v>
      </c>
      <c r="F868" s="169">
        <v>5</v>
      </c>
      <c r="G868" s="166">
        <v>7</v>
      </c>
    </row>
    <row r="869" spans="1:7" x14ac:dyDescent="0.25">
      <c r="A869" s="346" t="s">
        <v>1703</v>
      </c>
      <c r="B869" s="122" t="s">
        <v>1284</v>
      </c>
      <c r="C869" s="123"/>
      <c r="D869" s="124"/>
      <c r="E869" s="537"/>
      <c r="F869" s="126"/>
      <c r="G869" s="166"/>
    </row>
    <row r="870" spans="1:7" x14ac:dyDescent="0.25">
      <c r="A870" s="346" t="s">
        <v>1704</v>
      </c>
      <c r="B870" s="122" t="s">
        <v>2973</v>
      </c>
      <c r="C870" s="123"/>
      <c r="D870" s="124"/>
      <c r="E870" s="537"/>
      <c r="F870" s="126"/>
      <c r="G870" s="166"/>
    </row>
    <row r="871" spans="1:7" ht="24" x14ac:dyDescent="0.25">
      <c r="A871" s="346" t="s">
        <v>1705</v>
      </c>
      <c r="B871" s="122" t="s">
        <v>1279</v>
      </c>
      <c r="C871" s="347"/>
      <c r="D871" s="124"/>
      <c r="E871" s="537"/>
      <c r="F871" s="126"/>
      <c r="G871" s="166"/>
    </row>
    <row r="872" spans="1:7" ht="15.75" thickBot="1" x14ac:dyDescent="0.3">
      <c r="A872" s="220"/>
      <c r="B872" s="127" t="s">
        <v>1660</v>
      </c>
      <c r="C872" s="347">
        <v>1</v>
      </c>
      <c r="D872" s="124" t="s">
        <v>444</v>
      </c>
      <c r="E872" s="537">
        <v>536000</v>
      </c>
      <c r="F872" s="126">
        <f>E872*C872</f>
        <v>536000</v>
      </c>
      <c r="G872" s="166"/>
    </row>
    <row r="873" spans="1:7" ht="15.75" thickBot="1" x14ac:dyDescent="0.3">
      <c r="A873" s="171"/>
      <c r="B873" s="1933" t="s">
        <v>515</v>
      </c>
      <c r="C873" s="1934"/>
      <c r="D873" s="1934"/>
      <c r="E873" s="1935"/>
      <c r="F873" s="132">
        <f>SUM(F872:F872)</f>
        <v>536000</v>
      </c>
      <c r="G873" s="166"/>
    </row>
    <row r="874" spans="1:7" x14ac:dyDescent="0.25">
      <c r="A874" s="346" t="s">
        <v>1706</v>
      </c>
      <c r="B874" s="349" t="s">
        <v>1268</v>
      </c>
      <c r="C874" s="174"/>
      <c r="D874" s="175"/>
      <c r="E874" s="1769"/>
      <c r="F874" s="133"/>
      <c r="G874" s="166"/>
    </row>
    <row r="875" spans="1:7" x14ac:dyDescent="0.25">
      <c r="A875" s="346"/>
      <c r="B875" s="350" t="s">
        <v>1269</v>
      </c>
      <c r="C875" s="169">
        <v>16</v>
      </c>
      <c r="D875" s="170" t="s">
        <v>392</v>
      </c>
      <c r="E875" s="537">
        <v>150000</v>
      </c>
      <c r="F875" s="126">
        <f>E875*C875</f>
        <v>2400000</v>
      </c>
      <c r="G875" s="166"/>
    </row>
    <row r="876" spans="1:7" ht="15.75" thickBot="1" x14ac:dyDescent="0.3">
      <c r="A876" s="346"/>
      <c r="B876" s="351" t="s">
        <v>1270</v>
      </c>
      <c r="C876" s="352">
        <v>48</v>
      </c>
      <c r="D876" s="199" t="s">
        <v>392</v>
      </c>
      <c r="E876" s="1824">
        <v>120000</v>
      </c>
      <c r="F876" s="131">
        <f>E876*C876</f>
        <v>5760000</v>
      </c>
      <c r="G876" s="166"/>
    </row>
    <row r="877" spans="1:7" ht="15.75" thickBot="1" x14ac:dyDescent="0.3">
      <c r="A877" s="353"/>
      <c r="B877" s="1936" t="s">
        <v>515</v>
      </c>
      <c r="C877" s="1937"/>
      <c r="D877" s="1937"/>
      <c r="E877" s="1938"/>
      <c r="F877" s="132">
        <f>SUM(F875:F876)</f>
        <v>8160000</v>
      </c>
      <c r="G877" s="354"/>
    </row>
    <row r="878" spans="1:7" x14ac:dyDescent="0.25">
      <c r="A878" s="346" t="s">
        <v>1707</v>
      </c>
      <c r="B878" s="316" t="s">
        <v>1271</v>
      </c>
      <c r="C878" s="1560"/>
      <c r="D878" s="1561"/>
      <c r="E878" s="1769"/>
      <c r="F878" s="133"/>
      <c r="G878" s="166"/>
    </row>
    <row r="879" spans="1:7" x14ac:dyDescent="0.25">
      <c r="A879" s="174"/>
      <c r="B879" s="1558" t="s">
        <v>2948</v>
      </c>
      <c r="C879" s="858">
        <v>46</v>
      </c>
      <c r="D879" s="1562" t="s">
        <v>1275</v>
      </c>
      <c r="E879" s="389">
        <v>191000</v>
      </c>
      <c r="F879" s="126">
        <f>E879*C879</f>
        <v>8786000</v>
      </c>
      <c r="G879" s="166"/>
    </row>
    <row r="880" spans="1:7" x14ac:dyDescent="0.25">
      <c r="A880" s="174"/>
      <c r="B880" s="1558" t="s">
        <v>2949</v>
      </c>
      <c r="C880" s="858">
        <v>399</v>
      </c>
      <c r="D880" s="1562" t="s">
        <v>154</v>
      </c>
      <c r="E880" s="389">
        <v>3000</v>
      </c>
      <c r="F880" s="126">
        <f t="shared" ref="F880:F883" si="27">E880*C880</f>
        <v>1197000</v>
      </c>
      <c r="G880" s="166"/>
    </row>
    <row r="881" spans="1:16" ht="17.25" x14ac:dyDescent="0.25">
      <c r="A881" s="353"/>
      <c r="B881" s="1558" t="s">
        <v>2950</v>
      </c>
      <c r="C881" s="858">
        <v>2</v>
      </c>
      <c r="D881" s="1563" t="s">
        <v>2951</v>
      </c>
      <c r="E881" s="537">
        <v>230000</v>
      </c>
      <c r="F881" s="131">
        <f>E881*C881</f>
        <v>460000</v>
      </c>
      <c r="G881" s="166"/>
    </row>
    <row r="882" spans="1:16" x14ac:dyDescent="0.25">
      <c r="A882" s="1045"/>
      <c r="B882" s="1558" t="s">
        <v>2952</v>
      </c>
      <c r="C882" s="858">
        <v>84</v>
      </c>
      <c r="D882" s="1562" t="s">
        <v>154</v>
      </c>
      <c r="E882" s="537">
        <v>16000</v>
      </c>
      <c r="F882" s="131">
        <f t="shared" si="27"/>
        <v>1344000</v>
      </c>
      <c r="G882" s="166"/>
    </row>
    <row r="883" spans="1:16" x14ac:dyDescent="0.25">
      <c r="A883" s="1045"/>
      <c r="B883" s="1558" t="s">
        <v>1276</v>
      </c>
      <c r="C883" s="858">
        <v>1</v>
      </c>
      <c r="D883" s="1562" t="s">
        <v>106</v>
      </c>
      <c r="E883" s="537">
        <v>250000</v>
      </c>
      <c r="F883" s="131">
        <f t="shared" si="27"/>
        <v>250000</v>
      </c>
      <c r="G883" s="354"/>
    </row>
    <row r="884" spans="1:16" x14ac:dyDescent="0.25">
      <c r="A884" s="174"/>
      <c r="B884" s="1559" t="s">
        <v>2953</v>
      </c>
      <c r="C884" s="858">
        <v>1</v>
      </c>
      <c r="D884" s="1562" t="s">
        <v>154</v>
      </c>
      <c r="E884" s="389">
        <v>22000</v>
      </c>
      <c r="F884" s="126">
        <f>E884*C884</f>
        <v>22000</v>
      </c>
      <c r="G884" s="166"/>
    </row>
    <row r="885" spans="1:16" x14ac:dyDescent="0.25">
      <c r="A885" s="174"/>
      <c r="B885" s="1559" t="s">
        <v>2954</v>
      </c>
      <c r="C885" s="858">
        <v>1</v>
      </c>
      <c r="D885" s="1562" t="s">
        <v>154</v>
      </c>
      <c r="E885" s="389">
        <v>38000</v>
      </c>
      <c r="F885" s="126">
        <f t="shared" ref="F885:F888" si="28">E885*C885</f>
        <v>38000</v>
      </c>
      <c r="G885" s="166"/>
    </row>
    <row r="886" spans="1:16" x14ac:dyDescent="0.25">
      <c r="A886" s="174"/>
      <c r="B886" s="1559" t="s">
        <v>2955</v>
      </c>
      <c r="C886" s="858">
        <v>2</v>
      </c>
      <c r="D886" s="1562" t="s">
        <v>104</v>
      </c>
      <c r="E886" s="389">
        <v>18000</v>
      </c>
      <c r="F886" s="126">
        <f t="shared" si="28"/>
        <v>36000</v>
      </c>
      <c r="G886" s="166"/>
    </row>
    <row r="887" spans="1:16" x14ac:dyDescent="0.25">
      <c r="A887" s="353"/>
      <c r="B887" s="1559" t="s">
        <v>2403</v>
      </c>
      <c r="C887" s="858">
        <v>1</v>
      </c>
      <c r="D887" s="1562" t="s">
        <v>391</v>
      </c>
      <c r="E887" s="537">
        <v>19000</v>
      </c>
      <c r="F887" s="126">
        <f t="shared" si="28"/>
        <v>19000</v>
      </c>
      <c r="G887" s="166"/>
    </row>
    <row r="888" spans="1:16" x14ac:dyDescent="0.25">
      <c r="A888" s="1045"/>
      <c r="B888" s="1559" t="s">
        <v>2956</v>
      </c>
      <c r="C888" s="858">
        <v>1</v>
      </c>
      <c r="D888" s="1562" t="s">
        <v>391</v>
      </c>
      <c r="E888" s="537">
        <v>20000</v>
      </c>
      <c r="F888" s="126">
        <f t="shared" si="28"/>
        <v>20000</v>
      </c>
      <c r="G888" s="166"/>
    </row>
    <row r="889" spans="1:16" x14ac:dyDescent="0.25">
      <c r="A889" s="174"/>
      <c r="B889" s="1559" t="s">
        <v>2957</v>
      </c>
      <c r="C889" s="858">
        <v>1</v>
      </c>
      <c r="D889" s="1562" t="s">
        <v>106</v>
      </c>
      <c r="E889" s="389">
        <v>5500000</v>
      </c>
      <c r="F889" s="126">
        <f>E889*C889</f>
        <v>5500000</v>
      </c>
      <c r="G889" s="166"/>
    </row>
    <row r="890" spans="1:16" x14ac:dyDescent="0.25">
      <c r="A890" s="174"/>
      <c r="B890" s="1559" t="s">
        <v>2958</v>
      </c>
      <c r="C890" s="858">
        <v>1</v>
      </c>
      <c r="D890" s="1562" t="s">
        <v>106</v>
      </c>
      <c r="E890" s="389">
        <v>852000</v>
      </c>
      <c r="F890" s="126">
        <f t="shared" ref="F890:F891" si="29">E890*C890</f>
        <v>852000</v>
      </c>
      <c r="G890" s="166"/>
    </row>
    <row r="891" spans="1:16" ht="15.75" thickBot="1" x14ac:dyDescent="0.3">
      <c r="A891" s="174"/>
      <c r="B891" s="1559" t="s">
        <v>2959</v>
      </c>
      <c r="C891" s="858">
        <v>1</v>
      </c>
      <c r="D891" s="1562" t="s">
        <v>171</v>
      </c>
      <c r="E891" s="389">
        <v>139000</v>
      </c>
      <c r="F891" s="126">
        <f t="shared" si="29"/>
        <v>139000</v>
      </c>
      <c r="G891" s="166"/>
    </row>
    <row r="892" spans="1:16" ht="15.75" thickBot="1" x14ac:dyDescent="0.3">
      <c r="A892" s="174"/>
      <c r="B892" s="1939" t="s">
        <v>515</v>
      </c>
      <c r="C892" s="1940"/>
      <c r="D892" s="1940"/>
      <c r="E892" s="1941"/>
      <c r="F892" s="132">
        <f>SUM(F879:F891)</f>
        <v>18663000</v>
      </c>
      <c r="G892" s="354"/>
    </row>
    <row r="893" spans="1:16" ht="15.75" thickBot="1" x14ac:dyDescent="0.3">
      <c r="A893" s="174"/>
      <c r="B893" s="1933" t="s">
        <v>26</v>
      </c>
      <c r="C893" s="1934"/>
      <c r="D893" s="1934"/>
      <c r="E893" s="1935"/>
      <c r="F893" s="132">
        <f>F892+F877+F873</f>
        <v>27359000</v>
      </c>
      <c r="G893" s="1148" t="s">
        <v>1223</v>
      </c>
      <c r="K893" s="139"/>
      <c r="P893" s="139">
        <f>F893</f>
        <v>27359000</v>
      </c>
    </row>
    <row r="894" spans="1:16" x14ac:dyDescent="0.25">
      <c r="A894" s="1926" t="s">
        <v>516</v>
      </c>
      <c r="B894" s="1926"/>
      <c r="C894" s="152" t="s">
        <v>27</v>
      </c>
      <c r="D894" s="1926" t="s">
        <v>3654</v>
      </c>
      <c r="E894" s="1926"/>
      <c r="F894" s="1926"/>
      <c r="G894" s="152"/>
    </row>
    <row r="895" spans="1:16" x14ac:dyDescent="0.25">
      <c r="A895" s="1926" t="s">
        <v>28</v>
      </c>
      <c r="B895" s="1926"/>
      <c r="C895" s="152"/>
      <c r="D895" s="1927" t="s">
        <v>3565</v>
      </c>
      <c r="E895" s="1927"/>
      <c r="F895" s="1927"/>
      <c r="G895" s="152"/>
    </row>
    <row r="896" spans="1:16" x14ac:dyDescent="0.25">
      <c r="A896" s="150"/>
      <c r="B896" s="151"/>
      <c r="C896" s="152"/>
      <c r="D896" s="153"/>
      <c r="E896" s="1770"/>
      <c r="F896" s="182"/>
      <c r="G896" s="152"/>
    </row>
    <row r="897" spans="1:7" x14ac:dyDescent="0.25">
      <c r="A897" s="150"/>
      <c r="B897" s="151"/>
      <c r="C897" s="152"/>
      <c r="D897" s="153"/>
      <c r="E897" s="1770"/>
      <c r="F897" s="182"/>
      <c r="G897" s="152"/>
    </row>
    <row r="898" spans="1:7" x14ac:dyDescent="0.25">
      <c r="A898" s="1926"/>
      <c r="B898" s="1926"/>
      <c r="C898" s="152"/>
      <c r="D898" s="153"/>
      <c r="E898" s="1926"/>
      <c r="F898" s="1926"/>
      <c r="G898" s="152"/>
    </row>
    <row r="899" spans="1:7" x14ac:dyDescent="0.25">
      <c r="A899" s="1926" t="s">
        <v>29</v>
      </c>
      <c r="B899" s="1926"/>
      <c r="C899" s="152"/>
      <c r="D899" s="1926" t="s">
        <v>3564</v>
      </c>
      <c r="E899" s="1926"/>
      <c r="F899" s="1926"/>
      <c r="G899" s="152"/>
    </row>
    <row r="903" spans="1:7" x14ac:dyDescent="0.25">
      <c r="F903" s="23"/>
    </row>
    <row r="904" spans="1:7" x14ac:dyDescent="0.25">
      <c r="F904" s="23"/>
    </row>
    <row r="905" spans="1:7" x14ac:dyDescent="0.25">
      <c r="A905" s="1928" t="s">
        <v>1285</v>
      </c>
      <c r="B905" s="1928"/>
      <c r="C905" s="1928"/>
      <c r="D905" s="1928"/>
      <c r="E905" s="1928"/>
      <c r="F905" s="1928"/>
      <c r="G905" s="1928"/>
    </row>
    <row r="906" spans="1:7" x14ac:dyDescent="0.25">
      <c r="A906" s="1928" t="s">
        <v>1</v>
      </c>
      <c r="B906" s="1928"/>
      <c r="C906" s="1928"/>
      <c r="D906" s="1928"/>
      <c r="E906" s="1928"/>
      <c r="F906" s="1928"/>
      <c r="G906" s="1928"/>
    </row>
    <row r="907" spans="1:7" x14ac:dyDescent="0.25">
      <c r="A907" s="1928" t="s">
        <v>2398</v>
      </c>
      <c r="B907" s="1928"/>
      <c r="C907" s="1928"/>
      <c r="D907" s="1928"/>
      <c r="E907" s="1928"/>
      <c r="F907" s="1928"/>
      <c r="G907" s="1928"/>
    </row>
    <row r="908" spans="1:7" x14ac:dyDescent="0.25">
      <c r="A908" s="329"/>
      <c r="B908" s="330"/>
      <c r="C908" s="331"/>
      <c r="D908" s="331"/>
      <c r="E908" s="1819"/>
      <c r="F908" s="332"/>
      <c r="G908" s="332"/>
    </row>
    <row r="909" spans="1:7" x14ac:dyDescent="0.25">
      <c r="A909" s="332" t="s">
        <v>1263</v>
      </c>
      <c r="B909" s="333"/>
      <c r="C909" s="334"/>
      <c r="D909" s="334"/>
      <c r="E909" s="1820"/>
      <c r="F909" s="335"/>
      <c r="G909" s="332"/>
    </row>
    <row r="910" spans="1:7" ht="30" x14ac:dyDescent="0.25">
      <c r="A910" s="1041" t="s">
        <v>659</v>
      </c>
      <c r="B910" s="745" t="s">
        <v>2945</v>
      </c>
      <c r="C910" s="334"/>
      <c r="D910" s="334"/>
      <c r="E910" s="1820" t="s">
        <v>1264</v>
      </c>
      <c r="F910" s="335"/>
      <c r="G910" s="332"/>
    </row>
    <row r="911" spans="1:7" ht="45" x14ac:dyDescent="0.25">
      <c r="A911" s="338" t="s">
        <v>685</v>
      </c>
      <c r="B911" s="339" t="s">
        <v>2960</v>
      </c>
      <c r="C911" s="334"/>
      <c r="D911" s="334"/>
      <c r="E911" s="1820" t="s">
        <v>1265</v>
      </c>
      <c r="F911" s="335"/>
      <c r="G911" s="336"/>
    </row>
    <row r="912" spans="1:7" ht="60" x14ac:dyDescent="0.25">
      <c r="A912" s="338" t="s">
        <v>1266</v>
      </c>
      <c r="B912" s="339" t="s">
        <v>2961</v>
      </c>
      <c r="C912" s="334"/>
      <c r="D912" s="334"/>
      <c r="E912" s="1820"/>
      <c r="F912" s="335"/>
      <c r="G912" s="336"/>
    </row>
    <row r="913" spans="1:7" x14ac:dyDescent="0.25">
      <c r="A913" s="332" t="s">
        <v>1267</v>
      </c>
      <c r="B913" s="333" t="s">
        <v>60</v>
      </c>
      <c r="C913" s="334"/>
      <c r="D913" s="334"/>
      <c r="E913" s="1819"/>
      <c r="F913" s="332"/>
      <c r="G913" s="332"/>
    </row>
    <row r="914" spans="1:7" x14ac:dyDescent="0.25">
      <c r="A914" s="336" t="s">
        <v>61</v>
      </c>
      <c r="B914" s="337" t="s">
        <v>62</v>
      </c>
      <c r="C914" s="334"/>
      <c r="D914" s="334"/>
      <c r="E914" s="1819"/>
      <c r="F914" s="336"/>
      <c r="G914" s="336"/>
    </row>
    <row r="915" spans="1:7" x14ac:dyDescent="0.25">
      <c r="A915" s="340"/>
      <c r="B915" s="341"/>
      <c r="C915" s="342"/>
      <c r="D915" s="342"/>
      <c r="E915" s="1764"/>
      <c r="F915" s="340"/>
      <c r="G915" s="340"/>
    </row>
    <row r="916" spans="1:7" x14ac:dyDescent="0.25">
      <c r="A916" s="343" t="s">
        <v>30</v>
      </c>
      <c r="B916" s="343" t="s">
        <v>11</v>
      </c>
      <c r="C916" s="1929" t="s">
        <v>12</v>
      </c>
      <c r="D916" s="1930"/>
      <c r="E916" s="1822" t="s">
        <v>13</v>
      </c>
      <c r="F916" s="344" t="s">
        <v>14</v>
      </c>
      <c r="G916" s="345" t="s">
        <v>256</v>
      </c>
    </row>
    <row r="917" spans="1:7" x14ac:dyDescent="0.25">
      <c r="A917" s="161">
        <v>1</v>
      </c>
      <c r="B917" s="162">
        <v>2</v>
      </c>
      <c r="C917" s="1931">
        <v>3</v>
      </c>
      <c r="D917" s="1932"/>
      <c r="E917" s="1823">
        <v>4</v>
      </c>
      <c r="F917" s="169">
        <v>5</v>
      </c>
      <c r="G917" s="166">
        <v>7</v>
      </c>
    </row>
    <row r="918" spans="1:7" x14ac:dyDescent="0.25">
      <c r="A918" s="346" t="s">
        <v>1703</v>
      </c>
      <c r="B918" s="122" t="s">
        <v>1284</v>
      </c>
      <c r="C918" s="123"/>
      <c r="D918" s="124"/>
      <c r="E918" s="537"/>
      <c r="F918" s="126"/>
      <c r="G918" s="166"/>
    </row>
    <row r="919" spans="1:7" x14ac:dyDescent="0.25">
      <c r="A919" s="346" t="s">
        <v>1704</v>
      </c>
      <c r="B919" s="122" t="s">
        <v>2973</v>
      </c>
      <c r="C919" s="123"/>
      <c r="D919" s="124"/>
      <c r="E919" s="537"/>
      <c r="F919" s="126"/>
      <c r="G919" s="166"/>
    </row>
    <row r="920" spans="1:7" ht="24" x14ac:dyDescent="0.25">
      <c r="A920" s="346" t="s">
        <v>1705</v>
      </c>
      <c r="B920" s="122" t="s">
        <v>1279</v>
      </c>
      <c r="C920" s="347"/>
      <c r="D920" s="124"/>
      <c r="E920" s="537"/>
      <c r="F920" s="126"/>
      <c r="G920" s="166"/>
    </row>
    <row r="921" spans="1:7" ht="15.75" thickBot="1" x14ac:dyDescent="0.3">
      <c r="A921" s="220"/>
      <c r="B921" s="127" t="s">
        <v>1660</v>
      </c>
      <c r="C921" s="347">
        <v>1</v>
      </c>
      <c r="D921" s="124" t="s">
        <v>444</v>
      </c>
      <c r="E921" s="537">
        <v>84420</v>
      </c>
      <c r="F921" s="126">
        <f>E921*C921</f>
        <v>84420</v>
      </c>
      <c r="G921" s="166"/>
    </row>
    <row r="922" spans="1:7" ht="15.75" thickBot="1" x14ac:dyDescent="0.3">
      <c r="A922" s="171"/>
      <c r="B922" s="1933" t="s">
        <v>515</v>
      </c>
      <c r="C922" s="1934"/>
      <c r="D922" s="1934"/>
      <c r="E922" s="1935"/>
      <c r="F922" s="132">
        <f>SUM(F921:F921)</f>
        <v>84420</v>
      </c>
      <c r="G922" s="166"/>
    </row>
    <row r="923" spans="1:7" x14ac:dyDescent="0.25">
      <c r="A923" s="346" t="s">
        <v>1706</v>
      </c>
      <c r="B923" s="349" t="s">
        <v>1268</v>
      </c>
      <c r="C923" s="174"/>
      <c r="D923" s="175"/>
      <c r="E923" s="1769"/>
      <c r="F923" s="133"/>
      <c r="G923" s="166"/>
    </row>
    <row r="924" spans="1:7" x14ac:dyDescent="0.25">
      <c r="A924" s="346"/>
      <c r="B924" s="350" t="s">
        <v>1269</v>
      </c>
      <c r="C924" s="169">
        <v>2</v>
      </c>
      <c r="D924" s="170" t="s">
        <v>392</v>
      </c>
      <c r="E924" s="537">
        <v>150000</v>
      </c>
      <c r="F924" s="126">
        <f>E924*C924</f>
        <v>300000</v>
      </c>
      <c r="G924" s="166"/>
    </row>
    <row r="925" spans="1:7" ht="15.75" thickBot="1" x14ac:dyDescent="0.3">
      <c r="A925" s="346"/>
      <c r="B925" s="351" t="s">
        <v>1270</v>
      </c>
      <c r="C925" s="352">
        <v>8</v>
      </c>
      <c r="D925" s="199" t="s">
        <v>392</v>
      </c>
      <c r="E925" s="1824">
        <v>120000</v>
      </c>
      <c r="F925" s="131">
        <f>E925*C925</f>
        <v>960000</v>
      </c>
      <c r="G925" s="166"/>
    </row>
    <row r="926" spans="1:7" ht="15.75" thickBot="1" x14ac:dyDescent="0.3">
      <c r="A926" s="353"/>
      <c r="B926" s="1936" t="s">
        <v>515</v>
      </c>
      <c r="C926" s="1937"/>
      <c r="D926" s="1937"/>
      <c r="E926" s="1938"/>
      <c r="F926" s="132">
        <f>SUM(F924:F925)</f>
        <v>1260000</v>
      </c>
      <c r="G926" s="354"/>
    </row>
    <row r="927" spans="1:7" x14ac:dyDescent="0.25">
      <c r="A927" s="346" t="s">
        <v>1707</v>
      </c>
      <c r="B927" s="316" t="s">
        <v>1271</v>
      </c>
      <c r="C927" s="174"/>
      <c r="D927" s="175"/>
      <c r="E927" s="1769"/>
      <c r="F927" s="133"/>
      <c r="G927" s="166"/>
    </row>
    <row r="928" spans="1:7" x14ac:dyDescent="0.25">
      <c r="A928" s="171"/>
      <c r="B928" s="1042" t="s">
        <v>2948</v>
      </c>
      <c r="C928">
        <v>10</v>
      </c>
      <c r="D928" s="1043" t="s">
        <v>1275</v>
      </c>
      <c r="E928" s="389">
        <v>191000</v>
      </c>
      <c r="F928" s="126">
        <f>E928*C928</f>
        <v>1910000</v>
      </c>
      <c r="G928" s="166"/>
    </row>
    <row r="929" spans="1:20" x14ac:dyDescent="0.25">
      <c r="A929" s="171"/>
      <c r="B929" s="1042" t="s">
        <v>2949</v>
      </c>
      <c r="C929">
        <v>89</v>
      </c>
      <c r="D929" s="1043" t="s">
        <v>154</v>
      </c>
      <c r="E929" s="389">
        <v>3000</v>
      </c>
      <c r="F929" s="126">
        <f t="shared" ref="F929:F932" si="30">E929*C929</f>
        <v>267000</v>
      </c>
      <c r="G929" s="166"/>
    </row>
    <row r="930" spans="1:20" ht="17.25" x14ac:dyDescent="0.25">
      <c r="A930" s="355"/>
      <c r="B930" s="1042" t="s">
        <v>2950</v>
      </c>
      <c r="C930">
        <v>1</v>
      </c>
      <c r="D930" s="1044" t="s">
        <v>2951</v>
      </c>
      <c r="E930" s="1824">
        <v>230000</v>
      </c>
      <c r="F930" s="131">
        <f>E930*C930</f>
        <v>230000</v>
      </c>
      <c r="G930" s="166"/>
    </row>
    <row r="931" spans="1:20" x14ac:dyDescent="0.25">
      <c r="A931" s="220"/>
      <c r="B931" s="1042" t="s">
        <v>2952</v>
      </c>
      <c r="C931">
        <v>19</v>
      </c>
      <c r="D931" s="1043" t="s">
        <v>154</v>
      </c>
      <c r="E931" s="1824">
        <v>16000</v>
      </c>
      <c r="F931" s="131">
        <f t="shared" si="30"/>
        <v>304000</v>
      </c>
      <c r="G931" s="166"/>
    </row>
    <row r="932" spans="1:20" ht="15.75" thickBot="1" x14ac:dyDescent="0.3">
      <c r="A932" s="1045"/>
      <c r="B932" s="1046" t="s">
        <v>1276</v>
      </c>
      <c r="C932" s="1047">
        <v>1</v>
      </c>
      <c r="D932" s="1048" t="s">
        <v>106</v>
      </c>
      <c r="E932" s="1825">
        <v>250000</v>
      </c>
      <c r="F932" s="131">
        <f t="shared" si="30"/>
        <v>250000</v>
      </c>
      <c r="G932" s="354"/>
    </row>
    <row r="933" spans="1:20" x14ac:dyDescent="0.25">
      <c r="A933" s="174"/>
      <c r="B933" s="1933" t="s">
        <v>515</v>
      </c>
      <c r="C933" s="1934"/>
      <c r="D933" s="1934"/>
      <c r="E933" s="1935"/>
      <c r="F933" s="132">
        <f>SUM(F928:F932)</f>
        <v>2961000</v>
      </c>
      <c r="G933" s="354"/>
    </row>
    <row r="934" spans="1:20" ht="15.75" thickBot="1" x14ac:dyDescent="0.3">
      <c r="A934" s="174"/>
      <c r="B934" s="1933" t="s">
        <v>26</v>
      </c>
      <c r="C934" s="1934"/>
      <c r="D934" s="1934"/>
      <c r="E934" s="1935"/>
      <c r="F934" s="132">
        <f>F933+F926+F922</f>
        <v>4305420</v>
      </c>
      <c r="G934" s="1148" t="s">
        <v>1223</v>
      </c>
      <c r="K934" s="139"/>
      <c r="P934" s="139">
        <f>F934</f>
        <v>4305420</v>
      </c>
      <c r="T934" s="139"/>
    </row>
    <row r="935" spans="1:20" x14ac:dyDescent="0.25">
      <c r="A935" s="1926" t="s">
        <v>516</v>
      </c>
      <c r="B935" s="1926"/>
      <c r="C935" s="152" t="s">
        <v>27</v>
      </c>
      <c r="D935" s="1926" t="s">
        <v>3654</v>
      </c>
      <c r="E935" s="1926"/>
      <c r="F935" s="1926"/>
      <c r="G935" s="152"/>
    </row>
    <row r="936" spans="1:20" x14ac:dyDescent="0.25">
      <c r="A936" s="1926" t="s">
        <v>28</v>
      </c>
      <c r="B936" s="1926"/>
      <c r="C936" s="152"/>
      <c r="D936" s="1927" t="s">
        <v>3565</v>
      </c>
      <c r="E936" s="1927"/>
      <c r="F936" s="1927"/>
      <c r="G936" s="152"/>
    </row>
    <row r="937" spans="1:20" x14ac:dyDescent="0.25">
      <c r="A937" s="150"/>
      <c r="B937" s="151"/>
      <c r="C937" s="152"/>
      <c r="D937" s="153"/>
      <c r="E937" s="1770"/>
      <c r="F937" s="182"/>
      <c r="G937" s="152"/>
    </row>
    <row r="938" spans="1:20" x14ac:dyDescent="0.25">
      <c r="A938" s="150"/>
      <c r="B938" s="151"/>
      <c r="C938" s="152"/>
      <c r="D938" s="153"/>
      <c r="E938" s="1770"/>
      <c r="F938" s="182"/>
      <c r="G938" s="152"/>
    </row>
    <row r="939" spans="1:20" x14ac:dyDescent="0.25">
      <c r="A939" s="1926"/>
      <c r="B939" s="1926"/>
      <c r="C939" s="152"/>
      <c r="D939" s="153"/>
      <c r="E939" s="1926"/>
      <c r="F939" s="1926"/>
      <c r="G939" s="152"/>
    </row>
    <row r="940" spans="1:20" x14ac:dyDescent="0.25">
      <c r="A940" s="1926" t="s">
        <v>29</v>
      </c>
      <c r="B940" s="1926"/>
      <c r="C940" s="152"/>
      <c r="D940" s="1926" t="s">
        <v>3564</v>
      </c>
      <c r="E940" s="1926"/>
      <c r="F940" s="1926"/>
      <c r="G940" s="152"/>
    </row>
    <row r="942" spans="1:20" x14ac:dyDescent="0.25">
      <c r="A942" s="1928" t="s">
        <v>1285</v>
      </c>
      <c r="B942" s="1928"/>
      <c r="C942" s="1928"/>
      <c r="D942" s="1928"/>
      <c r="E942" s="1928"/>
      <c r="F942" s="1928"/>
      <c r="G942" s="1928"/>
    </row>
    <row r="943" spans="1:20" x14ac:dyDescent="0.25">
      <c r="A943" s="1928" t="s">
        <v>1</v>
      </c>
      <c r="B943" s="1928"/>
      <c r="C943" s="1928"/>
      <c r="D943" s="1928"/>
      <c r="E943" s="1928"/>
      <c r="F943" s="1928"/>
      <c r="G943" s="1928"/>
    </row>
    <row r="944" spans="1:20" x14ac:dyDescent="0.25">
      <c r="A944" s="1928" t="s">
        <v>2398</v>
      </c>
      <c r="B944" s="1928"/>
      <c r="C944" s="1928"/>
      <c r="D944" s="1928"/>
      <c r="E944" s="1928"/>
      <c r="F944" s="1928"/>
      <c r="G944" s="1928"/>
    </row>
    <row r="945" spans="1:7" x14ac:dyDescent="0.25">
      <c r="A945" s="329"/>
      <c r="B945" s="330"/>
      <c r="C945" s="331"/>
      <c r="D945" s="331"/>
      <c r="E945" s="1819"/>
      <c r="F945" s="332"/>
      <c r="G945" s="332"/>
    </row>
    <row r="946" spans="1:7" x14ac:dyDescent="0.25">
      <c r="A946" s="332" t="s">
        <v>1263</v>
      </c>
      <c r="B946" s="333"/>
      <c r="C946" s="334"/>
      <c r="D946" s="334"/>
      <c r="E946" s="1820"/>
      <c r="F946" s="335"/>
      <c r="G946" s="332"/>
    </row>
    <row r="947" spans="1:7" ht="30" x14ac:dyDescent="0.25">
      <c r="A947" s="336" t="s">
        <v>659</v>
      </c>
      <c r="B947" s="745" t="s">
        <v>2945</v>
      </c>
      <c r="C947" s="334"/>
      <c r="D947" s="334"/>
      <c r="E947" s="1820" t="s">
        <v>1264</v>
      </c>
      <c r="F947" s="335"/>
      <c r="G947" s="332"/>
    </row>
    <row r="948" spans="1:7" ht="45" x14ac:dyDescent="0.25">
      <c r="A948" s="338" t="s">
        <v>685</v>
      </c>
      <c r="B948" s="339" t="s">
        <v>2962</v>
      </c>
      <c r="C948" s="334"/>
      <c r="D948" s="334"/>
      <c r="E948" s="1820" t="s">
        <v>1265</v>
      </c>
      <c r="F948" s="335"/>
      <c r="G948" s="336"/>
    </row>
    <row r="949" spans="1:7" ht="60" x14ac:dyDescent="0.25">
      <c r="A949" s="338" t="s">
        <v>1266</v>
      </c>
      <c r="B949" s="339" t="s">
        <v>3477</v>
      </c>
      <c r="C949" s="334"/>
      <c r="D949" s="334"/>
      <c r="E949" s="1820"/>
      <c r="F949" s="335"/>
      <c r="G949" s="336"/>
    </row>
    <row r="950" spans="1:7" x14ac:dyDescent="0.25">
      <c r="A950" s="332" t="s">
        <v>1267</v>
      </c>
      <c r="B950" s="333" t="s">
        <v>60</v>
      </c>
      <c r="C950" s="334"/>
      <c r="D950" s="334"/>
      <c r="E950" s="1819"/>
      <c r="F950" s="332"/>
      <c r="G950" s="332"/>
    </row>
    <row r="951" spans="1:7" x14ac:dyDescent="0.25">
      <c r="A951" s="336" t="s">
        <v>61</v>
      </c>
      <c r="B951" s="337" t="s">
        <v>62</v>
      </c>
      <c r="C951" s="334"/>
      <c r="D951" s="334"/>
      <c r="E951" s="1819"/>
      <c r="F951" s="336"/>
      <c r="G951" s="336"/>
    </row>
    <row r="952" spans="1:7" x14ac:dyDescent="0.25">
      <c r="A952" s="340"/>
      <c r="B952" s="341"/>
      <c r="C952" s="342"/>
      <c r="D952" s="342"/>
      <c r="E952" s="1764"/>
      <c r="F952" s="340"/>
      <c r="G952" s="340"/>
    </row>
    <row r="953" spans="1:7" x14ac:dyDescent="0.25">
      <c r="A953" s="343" t="s">
        <v>30</v>
      </c>
      <c r="B953" s="343" t="s">
        <v>11</v>
      </c>
      <c r="C953" s="1929" t="s">
        <v>12</v>
      </c>
      <c r="D953" s="1930"/>
      <c r="E953" s="1822" t="s">
        <v>13</v>
      </c>
      <c r="F953" s="344" t="s">
        <v>14</v>
      </c>
      <c r="G953" s="345" t="s">
        <v>256</v>
      </c>
    </row>
    <row r="954" spans="1:7" x14ac:dyDescent="0.25">
      <c r="A954" s="161">
        <v>1</v>
      </c>
      <c r="B954" s="162">
        <v>2</v>
      </c>
      <c r="C954" s="1931">
        <v>3</v>
      </c>
      <c r="D954" s="1932"/>
      <c r="E954" s="1823">
        <v>4</v>
      </c>
      <c r="F954" s="169">
        <v>5</v>
      </c>
      <c r="G954" s="166">
        <v>7</v>
      </c>
    </row>
    <row r="955" spans="1:7" x14ac:dyDescent="0.25">
      <c r="A955" s="346" t="s">
        <v>1703</v>
      </c>
      <c r="B955" s="122" t="s">
        <v>1284</v>
      </c>
      <c r="C955" s="123"/>
      <c r="D955" s="124"/>
      <c r="E955" s="537"/>
      <c r="F955" s="126"/>
      <c r="G955" s="166"/>
    </row>
    <row r="956" spans="1:7" x14ac:dyDescent="0.25">
      <c r="A956" s="346" t="s">
        <v>1704</v>
      </c>
      <c r="B956" s="122" t="s">
        <v>2973</v>
      </c>
      <c r="C956" s="123"/>
      <c r="D956" s="124"/>
      <c r="E956" s="537"/>
      <c r="F956" s="126"/>
      <c r="G956" s="166"/>
    </row>
    <row r="957" spans="1:7" ht="24" x14ac:dyDescent="0.25">
      <c r="A957" s="346" t="s">
        <v>1705</v>
      </c>
      <c r="B957" s="122" t="s">
        <v>1279</v>
      </c>
      <c r="C957" s="347"/>
      <c r="D957" s="124"/>
      <c r="E957" s="537"/>
      <c r="F957" s="126"/>
      <c r="G957" s="166"/>
    </row>
    <row r="958" spans="1:7" ht="15.75" thickBot="1" x14ac:dyDescent="0.3">
      <c r="A958" s="220"/>
      <c r="B958" s="127" t="s">
        <v>1660</v>
      </c>
      <c r="C958" s="347">
        <v>1</v>
      </c>
      <c r="D958" s="124" t="s">
        <v>444</v>
      </c>
      <c r="E958" s="537">
        <v>309000</v>
      </c>
      <c r="F958" s="126">
        <f>E958*C958</f>
        <v>309000</v>
      </c>
      <c r="G958" s="166"/>
    </row>
    <row r="959" spans="1:7" ht="15.75" thickBot="1" x14ac:dyDescent="0.3">
      <c r="A959" s="171"/>
      <c r="B959" s="1933" t="s">
        <v>515</v>
      </c>
      <c r="C959" s="1934"/>
      <c r="D959" s="1934"/>
      <c r="E959" s="1935"/>
      <c r="F959" s="132">
        <f>SUM(F958:F958)</f>
        <v>309000</v>
      </c>
      <c r="G959" s="166"/>
    </row>
    <row r="960" spans="1:7" x14ac:dyDescent="0.25">
      <c r="A960" s="346" t="s">
        <v>1706</v>
      </c>
      <c r="B960" s="349" t="s">
        <v>1268</v>
      </c>
      <c r="C960" s="174"/>
      <c r="D960" s="175"/>
      <c r="E960" s="1769"/>
      <c r="F960" s="133"/>
      <c r="G960" s="166"/>
    </row>
    <row r="961" spans="1:7" x14ac:dyDescent="0.25">
      <c r="A961" s="346"/>
      <c r="B961" s="350" t="s">
        <v>1269</v>
      </c>
      <c r="C961" s="169">
        <v>13</v>
      </c>
      <c r="D961" s="170" t="s">
        <v>392</v>
      </c>
      <c r="E961" s="537">
        <v>150000</v>
      </c>
      <c r="F961" s="126">
        <f>E961*C961</f>
        <v>1950000</v>
      </c>
      <c r="G961" s="166"/>
    </row>
    <row r="962" spans="1:7" ht="15.75" thickBot="1" x14ac:dyDescent="0.3">
      <c r="A962" s="346"/>
      <c r="B962" s="351" t="s">
        <v>1270</v>
      </c>
      <c r="C962" s="352">
        <v>28</v>
      </c>
      <c r="D962" s="199" t="s">
        <v>392</v>
      </c>
      <c r="E962" s="1824">
        <v>120000</v>
      </c>
      <c r="F962" s="131">
        <f>E962*C962</f>
        <v>3360000</v>
      </c>
      <c r="G962" s="166"/>
    </row>
    <row r="963" spans="1:7" ht="15.75" thickBot="1" x14ac:dyDescent="0.3">
      <c r="A963" s="353"/>
      <c r="B963" s="1936" t="s">
        <v>515</v>
      </c>
      <c r="C963" s="1937"/>
      <c r="D963" s="1937"/>
      <c r="E963" s="1938"/>
      <c r="F963" s="132">
        <f>SUM(F961:F962)</f>
        <v>5310000</v>
      </c>
      <c r="G963" s="354"/>
    </row>
    <row r="964" spans="1:7" x14ac:dyDescent="0.25">
      <c r="A964" s="346" t="s">
        <v>1707</v>
      </c>
      <c r="B964" s="316" t="s">
        <v>1271</v>
      </c>
      <c r="C964" s="174"/>
      <c r="D964" s="175"/>
      <c r="E964" s="1769"/>
      <c r="F964" s="133"/>
      <c r="G964" s="166"/>
    </row>
    <row r="965" spans="1:7" x14ac:dyDescent="0.25">
      <c r="A965" s="174"/>
      <c r="B965" s="1558" t="s">
        <v>2948</v>
      </c>
      <c r="C965" s="858">
        <v>31</v>
      </c>
      <c r="D965" s="1562" t="s">
        <v>1275</v>
      </c>
      <c r="E965" s="389">
        <v>191000</v>
      </c>
      <c r="F965" s="125">
        <f>E965*C965</f>
        <v>5921000</v>
      </c>
      <c r="G965" s="354"/>
    </row>
    <row r="966" spans="1:7" x14ac:dyDescent="0.25">
      <c r="A966" s="174"/>
      <c r="B966" s="1558" t="s">
        <v>2949</v>
      </c>
      <c r="C966" s="858">
        <v>274</v>
      </c>
      <c r="D966" s="1562" t="s">
        <v>154</v>
      </c>
      <c r="E966" s="389">
        <v>3000</v>
      </c>
      <c r="F966" s="125">
        <f t="shared" ref="F966:F969" si="31">E966*C966</f>
        <v>822000</v>
      </c>
      <c r="G966" s="354"/>
    </row>
    <row r="967" spans="1:7" ht="17.25" x14ac:dyDescent="0.25">
      <c r="A967" s="353"/>
      <c r="B967" s="1558" t="s">
        <v>2950</v>
      </c>
      <c r="C967" s="858">
        <v>1</v>
      </c>
      <c r="D967" s="1563" t="s">
        <v>2951</v>
      </c>
      <c r="E967" s="537">
        <v>230000</v>
      </c>
      <c r="F967" s="125">
        <f>E967*C967</f>
        <v>230000</v>
      </c>
      <c r="G967" s="354"/>
    </row>
    <row r="968" spans="1:7" x14ac:dyDescent="0.25">
      <c r="A968" s="1045"/>
      <c r="B968" s="1558" t="s">
        <v>2952</v>
      </c>
      <c r="C968" s="858">
        <v>57</v>
      </c>
      <c r="D968" s="1562" t="s">
        <v>154</v>
      </c>
      <c r="E968" s="537">
        <v>16000</v>
      </c>
      <c r="F968" s="125">
        <f t="shared" si="31"/>
        <v>912000</v>
      </c>
      <c r="G968" s="354"/>
    </row>
    <row r="969" spans="1:7" x14ac:dyDescent="0.25">
      <c r="A969" s="1045"/>
      <c r="B969" s="1558" t="s">
        <v>1276</v>
      </c>
      <c r="C969" s="858">
        <v>1</v>
      </c>
      <c r="D969" s="1562" t="s">
        <v>106</v>
      </c>
      <c r="E969" s="537">
        <v>250000</v>
      </c>
      <c r="F969" s="125">
        <f t="shared" si="31"/>
        <v>250000</v>
      </c>
      <c r="G969" s="354"/>
    </row>
    <row r="970" spans="1:7" x14ac:dyDescent="0.25">
      <c r="A970" s="174"/>
      <c r="B970" s="1559" t="s">
        <v>2953</v>
      </c>
      <c r="C970" s="858">
        <v>1</v>
      </c>
      <c r="D970" s="1562" t="s">
        <v>154</v>
      </c>
      <c r="E970" s="389">
        <v>22000</v>
      </c>
      <c r="F970" s="125">
        <f>E970*C970</f>
        <v>22000</v>
      </c>
      <c r="G970" s="354"/>
    </row>
    <row r="971" spans="1:7" x14ac:dyDescent="0.25">
      <c r="A971" s="174"/>
      <c r="B971" s="1559" t="s">
        <v>2963</v>
      </c>
      <c r="C971" s="858">
        <v>3</v>
      </c>
      <c r="D971" s="1562" t="s">
        <v>154</v>
      </c>
      <c r="E971" s="389">
        <v>38000</v>
      </c>
      <c r="F971" s="125">
        <f t="shared" ref="F971" si="32">E971*C971</f>
        <v>114000</v>
      </c>
      <c r="G971" s="354"/>
    </row>
    <row r="972" spans="1:7" x14ac:dyDescent="0.25">
      <c r="A972" s="353"/>
      <c r="B972" s="1559" t="s">
        <v>2955</v>
      </c>
      <c r="C972" s="858">
        <v>5</v>
      </c>
      <c r="D972" s="1562" t="s">
        <v>104</v>
      </c>
      <c r="E972" s="389">
        <v>18000</v>
      </c>
      <c r="F972" s="125">
        <f>E972*C972</f>
        <v>90000</v>
      </c>
      <c r="G972" s="354"/>
    </row>
    <row r="973" spans="1:7" x14ac:dyDescent="0.25">
      <c r="A973" s="1045"/>
      <c r="B973" s="1559" t="s">
        <v>2403</v>
      </c>
      <c r="C973" s="858">
        <v>1</v>
      </c>
      <c r="D973" s="1562" t="s">
        <v>391</v>
      </c>
      <c r="E973" s="537">
        <v>19000</v>
      </c>
      <c r="F973" s="125">
        <f t="shared" ref="F973:F979" si="33">E973*C973</f>
        <v>19000</v>
      </c>
      <c r="G973" s="354"/>
    </row>
    <row r="974" spans="1:7" x14ac:dyDescent="0.25">
      <c r="A974" s="1045"/>
      <c r="B974" s="1559" t="s">
        <v>2956</v>
      </c>
      <c r="C974" s="858">
        <v>1</v>
      </c>
      <c r="D974" s="1562" t="s">
        <v>391</v>
      </c>
      <c r="E974" s="537">
        <v>20000</v>
      </c>
      <c r="F974" s="125">
        <f t="shared" si="33"/>
        <v>20000</v>
      </c>
      <c r="G974" s="354"/>
    </row>
    <row r="975" spans="1:7" x14ac:dyDescent="0.25">
      <c r="A975" s="1045"/>
      <c r="B975" s="1559" t="s">
        <v>2964</v>
      </c>
      <c r="C975" s="858">
        <v>4</v>
      </c>
      <c r="D975" s="1563" t="s">
        <v>104</v>
      </c>
      <c r="E975" s="537">
        <v>102000</v>
      </c>
      <c r="F975" s="125">
        <f t="shared" si="33"/>
        <v>408000</v>
      </c>
      <c r="G975" s="354"/>
    </row>
    <row r="976" spans="1:7" x14ac:dyDescent="0.25">
      <c r="A976" s="1045"/>
      <c r="B976" s="1559" t="s">
        <v>2965</v>
      </c>
      <c r="C976" s="858">
        <v>1</v>
      </c>
      <c r="D976" s="1562" t="s">
        <v>154</v>
      </c>
      <c r="E976" s="537">
        <v>28000</v>
      </c>
      <c r="F976" s="125">
        <f t="shared" si="33"/>
        <v>28000</v>
      </c>
      <c r="G976" s="354"/>
    </row>
    <row r="977" spans="1:20" x14ac:dyDescent="0.25">
      <c r="A977" s="1045"/>
      <c r="B977" s="1564" t="s">
        <v>2966</v>
      </c>
      <c r="C977" s="858">
        <v>11</v>
      </c>
      <c r="D977" s="1562" t="s">
        <v>2967</v>
      </c>
      <c r="E977" s="537">
        <v>28000</v>
      </c>
      <c r="F977" s="125">
        <f t="shared" si="33"/>
        <v>308000</v>
      </c>
      <c r="G977" s="354"/>
    </row>
    <row r="978" spans="1:20" x14ac:dyDescent="0.25">
      <c r="A978" s="1045"/>
      <c r="B978" s="1564" t="s">
        <v>2968</v>
      </c>
      <c r="C978" s="858">
        <v>1</v>
      </c>
      <c r="D978" s="1562" t="s">
        <v>1274</v>
      </c>
      <c r="E978" s="537">
        <v>35000</v>
      </c>
      <c r="F978" s="125">
        <f t="shared" si="33"/>
        <v>35000</v>
      </c>
      <c r="G978" s="354"/>
    </row>
    <row r="979" spans="1:20" x14ac:dyDescent="0.25">
      <c r="A979" s="1045"/>
      <c r="B979" s="1559" t="s">
        <v>2969</v>
      </c>
      <c r="C979" s="858">
        <v>1</v>
      </c>
      <c r="D979" s="1562" t="s">
        <v>171</v>
      </c>
      <c r="E979" s="537">
        <v>1000000</v>
      </c>
      <c r="F979" s="125">
        <f t="shared" si="33"/>
        <v>1000000</v>
      </c>
      <c r="G979" s="354"/>
    </row>
    <row r="980" spans="1:20" x14ac:dyDescent="0.25">
      <c r="A980" s="174"/>
      <c r="B980" s="1939" t="s">
        <v>515</v>
      </c>
      <c r="C980" s="1940"/>
      <c r="D980" s="1940"/>
      <c r="E980" s="1941"/>
      <c r="F980" s="142">
        <f>SUM(F965:F979)</f>
        <v>10179000</v>
      </c>
      <c r="G980" s="354"/>
    </row>
    <row r="981" spans="1:20" ht="15.75" thickBot="1" x14ac:dyDescent="0.3">
      <c r="A981" s="174"/>
      <c r="B981" s="1933" t="s">
        <v>26</v>
      </c>
      <c r="C981" s="1934"/>
      <c r="D981" s="1934"/>
      <c r="E981" s="1935"/>
      <c r="F981" s="132">
        <f>F980+F963+F959</f>
        <v>15798000</v>
      </c>
      <c r="G981" s="1148" t="s">
        <v>1223</v>
      </c>
      <c r="P981" s="139">
        <f>F981</f>
        <v>15798000</v>
      </c>
      <c r="T981" s="139"/>
    </row>
    <row r="982" spans="1:20" x14ac:dyDescent="0.25">
      <c r="A982" s="1926" t="s">
        <v>516</v>
      </c>
      <c r="B982" s="1926"/>
      <c r="C982" s="152" t="s">
        <v>27</v>
      </c>
      <c r="D982" s="1926" t="s">
        <v>3654</v>
      </c>
      <c r="E982" s="1926"/>
      <c r="F982" s="1926"/>
      <c r="G982" s="152"/>
    </row>
    <row r="983" spans="1:20" x14ac:dyDescent="0.25">
      <c r="A983" s="1926" t="s">
        <v>28</v>
      </c>
      <c r="B983" s="1926"/>
      <c r="C983" s="152"/>
      <c r="D983" s="1927" t="s">
        <v>3565</v>
      </c>
      <c r="E983" s="1927"/>
      <c r="F983" s="1927"/>
      <c r="G983" s="152"/>
    </row>
    <row r="984" spans="1:20" x14ac:dyDescent="0.25">
      <c r="A984" s="150"/>
      <c r="B984" s="151"/>
      <c r="C984" s="152"/>
      <c r="D984" s="153"/>
      <c r="E984" s="1770"/>
      <c r="F984" s="182"/>
      <c r="G984" s="152"/>
    </row>
    <row r="985" spans="1:20" x14ac:dyDescent="0.25">
      <c r="A985" s="150"/>
      <c r="B985" s="151"/>
      <c r="C985" s="152"/>
      <c r="D985" s="153"/>
      <c r="E985" s="1770"/>
      <c r="F985" s="182"/>
      <c r="G985" s="152"/>
    </row>
    <row r="986" spans="1:20" x14ac:dyDescent="0.25">
      <c r="A986" s="1926"/>
      <c r="B986" s="1926"/>
      <c r="C986" s="152"/>
      <c r="D986" s="153"/>
      <c r="E986" s="1926"/>
      <c r="F986" s="1926"/>
      <c r="G986" s="152"/>
    </row>
    <row r="987" spans="1:20" x14ac:dyDescent="0.25">
      <c r="A987" s="1926" t="s">
        <v>29</v>
      </c>
      <c r="B987" s="1926"/>
      <c r="C987" s="152"/>
      <c r="D987" s="1926" t="s">
        <v>3564</v>
      </c>
      <c r="E987" s="1926"/>
      <c r="F987" s="1926"/>
      <c r="G987" s="152"/>
    </row>
    <row r="989" spans="1:20" x14ac:dyDescent="0.25">
      <c r="A989" s="1928" t="s">
        <v>1285</v>
      </c>
      <c r="B989" s="1928"/>
      <c r="C989" s="1928"/>
      <c r="D989" s="1928"/>
      <c r="E989" s="1928"/>
      <c r="F989" s="1928"/>
      <c r="G989" s="1928"/>
    </row>
    <row r="990" spans="1:20" x14ac:dyDescent="0.25">
      <c r="A990" s="1928" t="s">
        <v>1</v>
      </c>
      <c r="B990" s="1928"/>
      <c r="C990" s="1928"/>
      <c r="D990" s="1928"/>
      <c r="E990" s="1928"/>
      <c r="F990" s="1928"/>
      <c r="G990" s="1928"/>
    </row>
    <row r="991" spans="1:20" x14ac:dyDescent="0.25">
      <c r="A991" s="1928" t="s">
        <v>2398</v>
      </c>
      <c r="B991" s="1928"/>
      <c r="C991" s="1928"/>
      <c r="D991" s="1928"/>
      <c r="E991" s="1928"/>
      <c r="F991" s="1928"/>
      <c r="G991" s="1928"/>
    </row>
    <row r="992" spans="1:20" x14ac:dyDescent="0.25">
      <c r="A992" s="329"/>
      <c r="B992" s="330"/>
      <c r="C992" s="331"/>
      <c r="D992" s="331"/>
      <c r="E992" s="1819"/>
      <c r="F992" s="332"/>
      <c r="G992" s="332"/>
    </row>
    <row r="993" spans="1:7" x14ac:dyDescent="0.25">
      <c r="A993" s="332" t="s">
        <v>1263</v>
      </c>
      <c r="B993" s="333"/>
      <c r="C993" s="334"/>
      <c r="D993" s="334"/>
      <c r="E993" s="1820"/>
      <c r="F993" s="335"/>
      <c r="G993" s="332"/>
    </row>
    <row r="994" spans="1:7" ht="30" x14ac:dyDescent="0.25">
      <c r="A994" s="336" t="s">
        <v>659</v>
      </c>
      <c r="B994" s="745" t="s">
        <v>2945</v>
      </c>
      <c r="C994" s="334"/>
      <c r="D994" s="334"/>
      <c r="E994" s="1820" t="s">
        <v>1264</v>
      </c>
      <c r="F994" s="335"/>
      <c r="G994" s="332"/>
    </row>
    <row r="995" spans="1:7" ht="30" x14ac:dyDescent="0.25">
      <c r="A995" s="338" t="s">
        <v>685</v>
      </c>
      <c r="B995" s="339" t="s">
        <v>2970</v>
      </c>
      <c r="C995" s="334"/>
      <c r="D995" s="334"/>
      <c r="E995" s="1820" t="s">
        <v>1265</v>
      </c>
      <c r="F995" s="335"/>
      <c r="G995" s="336"/>
    </row>
    <row r="996" spans="1:7" ht="60" x14ac:dyDescent="0.25">
      <c r="A996" s="338" t="s">
        <v>1266</v>
      </c>
      <c r="B996" s="339" t="s">
        <v>3478</v>
      </c>
      <c r="C996" s="334"/>
      <c r="D996" s="334"/>
      <c r="E996" s="1820"/>
      <c r="F996" s="335"/>
      <c r="G996" s="336"/>
    </row>
    <row r="997" spans="1:7" x14ac:dyDescent="0.25">
      <c r="A997" s="332" t="s">
        <v>1267</v>
      </c>
      <c r="B997" s="333" t="s">
        <v>60</v>
      </c>
      <c r="C997" s="334"/>
      <c r="D997" s="334"/>
      <c r="E997" s="1819"/>
      <c r="F997" s="332"/>
      <c r="G997" s="332"/>
    </row>
    <row r="998" spans="1:7" x14ac:dyDescent="0.25">
      <c r="A998" s="336" t="s">
        <v>61</v>
      </c>
      <c r="B998" s="337" t="s">
        <v>62</v>
      </c>
      <c r="C998" s="334"/>
      <c r="D998" s="334"/>
      <c r="E998" s="1819"/>
      <c r="F998" s="336"/>
      <c r="G998" s="336"/>
    </row>
    <row r="999" spans="1:7" x14ac:dyDescent="0.25">
      <c r="A999" s="340"/>
      <c r="B999" s="341"/>
      <c r="C999" s="342"/>
      <c r="D999" s="342"/>
      <c r="E999" s="1764"/>
      <c r="F999" s="340"/>
      <c r="G999" s="340"/>
    </row>
    <row r="1000" spans="1:7" x14ac:dyDescent="0.25">
      <c r="A1000" s="343" t="s">
        <v>30</v>
      </c>
      <c r="B1000" s="343" t="s">
        <v>11</v>
      </c>
      <c r="C1000" s="1929" t="s">
        <v>12</v>
      </c>
      <c r="D1000" s="1930"/>
      <c r="E1000" s="1822" t="s">
        <v>13</v>
      </c>
      <c r="F1000" s="344" t="s">
        <v>14</v>
      </c>
      <c r="G1000" s="345" t="s">
        <v>256</v>
      </c>
    </row>
    <row r="1001" spans="1:7" x14ac:dyDescent="0.25">
      <c r="A1001" s="161">
        <v>1</v>
      </c>
      <c r="B1001" s="162">
        <v>2</v>
      </c>
      <c r="C1001" s="1931">
        <v>3</v>
      </c>
      <c r="D1001" s="1932"/>
      <c r="E1001" s="1823">
        <v>4</v>
      </c>
      <c r="F1001" s="169">
        <v>5</v>
      </c>
      <c r="G1001" s="166">
        <v>7</v>
      </c>
    </row>
    <row r="1002" spans="1:7" x14ac:dyDescent="0.25">
      <c r="A1002" s="346" t="s">
        <v>1703</v>
      </c>
      <c r="B1002" s="122" t="s">
        <v>1284</v>
      </c>
      <c r="C1002" s="123"/>
      <c r="D1002" s="124"/>
      <c r="E1002" s="537"/>
      <c r="F1002" s="126"/>
      <c r="G1002" s="166"/>
    </row>
    <row r="1003" spans="1:7" x14ac:dyDescent="0.25">
      <c r="A1003" s="346" t="s">
        <v>1704</v>
      </c>
      <c r="B1003" s="122" t="s">
        <v>2973</v>
      </c>
      <c r="C1003" s="123"/>
      <c r="D1003" s="124"/>
      <c r="E1003" s="537"/>
      <c r="F1003" s="126"/>
      <c r="G1003" s="166"/>
    </row>
    <row r="1004" spans="1:7" ht="24" x14ac:dyDescent="0.25">
      <c r="A1004" s="346" t="s">
        <v>1705</v>
      </c>
      <c r="B1004" s="122" t="s">
        <v>1279</v>
      </c>
      <c r="C1004" s="347"/>
      <c r="D1004" s="124"/>
      <c r="E1004" s="537"/>
      <c r="F1004" s="126"/>
      <c r="G1004" s="166"/>
    </row>
    <row r="1005" spans="1:7" ht="15.75" thickBot="1" x14ac:dyDescent="0.3">
      <c r="A1005" s="220"/>
      <c r="B1005" s="127" t="s">
        <v>1660</v>
      </c>
      <c r="C1005" s="347">
        <v>1</v>
      </c>
      <c r="D1005" s="124" t="s">
        <v>444</v>
      </c>
      <c r="E1005" s="537">
        <v>401000</v>
      </c>
      <c r="F1005" s="126">
        <f>E1005*C1005</f>
        <v>401000</v>
      </c>
      <c r="G1005" s="166"/>
    </row>
    <row r="1006" spans="1:7" ht="15.75" thickBot="1" x14ac:dyDescent="0.3">
      <c r="A1006" s="171"/>
      <c r="B1006" s="1933" t="s">
        <v>515</v>
      </c>
      <c r="C1006" s="1934"/>
      <c r="D1006" s="1934"/>
      <c r="E1006" s="1935"/>
      <c r="F1006" s="132">
        <f>SUM(F1005:F1005)</f>
        <v>401000</v>
      </c>
      <c r="G1006" s="166"/>
    </row>
    <row r="1007" spans="1:7" x14ac:dyDescent="0.25">
      <c r="A1007" s="346" t="s">
        <v>1706</v>
      </c>
      <c r="B1007" s="349" t="s">
        <v>1268</v>
      </c>
      <c r="C1007" s="174"/>
      <c r="D1007" s="175"/>
      <c r="E1007" s="1769"/>
      <c r="F1007" s="133"/>
      <c r="G1007" s="166"/>
    </row>
    <row r="1008" spans="1:7" x14ac:dyDescent="0.25">
      <c r="A1008" s="346"/>
      <c r="B1008" s="350" t="s">
        <v>1269</v>
      </c>
      <c r="C1008" s="169">
        <v>17</v>
      </c>
      <c r="D1008" s="170" t="s">
        <v>392</v>
      </c>
      <c r="E1008" s="537">
        <v>150000</v>
      </c>
      <c r="F1008" s="126">
        <f>E1008*C1008</f>
        <v>2550000</v>
      </c>
      <c r="G1008" s="166"/>
    </row>
    <row r="1009" spans="1:7" ht="15.75" thickBot="1" x14ac:dyDescent="0.3">
      <c r="A1009" s="346"/>
      <c r="B1009" s="351" t="s">
        <v>1270</v>
      </c>
      <c r="C1009" s="352">
        <v>45</v>
      </c>
      <c r="D1009" s="199" t="s">
        <v>392</v>
      </c>
      <c r="E1009" s="1824">
        <v>120000</v>
      </c>
      <c r="F1009" s="131">
        <f>E1009*C1009</f>
        <v>5400000</v>
      </c>
      <c r="G1009" s="166"/>
    </row>
    <row r="1010" spans="1:7" ht="15.75" thickBot="1" x14ac:dyDescent="0.3">
      <c r="A1010" s="353"/>
      <c r="B1010" s="1936" t="s">
        <v>515</v>
      </c>
      <c r="C1010" s="1937"/>
      <c r="D1010" s="1937"/>
      <c r="E1010" s="1938"/>
      <c r="F1010" s="132">
        <f>SUM(F1008:F1009)</f>
        <v>7950000</v>
      </c>
      <c r="G1010" s="354"/>
    </row>
    <row r="1011" spans="1:7" x14ac:dyDescent="0.25">
      <c r="A1011" s="346" t="s">
        <v>1707</v>
      </c>
      <c r="B1011" s="316" t="s">
        <v>1271</v>
      </c>
      <c r="C1011" s="174"/>
      <c r="D1011" s="175"/>
      <c r="E1011" s="1769"/>
      <c r="F1011" s="133"/>
      <c r="G1011" s="166"/>
    </row>
    <row r="1012" spans="1:7" x14ac:dyDescent="0.25">
      <c r="A1012" s="171"/>
      <c r="B1012" s="1042" t="s">
        <v>2948</v>
      </c>
      <c r="C1012">
        <v>32</v>
      </c>
      <c r="D1012" s="1043" t="s">
        <v>1275</v>
      </c>
      <c r="E1012" s="389">
        <v>191000</v>
      </c>
      <c r="F1012" s="126">
        <f>E1012*C1012</f>
        <v>6112000</v>
      </c>
      <c r="G1012" s="166"/>
    </row>
    <row r="1013" spans="1:7" x14ac:dyDescent="0.25">
      <c r="A1013" s="171"/>
      <c r="B1013" s="1042" t="s">
        <v>2949</v>
      </c>
      <c r="C1013">
        <v>282</v>
      </c>
      <c r="D1013" s="1043" t="s">
        <v>154</v>
      </c>
      <c r="E1013" s="389">
        <v>3000</v>
      </c>
      <c r="F1013" s="126">
        <f t="shared" ref="F1013:F1016" si="34">E1013*C1013</f>
        <v>846000</v>
      </c>
      <c r="G1013" s="166"/>
    </row>
    <row r="1014" spans="1:7" ht="17.25" x14ac:dyDescent="0.25">
      <c r="A1014" s="355"/>
      <c r="B1014" s="1042" t="s">
        <v>2950</v>
      </c>
      <c r="C1014">
        <v>1</v>
      </c>
      <c r="D1014" s="1044" t="s">
        <v>2951</v>
      </c>
      <c r="E1014" s="1824">
        <v>230000</v>
      </c>
      <c r="F1014" s="131">
        <f>E1014*C1014</f>
        <v>230000</v>
      </c>
      <c r="G1014" s="166"/>
    </row>
    <row r="1015" spans="1:7" x14ac:dyDescent="0.25">
      <c r="A1015" s="220"/>
      <c r="B1015" s="1042" t="s">
        <v>2952</v>
      </c>
      <c r="C1015">
        <v>59</v>
      </c>
      <c r="D1015" s="1043" t="s">
        <v>154</v>
      </c>
      <c r="E1015" s="1824">
        <v>16000</v>
      </c>
      <c r="F1015" s="131">
        <f t="shared" si="34"/>
        <v>944000</v>
      </c>
      <c r="G1015" s="166"/>
    </row>
    <row r="1016" spans="1:7" ht="15.75" thickBot="1" x14ac:dyDescent="0.3">
      <c r="A1016" s="1045"/>
      <c r="B1016" s="1046" t="s">
        <v>1276</v>
      </c>
      <c r="C1016" s="1047">
        <v>1</v>
      </c>
      <c r="D1016" s="1048" t="s">
        <v>106</v>
      </c>
      <c r="E1016" s="1825">
        <v>250000</v>
      </c>
      <c r="F1016" s="131">
        <f t="shared" si="34"/>
        <v>250000</v>
      </c>
      <c r="G1016" s="354"/>
    </row>
    <row r="1017" spans="1:7" x14ac:dyDescent="0.25">
      <c r="A1017" s="171"/>
      <c r="B1017" s="1049" t="s">
        <v>2953</v>
      </c>
      <c r="C1017">
        <v>3</v>
      </c>
      <c r="D1017" s="1050" t="s">
        <v>154</v>
      </c>
      <c r="E1017" s="389">
        <v>22000</v>
      </c>
      <c r="F1017" s="126">
        <f>E1017*C1017</f>
        <v>66000</v>
      </c>
      <c r="G1017" s="166"/>
    </row>
    <row r="1018" spans="1:7" x14ac:dyDescent="0.25">
      <c r="A1018" s="171"/>
      <c r="B1018" s="1049" t="s">
        <v>2963</v>
      </c>
      <c r="C1018">
        <v>6</v>
      </c>
      <c r="D1018" s="1050" t="s">
        <v>154</v>
      </c>
      <c r="E1018" s="389">
        <v>38000</v>
      </c>
      <c r="F1018" s="126">
        <f t="shared" ref="F1018" si="35">E1018*C1018</f>
        <v>228000</v>
      </c>
      <c r="G1018" s="166"/>
    </row>
    <row r="1019" spans="1:7" x14ac:dyDescent="0.25">
      <c r="A1019" s="355"/>
      <c r="B1019" s="1049" t="s">
        <v>2955</v>
      </c>
      <c r="C1019">
        <v>12</v>
      </c>
      <c r="D1019" s="1050" t="s">
        <v>104</v>
      </c>
      <c r="E1019" s="1826">
        <v>18000</v>
      </c>
      <c r="F1019" s="131">
        <f>E1019*C1019</f>
        <v>216000</v>
      </c>
      <c r="G1019" s="166"/>
    </row>
    <row r="1020" spans="1:7" x14ac:dyDescent="0.25">
      <c r="A1020" s="220"/>
      <c r="B1020" s="1049" t="s">
        <v>2403</v>
      </c>
      <c r="C1020">
        <v>1</v>
      </c>
      <c r="D1020" s="1050" t="s">
        <v>391</v>
      </c>
      <c r="E1020" s="1824">
        <v>19000</v>
      </c>
      <c r="F1020" s="131">
        <f t="shared" ref="F1020:F1026" si="36">E1020*C1020</f>
        <v>19000</v>
      </c>
      <c r="G1020" s="166"/>
    </row>
    <row r="1021" spans="1:7" x14ac:dyDescent="0.25">
      <c r="A1021" s="1045"/>
      <c r="B1021" s="1049" t="s">
        <v>2956</v>
      </c>
      <c r="C1021">
        <v>1</v>
      </c>
      <c r="D1021" s="1050" t="s">
        <v>391</v>
      </c>
      <c r="E1021" s="1824">
        <v>20000</v>
      </c>
      <c r="F1021" s="131">
        <f t="shared" si="36"/>
        <v>20000</v>
      </c>
      <c r="G1021" s="354"/>
    </row>
    <row r="1022" spans="1:7" x14ac:dyDescent="0.25">
      <c r="A1022" s="1045"/>
      <c r="B1022" s="1049" t="s">
        <v>2964</v>
      </c>
      <c r="C1022">
        <v>8</v>
      </c>
      <c r="D1022" s="1051" t="s">
        <v>104</v>
      </c>
      <c r="E1022" s="1825">
        <v>102000</v>
      </c>
      <c r="F1022" s="131">
        <f t="shared" si="36"/>
        <v>816000</v>
      </c>
      <c r="G1022" s="354"/>
    </row>
    <row r="1023" spans="1:7" x14ac:dyDescent="0.25">
      <c r="A1023" s="1045"/>
      <c r="B1023" s="1049" t="s">
        <v>2965</v>
      </c>
      <c r="C1023">
        <v>1</v>
      </c>
      <c r="D1023" s="1050" t="s">
        <v>154</v>
      </c>
      <c r="E1023" s="1825">
        <v>28000</v>
      </c>
      <c r="F1023" s="131">
        <f t="shared" si="36"/>
        <v>28000</v>
      </c>
      <c r="G1023" s="354"/>
    </row>
    <row r="1024" spans="1:7" x14ac:dyDescent="0.25">
      <c r="A1024" s="1045"/>
      <c r="B1024" s="1052" t="s">
        <v>2966</v>
      </c>
      <c r="C1024">
        <v>12</v>
      </c>
      <c r="D1024" s="1050" t="s">
        <v>2967</v>
      </c>
      <c r="E1024" s="1825">
        <v>28000</v>
      </c>
      <c r="F1024" s="131">
        <f t="shared" si="36"/>
        <v>336000</v>
      </c>
      <c r="G1024" s="354"/>
    </row>
    <row r="1025" spans="1:20" x14ac:dyDescent="0.25">
      <c r="A1025" s="1045"/>
      <c r="B1025" s="1052" t="s">
        <v>2968</v>
      </c>
      <c r="C1025">
        <v>1</v>
      </c>
      <c r="D1025" s="1050" t="s">
        <v>1274</v>
      </c>
      <c r="E1025" s="1825">
        <v>35000</v>
      </c>
      <c r="F1025" s="131">
        <f t="shared" si="36"/>
        <v>35000</v>
      </c>
      <c r="G1025" s="354"/>
    </row>
    <row r="1026" spans="1:20" ht="15.75" thickBot="1" x14ac:dyDescent="0.3">
      <c r="A1026" s="1045"/>
      <c r="B1026" s="1049" t="s">
        <v>2969</v>
      </c>
      <c r="C1026">
        <v>2</v>
      </c>
      <c r="D1026" s="1050" t="s">
        <v>171</v>
      </c>
      <c r="E1026" s="1825">
        <v>1000000</v>
      </c>
      <c r="F1026" s="131">
        <f t="shared" si="36"/>
        <v>2000000</v>
      </c>
      <c r="G1026" s="354"/>
    </row>
    <row r="1027" spans="1:20" ht="15.75" thickBot="1" x14ac:dyDescent="0.3">
      <c r="A1027" s="174"/>
      <c r="B1027" s="1933" t="s">
        <v>515</v>
      </c>
      <c r="C1027" s="1934"/>
      <c r="D1027" s="1934"/>
      <c r="E1027" s="1935"/>
      <c r="F1027" s="132">
        <f>SUM(F1012:F1026)</f>
        <v>12146000</v>
      </c>
      <c r="G1027" s="354"/>
    </row>
    <row r="1028" spans="1:20" ht="15.75" thickBot="1" x14ac:dyDescent="0.3">
      <c r="A1028" s="174"/>
      <c r="B1028" s="1933" t="s">
        <v>26</v>
      </c>
      <c r="C1028" s="1934"/>
      <c r="D1028" s="1934"/>
      <c r="E1028" s="1935"/>
      <c r="F1028" s="132">
        <f>F1027+F1010+F1006</f>
        <v>20497000</v>
      </c>
      <c r="G1028" s="1148" t="s">
        <v>1223</v>
      </c>
      <c r="P1028" s="139">
        <f>F1028</f>
        <v>20497000</v>
      </c>
      <c r="T1028" s="139"/>
    </row>
    <row r="1029" spans="1:20" x14ac:dyDescent="0.25">
      <c r="A1029" s="1926" t="s">
        <v>516</v>
      </c>
      <c r="B1029" s="1926"/>
      <c r="C1029" s="152" t="s">
        <v>27</v>
      </c>
      <c r="D1029" s="1926" t="s">
        <v>3654</v>
      </c>
      <c r="E1029" s="1926"/>
      <c r="F1029" s="1926"/>
      <c r="G1029" s="152"/>
    </row>
    <row r="1030" spans="1:20" x14ac:dyDescent="0.25">
      <c r="A1030" s="1926" t="s">
        <v>28</v>
      </c>
      <c r="B1030" s="1926"/>
      <c r="C1030" s="152"/>
      <c r="D1030" s="1927" t="s">
        <v>3565</v>
      </c>
      <c r="E1030" s="1927"/>
      <c r="F1030" s="1927"/>
      <c r="G1030" s="152"/>
    </row>
    <row r="1031" spans="1:20" x14ac:dyDescent="0.25">
      <c r="A1031" s="150"/>
      <c r="B1031" s="151"/>
      <c r="C1031" s="152"/>
      <c r="D1031" s="153"/>
      <c r="E1031" s="1770"/>
      <c r="F1031" s="182"/>
      <c r="G1031" s="152"/>
    </row>
    <row r="1032" spans="1:20" x14ac:dyDescent="0.25">
      <c r="A1032" s="150"/>
      <c r="B1032" s="151"/>
      <c r="C1032" s="152"/>
      <c r="D1032" s="153"/>
      <c r="E1032" s="1770"/>
      <c r="F1032" s="182"/>
      <c r="G1032" s="152"/>
    </row>
    <row r="1033" spans="1:20" x14ac:dyDescent="0.25">
      <c r="A1033" s="1926"/>
      <c r="B1033" s="1926"/>
      <c r="C1033" s="152"/>
      <c r="D1033" s="153"/>
      <c r="E1033" s="1926"/>
      <c r="F1033" s="1926"/>
      <c r="G1033" s="152"/>
    </row>
    <row r="1034" spans="1:20" x14ac:dyDescent="0.25">
      <c r="A1034" s="1926" t="s">
        <v>29</v>
      </c>
      <c r="B1034" s="1926"/>
      <c r="C1034" s="152"/>
      <c r="D1034" s="1926" t="s">
        <v>3564</v>
      </c>
      <c r="E1034" s="1926"/>
      <c r="F1034" s="1926"/>
      <c r="G1034" s="152"/>
    </row>
    <row r="1036" spans="1:20" x14ac:dyDescent="0.25">
      <c r="A1036" s="1928" t="s">
        <v>1285</v>
      </c>
      <c r="B1036" s="1928"/>
      <c r="C1036" s="1928"/>
      <c r="D1036" s="1928"/>
      <c r="E1036" s="1928"/>
      <c r="F1036" s="1928"/>
      <c r="G1036" s="1928"/>
    </row>
    <row r="1037" spans="1:20" x14ac:dyDescent="0.25">
      <c r="A1037" s="1928" t="s">
        <v>1</v>
      </c>
      <c r="B1037" s="1928"/>
      <c r="C1037" s="1928"/>
      <c r="D1037" s="1928"/>
      <c r="E1037" s="1928"/>
      <c r="F1037" s="1928"/>
      <c r="G1037" s="1928"/>
    </row>
    <row r="1038" spans="1:20" x14ac:dyDescent="0.25">
      <c r="A1038" s="1928" t="s">
        <v>2398</v>
      </c>
      <c r="B1038" s="1928"/>
      <c r="C1038" s="1928"/>
      <c r="D1038" s="1928"/>
      <c r="E1038" s="1928"/>
      <c r="F1038" s="1928"/>
      <c r="G1038" s="1928"/>
    </row>
    <row r="1039" spans="1:20" x14ac:dyDescent="0.25">
      <c r="A1039" s="329"/>
      <c r="B1039" s="330"/>
      <c r="C1039" s="331"/>
      <c r="D1039" s="331"/>
      <c r="E1039" s="1819"/>
      <c r="F1039" s="332"/>
      <c r="G1039" s="332"/>
    </row>
    <row r="1040" spans="1:20" x14ac:dyDescent="0.25">
      <c r="A1040" s="332" t="s">
        <v>1263</v>
      </c>
      <c r="B1040" s="333"/>
      <c r="C1040" s="334"/>
      <c r="D1040" s="334"/>
      <c r="E1040" s="1820"/>
      <c r="F1040" s="335"/>
      <c r="G1040" s="332"/>
    </row>
    <row r="1041" spans="1:7" ht="30" x14ac:dyDescent="0.25">
      <c r="A1041" s="336" t="s">
        <v>659</v>
      </c>
      <c r="B1041" s="745" t="s">
        <v>2945</v>
      </c>
      <c r="C1041" s="334"/>
      <c r="D1041" s="334"/>
      <c r="E1041" s="1820" t="s">
        <v>1264</v>
      </c>
      <c r="F1041" s="335"/>
      <c r="G1041" s="332"/>
    </row>
    <row r="1042" spans="1:7" ht="30" x14ac:dyDescent="0.25">
      <c r="A1042" s="338" t="s">
        <v>685</v>
      </c>
      <c r="B1042" s="339" t="s">
        <v>3433</v>
      </c>
      <c r="C1042" s="334"/>
      <c r="D1042" s="334"/>
      <c r="E1042" s="1820" t="s">
        <v>1265</v>
      </c>
      <c r="F1042" s="335"/>
      <c r="G1042" s="336"/>
    </row>
    <row r="1043" spans="1:7" ht="45" x14ac:dyDescent="0.25">
      <c r="A1043" s="338" t="s">
        <v>1266</v>
      </c>
      <c r="B1043" s="339" t="s">
        <v>3479</v>
      </c>
      <c r="C1043" s="334"/>
      <c r="D1043" s="334"/>
      <c r="E1043" s="1820"/>
      <c r="F1043" s="335"/>
      <c r="G1043" s="336"/>
    </row>
    <row r="1044" spans="1:7" x14ac:dyDescent="0.25">
      <c r="A1044" s="332" t="s">
        <v>1267</v>
      </c>
      <c r="B1044" s="333" t="s">
        <v>60</v>
      </c>
      <c r="C1044" s="334"/>
      <c r="D1044" s="334"/>
      <c r="E1044" s="1819"/>
      <c r="F1044" s="332"/>
      <c r="G1044" s="332"/>
    </row>
    <row r="1045" spans="1:7" x14ac:dyDescent="0.25">
      <c r="A1045" s="336" t="s">
        <v>61</v>
      </c>
      <c r="B1045" s="337" t="s">
        <v>62</v>
      </c>
      <c r="C1045" s="334"/>
      <c r="D1045" s="334"/>
      <c r="E1045" s="1819"/>
      <c r="F1045" s="336"/>
      <c r="G1045" s="336"/>
    </row>
    <row r="1046" spans="1:7" x14ac:dyDescent="0.25">
      <c r="A1046" s="340"/>
      <c r="B1046" s="341"/>
      <c r="C1046" s="342"/>
      <c r="D1046" s="342"/>
      <c r="E1046" s="1764"/>
      <c r="F1046" s="340"/>
      <c r="G1046" s="340"/>
    </row>
    <row r="1047" spans="1:7" x14ac:dyDescent="0.25">
      <c r="A1047" s="343" t="s">
        <v>30</v>
      </c>
      <c r="B1047" s="343" t="s">
        <v>11</v>
      </c>
      <c r="C1047" s="1929" t="s">
        <v>12</v>
      </c>
      <c r="D1047" s="1930"/>
      <c r="E1047" s="1822" t="s">
        <v>13</v>
      </c>
      <c r="F1047" s="344" t="s">
        <v>14</v>
      </c>
      <c r="G1047" s="345" t="s">
        <v>256</v>
      </c>
    </row>
    <row r="1048" spans="1:7" x14ac:dyDescent="0.25">
      <c r="A1048" s="161">
        <v>1</v>
      </c>
      <c r="B1048" s="162">
        <v>2</v>
      </c>
      <c r="C1048" s="1931">
        <v>3</v>
      </c>
      <c r="D1048" s="1932"/>
      <c r="E1048" s="1823">
        <v>4</v>
      </c>
      <c r="F1048" s="169">
        <v>5</v>
      </c>
      <c r="G1048" s="166">
        <v>7</v>
      </c>
    </row>
    <row r="1049" spans="1:7" x14ac:dyDescent="0.25">
      <c r="A1049" s="346" t="s">
        <v>1703</v>
      </c>
      <c r="B1049" s="122" t="s">
        <v>1284</v>
      </c>
      <c r="C1049" s="123"/>
      <c r="D1049" s="124"/>
      <c r="E1049" s="537"/>
      <c r="F1049" s="126"/>
      <c r="G1049" s="166"/>
    </row>
    <row r="1050" spans="1:7" x14ac:dyDescent="0.25">
      <c r="A1050" s="346" t="s">
        <v>1704</v>
      </c>
      <c r="B1050" s="122" t="s">
        <v>2973</v>
      </c>
      <c r="C1050" s="123"/>
      <c r="D1050" s="124"/>
      <c r="E1050" s="537"/>
      <c r="F1050" s="126"/>
      <c r="G1050" s="166"/>
    </row>
    <row r="1051" spans="1:7" ht="24" x14ac:dyDescent="0.25">
      <c r="A1051" s="346" t="s">
        <v>1705</v>
      </c>
      <c r="B1051" s="122" t="s">
        <v>1279</v>
      </c>
      <c r="C1051" s="347"/>
      <c r="D1051" s="124"/>
      <c r="E1051" s="537"/>
      <c r="F1051" s="126"/>
      <c r="G1051" s="166"/>
    </row>
    <row r="1052" spans="1:7" ht="15.75" thickBot="1" x14ac:dyDescent="0.3">
      <c r="A1052" s="220"/>
      <c r="B1052" s="127" t="s">
        <v>1660</v>
      </c>
      <c r="C1052" s="347">
        <v>1</v>
      </c>
      <c r="D1052" s="124" t="s">
        <v>444</v>
      </c>
      <c r="E1052" s="537">
        <v>1567000</v>
      </c>
      <c r="F1052" s="126">
        <f>E1052*C1052</f>
        <v>1567000</v>
      </c>
      <c r="G1052" s="166"/>
    </row>
    <row r="1053" spans="1:7" ht="15.75" thickBot="1" x14ac:dyDescent="0.3">
      <c r="A1053" s="171"/>
      <c r="B1053" s="1933" t="s">
        <v>515</v>
      </c>
      <c r="C1053" s="1934"/>
      <c r="D1053" s="1934"/>
      <c r="E1053" s="1935"/>
      <c r="F1053" s="132">
        <f>SUM(F1052:F1052)</f>
        <v>1567000</v>
      </c>
      <c r="G1053" s="166"/>
    </row>
    <row r="1054" spans="1:7" x14ac:dyDescent="0.25">
      <c r="A1054" s="346" t="s">
        <v>1706</v>
      </c>
      <c r="B1054" s="349" t="s">
        <v>1268</v>
      </c>
      <c r="C1054" s="174"/>
      <c r="D1054" s="175"/>
      <c r="E1054" s="1769"/>
      <c r="F1054" s="133"/>
      <c r="G1054" s="166"/>
    </row>
    <row r="1055" spans="1:7" x14ac:dyDescent="0.25">
      <c r="A1055" s="346"/>
      <c r="B1055" s="1565" t="s">
        <v>1269</v>
      </c>
      <c r="C1055" s="1556">
        <v>11</v>
      </c>
      <c r="D1055" s="525"/>
      <c r="E1055" s="1827">
        <v>150000</v>
      </c>
      <c r="F1055" s="1557">
        <f>E1055*C1055</f>
        <v>1650000</v>
      </c>
      <c r="G1055" s="166"/>
    </row>
    <row r="1056" spans="1:7" ht="15.75" thickBot="1" x14ac:dyDescent="0.3">
      <c r="A1056" s="346"/>
      <c r="B1056" s="351" t="s">
        <v>1270</v>
      </c>
      <c r="C1056" s="352">
        <v>54</v>
      </c>
      <c r="D1056" s="199" t="s">
        <v>392</v>
      </c>
      <c r="E1056" s="1824">
        <v>120000</v>
      </c>
      <c r="F1056" s="131">
        <f>E1056*C1056</f>
        <v>6480000</v>
      </c>
      <c r="G1056" s="166"/>
    </row>
    <row r="1057" spans="1:20" ht="15.75" thickBot="1" x14ac:dyDescent="0.3">
      <c r="A1057" s="353"/>
      <c r="B1057" s="1936" t="s">
        <v>515</v>
      </c>
      <c r="C1057" s="1937"/>
      <c r="D1057" s="1937"/>
      <c r="E1057" s="1938"/>
      <c r="F1057" s="132">
        <f>SUM(F1055:F1056)</f>
        <v>8130000</v>
      </c>
      <c r="G1057" s="354"/>
    </row>
    <row r="1058" spans="1:20" x14ac:dyDescent="0.25">
      <c r="A1058" s="346" t="s">
        <v>1707</v>
      </c>
      <c r="B1058" s="316" t="s">
        <v>1271</v>
      </c>
      <c r="C1058" s="174"/>
      <c r="D1058" s="175"/>
      <c r="E1058" s="1769"/>
      <c r="F1058" s="133"/>
      <c r="G1058" s="166"/>
    </row>
    <row r="1059" spans="1:20" x14ac:dyDescent="0.25">
      <c r="A1059" s="171"/>
      <c r="B1059" s="1049" t="s">
        <v>2971</v>
      </c>
      <c r="C1059">
        <v>1</v>
      </c>
      <c r="D1059" s="1050" t="s">
        <v>171</v>
      </c>
      <c r="E1059" s="389">
        <v>66550000</v>
      </c>
      <c r="F1059" s="126">
        <f>E1059*C1059</f>
        <v>66550000</v>
      </c>
      <c r="G1059" s="166"/>
    </row>
    <row r="1060" spans="1:20" x14ac:dyDescent="0.25">
      <c r="A1060" s="171"/>
      <c r="B1060" s="1049" t="s">
        <v>2956</v>
      </c>
      <c r="C1060">
        <v>14</v>
      </c>
      <c r="D1060" s="1050" t="s">
        <v>106</v>
      </c>
      <c r="E1060" s="389">
        <v>20000</v>
      </c>
      <c r="F1060" s="126">
        <f>E1060*C1060</f>
        <v>280000</v>
      </c>
      <c r="G1060" s="166"/>
    </row>
    <row r="1061" spans="1:20" x14ac:dyDescent="0.25">
      <c r="A1061" s="171"/>
      <c r="B1061" s="1049" t="s">
        <v>2963</v>
      </c>
      <c r="C1061">
        <v>130</v>
      </c>
      <c r="D1061" s="1050" t="s">
        <v>154</v>
      </c>
      <c r="E1061" s="389">
        <v>38000</v>
      </c>
      <c r="F1061" s="126">
        <f>E1061*C1061</f>
        <v>4940000</v>
      </c>
      <c r="G1061" s="166"/>
    </row>
    <row r="1062" spans="1:20" ht="15.75" thickBot="1" x14ac:dyDescent="0.3">
      <c r="A1062" s="171"/>
      <c r="B1062" s="1049" t="s">
        <v>2972</v>
      </c>
      <c r="C1062">
        <v>3</v>
      </c>
      <c r="D1062" s="1050" t="s">
        <v>391</v>
      </c>
      <c r="E1062" s="389">
        <v>44000</v>
      </c>
      <c r="F1062" s="126">
        <f t="shared" ref="F1062" si="37">E1062*C1062</f>
        <v>132000</v>
      </c>
      <c r="G1062" s="166"/>
    </row>
    <row r="1063" spans="1:20" ht="15.75" thickBot="1" x14ac:dyDescent="0.3">
      <c r="A1063" s="174"/>
      <c r="B1063" s="1933" t="s">
        <v>515</v>
      </c>
      <c r="C1063" s="1934"/>
      <c r="D1063" s="1934"/>
      <c r="E1063" s="1935"/>
      <c r="F1063" s="132">
        <f>SUM(F1059:F1062)</f>
        <v>71902000</v>
      </c>
      <c r="G1063" s="354"/>
    </row>
    <row r="1064" spans="1:20" ht="15.75" thickBot="1" x14ac:dyDescent="0.3">
      <c r="A1064" s="174"/>
      <c r="B1064" s="1933" t="s">
        <v>26</v>
      </c>
      <c r="C1064" s="1934"/>
      <c r="D1064" s="1934"/>
      <c r="E1064" s="1935"/>
      <c r="F1064" s="132">
        <f>F1063+F1053+F1057</f>
        <v>81599000</v>
      </c>
      <c r="G1064" s="1148" t="s">
        <v>1506</v>
      </c>
      <c r="K1064" s="139">
        <f>F1064</f>
        <v>81599000</v>
      </c>
      <c r="P1064" s="139"/>
      <c r="T1064" s="139"/>
    </row>
    <row r="1065" spans="1:20" x14ac:dyDescent="0.25">
      <c r="A1065" s="1926" t="s">
        <v>516</v>
      </c>
      <c r="B1065" s="1926"/>
      <c r="C1065" s="152" t="s">
        <v>27</v>
      </c>
      <c r="D1065" s="1926" t="s">
        <v>3654</v>
      </c>
      <c r="E1065" s="1926"/>
      <c r="F1065" s="1926"/>
      <c r="G1065" s="152"/>
    </row>
    <row r="1066" spans="1:20" x14ac:dyDescent="0.25">
      <c r="A1066" s="1926" t="s">
        <v>28</v>
      </c>
      <c r="B1066" s="1926"/>
      <c r="C1066" s="152"/>
      <c r="D1066" s="1927" t="s">
        <v>3565</v>
      </c>
      <c r="E1066" s="1927"/>
      <c r="F1066" s="1927"/>
      <c r="G1066" s="152"/>
    </row>
    <row r="1067" spans="1:20" x14ac:dyDescent="0.25">
      <c r="A1067" s="150"/>
      <c r="B1067" s="151"/>
      <c r="C1067" s="152"/>
      <c r="D1067" s="153"/>
      <c r="E1067" s="1770"/>
      <c r="F1067" s="182"/>
      <c r="G1067" s="152"/>
    </row>
    <row r="1068" spans="1:20" x14ac:dyDescent="0.25">
      <c r="A1068" s="150"/>
      <c r="B1068" s="151"/>
      <c r="C1068" s="152"/>
      <c r="D1068" s="153"/>
      <c r="E1068" s="1770"/>
      <c r="F1068" s="182"/>
      <c r="G1068" s="152"/>
    </row>
    <row r="1069" spans="1:20" x14ac:dyDescent="0.25">
      <c r="A1069" s="1926"/>
      <c r="B1069" s="1926"/>
      <c r="C1069" s="152"/>
      <c r="D1069" s="153"/>
      <c r="E1069" s="1926"/>
      <c r="F1069" s="1926"/>
      <c r="G1069" s="152"/>
    </row>
    <row r="1070" spans="1:20" x14ac:dyDescent="0.25">
      <c r="A1070" s="1926" t="s">
        <v>29</v>
      </c>
      <c r="B1070" s="1926"/>
      <c r="C1070" s="152"/>
      <c r="D1070" s="1926" t="s">
        <v>3564</v>
      </c>
      <c r="E1070" s="1926"/>
      <c r="F1070" s="1926"/>
      <c r="G1070" s="152"/>
    </row>
    <row r="1071" spans="1:20" x14ac:dyDescent="0.25">
      <c r="A1071" s="153"/>
      <c r="B1071" s="524"/>
      <c r="C1071" s="524"/>
      <c r="D1071" s="524"/>
      <c r="E1071" s="1828"/>
      <c r="F1071" s="523"/>
      <c r="G1071" s="504"/>
      <c r="T1071" s="139"/>
    </row>
    <row r="1072" spans="1:20" x14ac:dyDescent="0.25">
      <c r="A1072" s="153"/>
      <c r="B1072" s="524"/>
      <c r="C1072" s="524"/>
      <c r="D1072" s="524"/>
      <c r="E1072" s="1828"/>
      <c r="F1072" s="523"/>
      <c r="G1072" s="504"/>
      <c r="T1072" s="139"/>
    </row>
    <row r="1073" spans="1:7" x14ac:dyDescent="0.25">
      <c r="A1073" s="153"/>
      <c r="B1073" s="524"/>
      <c r="C1073" s="524"/>
      <c r="D1073" s="524"/>
      <c r="E1073" s="1828"/>
      <c r="F1073" s="523"/>
      <c r="G1073" s="148"/>
    </row>
    <row r="1074" spans="1:7" x14ac:dyDescent="0.25">
      <c r="A1074" s="1926" t="s">
        <v>0</v>
      </c>
      <c r="B1074" s="1926"/>
      <c r="C1074" s="1926"/>
      <c r="D1074" s="1926"/>
      <c r="E1074" s="1926"/>
      <c r="F1074" s="1926"/>
      <c r="G1074" s="1926"/>
    </row>
    <row r="1075" spans="1:7" x14ac:dyDescent="0.25">
      <c r="A1075" s="1926" t="s">
        <v>1</v>
      </c>
      <c r="B1075" s="1926"/>
      <c r="C1075" s="1926"/>
      <c r="D1075" s="1926"/>
      <c r="E1075" s="1926"/>
      <c r="F1075" s="1926"/>
      <c r="G1075" s="1926"/>
    </row>
    <row r="1076" spans="1:7" x14ac:dyDescent="0.25">
      <c r="A1076" s="1926" t="s">
        <v>2398</v>
      </c>
      <c r="B1076" s="1926"/>
      <c r="C1076" s="1926"/>
      <c r="D1076" s="1926"/>
      <c r="E1076" s="1926"/>
      <c r="F1076" s="1926"/>
      <c r="G1076" s="1926"/>
    </row>
    <row r="1077" spans="1:7" x14ac:dyDescent="0.25">
      <c r="A1077" s="149"/>
      <c r="B1077" s="149"/>
      <c r="C1077" s="148"/>
      <c r="D1077" s="148"/>
      <c r="E1077" s="1764"/>
      <c r="F1077" s="149"/>
      <c r="G1077" s="149"/>
    </row>
    <row r="1078" spans="1:7" x14ac:dyDescent="0.25">
      <c r="A1078" s="150" t="s">
        <v>336</v>
      </c>
      <c r="B1078" s="151" t="s">
        <v>56</v>
      </c>
      <c r="C1078" s="152"/>
      <c r="D1078" s="153"/>
      <c r="E1078" s="1765"/>
      <c r="F1078" s="154"/>
      <c r="G1078" s="223"/>
    </row>
    <row r="1079" spans="1:7" x14ac:dyDescent="0.25">
      <c r="A1079" s="184" t="s">
        <v>337</v>
      </c>
      <c r="B1079" s="217" t="s">
        <v>1711</v>
      </c>
      <c r="C1079" s="217"/>
      <c r="D1079" s="217"/>
      <c r="E1079" s="1829"/>
      <c r="F1079" s="191" t="s">
        <v>6</v>
      </c>
      <c r="G1079" s="191" t="s">
        <v>62</v>
      </c>
    </row>
    <row r="1080" spans="1:7" ht="36" x14ac:dyDescent="0.25">
      <c r="A1080" s="184" t="s">
        <v>339</v>
      </c>
      <c r="B1080" s="217" t="s">
        <v>1717</v>
      </c>
      <c r="C1080" s="217"/>
      <c r="D1080" s="217"/>
      <c r="E1080" s="1830"/>
      <c r="F1080" s="217" t="s">
        <v>319</v>
      </c>
      <c r="G1080" s="184" t="s">
        <v>62</v>
      </c>
    </row>
    <row r="1081" spans="1:7" x14ac:dyDescent="0.25">
      <c r="A1081" s="182" t="s">
        <v>512</v>
      </c>
      <c r="B1081" s="182" t="s">
        <v>1718</v>
      </c>
      <c r="C1081" s="223"/>
      <c r="D1081" s="223"/>
      <c r="E1081" s="1770"/>
      <c r="F1081" s="223"/>
      <c r="G1081" s="223"/>
    </row>
    <row r="1082" spans="1:7" x14ac:dyDescent="0.25">
      <c r="A1082" s="149" t="s">
        <v>395</v>
      </c>
      <c r="B1082" s="149" t="s">
        <v>513</v>
      </c>
      <c r="C1082" s="148"/>
      <c r="D1082" s="148"/>
      <c r="E1082" s="1764"/>
      <c r="F1082" s="149"/>
      <c r="G1082" s="149"/>
    </row>
    <row r="1083" spans="1:7" x14ac:dyDescent="0.25">
      <c r="A1083" s="1952" t="s">
        <v>470</v>
      </c>
      <c r="B1083" s="1952"/>
      <c r="C1083" s="223"/>
      <c r="D1083" s="223"/>
      <c r="E1083" s="1765"/>
      <c r="F1083" s="152"/>
      <c r="G1083" s="149"/>
    </row>
    <row r="1084" spans="1:7" x14ac:dyDescent="0.25">
      <c r="A1084" s="223"/>
      <c r="B1084" s="223"/>
      <c r="C1084" s="223"/>
      <c r="D1084" s="223"/>
      <c r="E1084" s="1770"/>
      <c r="F1084" s="223"/>
      <c r="G1084" s="149"/>
    </row>
    <row r="1085" spans="1:7" x14ac:dyDescent="0.25">
      <c r="A1085" s="162" t="s">
        <v>30</v>
      </c>
      <c r="B1085" s="162" t="s">
        <v>11</v>
      </c>
      <c r="C1085" s="1959" t="s">
        <v>12</v>
      </c>
      <c r="D1085" s="1960"/>
      <c r="E1085" s="1831" t="s">
        <v>13</v>
      </c>
      <c r="F1085" s="231" t="s">
        <v>14</v>
      </c>
      <c r="G1085" s="164" t="s">
        <v>341</v>
      </c>
    </row>
    <row r="1086" spans="1:7" x14ac:dyDescent="0.25">
      <c r="A1086" s="161">
        <v>1</v>
      </c>
      <c r="B1086" s="161">
        <v>2</v>
      </c>
      <c r="C1086" s="1931">
        <v>3</v>
      </c>
      <c r="D1086" s="1932"/>
      <c r="E1086" s="1832">
        <v>4</v>
      </c>
      <c r="F1086" s="169">
        <v>5</v>
      </c>
      <c r="G1086" s="166">
        <v>6</v>
      </c>
    </row>
    <row r="1087" spans="1:7" x14ac:dyDescent="0.25">
      <c r="A1087" s="176" t="s">
        <v>1703</v>
      </c>
      <c r="B1087" s="201" t="s">
        <v>397</v>
      </c>
      <c r="C1087" s="178"/>
      <c r="D1087" s="207"/>
      <c r="E1087" s="1833"/>
      <c r="F1087" s="357"/>
      <c r="G1087" s="163"/>
    </row>
    <row r="1088" spans="1:7" ht="24" x14ac:dyDescent="0.25">
      <c r="A1088" s="176" t="s">
        <v>1704</v>
      </c>
      <c r="B1088" s="201" t="s">
        <v>1712</v>
      </c>
      <c r="C1088" s="178"/>
      <c r="D1088" s="207"/>
      <c r="E1088" s="1833"/>
      <c r="F1088" s="357"/>
      <c r="G1088" s="163"/>
    </row>
    <row r="1089" spans="1:20" ht="24.75" x14ac:dyDescent="0.25">
      <c r="A1089" s="176" t="s">
        <v>1705</v>
      </c>
      <c r="B1089" s="177" t="s">
        <v>1713</v>
      </c>
      <c r="C1089" s="178"/>
      <c r="D1089" s="207"/>
      <c r="E1089" s="1787"/>
      <c r="F1089" s="202"/>
      <c r="G1089" s="163"/>
    </row>
    <row r="1090" spans="1:20" ht="15.75" thickBot="1" x14ac:dyDescent="0.3">
      <c r="A1090" s="176"/>
      <c r="B1090" s="177" t="s">
        <v>1714</v>
      </c>
      <c r="C1090" s="178">
        <v>1</v>
      </c>
      <c r="D1090" s="321" t="s">
        <v>213</v>
      </c>
      <c r="E1090" s="1834">
        <v>727600</v>
      </c>
      <c r="F1090" s="874">
        <f>E1090*C1090</f>
        <v>727600</v>
      </c>
      <c r="G1090" s="163"/>
    </row>
    <row r="1091" spans="1:20" ht="15.75" thickBot="1" x14ac:dyDescent="0.3">
      <c r="A1091" s="176"/>
      <c r="B1091" s="177"/>
      <c r="C1091" s="1972" t="s">
        <v>515</v>
      </c>
      <c r="D1091" s="1973"/>
      <c r="E1091" s="1997"/>
      <c r="F1091" s="875">
        <f>F1090</f>
        <v>727600</v>
      </c>
      <c r="G1091" s="181"/>
    </row>
    <row r="1092" spans="1:20" x14ac:dyDescent="0.25">
      <c r="A1092" s="176" t="s">
        <v>1706</v>
      </c>
      <c r="B1092" s="465" t="s">
        <v>1715</v>
      </c>
      <c r="C1092" s="880"/>
      <c r="D1092" s="881"/>
      <c r="E1092" s="1835"/>
      <c r="F1092" s="114"/>
      <c r="G1092" s="181"/>
    </row>
    <row r="1093" spans="1:20" x14ac:dyDescent="0.25">
      <c r="A1093" s="176"/>
      <c r="B1093" s="177" t="s">
        <v>1270</v>
      </c>
      <c r="C1093" s="882">
        <v>10</v>
      </c>
      <c r="D1093" s="359" t="s">
        <v>392</v>
      </c>
      <c r="E1093" s="1787">
        <v>130000</v>
      </c>
      <c r="F1093" s="357">
        <f>E1093*C1093</f>
        <v>1300000</v>
      </c>
      <c r="G1093" s="163"/>
    </row>
    <row r="1094" spans="1:20" ht="15.75" thickBot="1" x14ac:dyDescent="0.3">
      <c r="A1094" s="176"/>
      <c r="B1094" s="177"/>
      <c r="C1094" s="877"/>
      <c r="D1094" s="170"/>
      <c r="E1094" s="1834"/>
      <c r="F1094" s="202"/>
      <c r="G1094" s="181"/>
    </row>
    <row r="1095" spans="1:20" ht="15.75" thickBot="1" x14ac:dyDescent="0.3">
      <c r="A1095" s="176"/>
      <c r="B1095" s="177"/>
      <c r="C1095" s="1972" t="s">
        <v>515</v>
      </c>
      <c r="D1095" s="1973"/>
      <c r="E1095" s="1997"/>
      <c r="F1095" s="875">
        <f>F1094+F1093</f>
        <v>1300000</v>
      </c>
      <c r="G1095" s="181"/>
    </row>
    <row r="1096" spans="1:20" x14ac:dyDescent="0.25">
      <c r="A1096" s="176" t="s">
        <v>1707</v>
      </c>
      <c r="B1096" s="177" t="s">
        <v>1716</v>
      </c>
      <c r="C1096" s="878"/>
      <c r="D1096" s="199"/>
      <c r="E1096" s="1834"/>
      <c r="F1096" s="593"/>
      <c r="G1096" s="181"/>
    </row>
    <row r="1097" spans="1:20" x14ac:dyDescent="0.25">
      <c r="A1097" s="176"/>
      <c r="B1097" s="177" t="s">
        <v>1719</v>
      </c>
      <c r="C1097" s="877">
        <v>9</v>
      </c>
      <c r="D1097" s="170" t="s">
        <v>767</v>
      </c>
      <c r="E1097" s="1787">
        <v>350000</v>
      </c>
      <c r="F1097" s="322">
        <f>E1097*C1097</f>
        <v>3150000</v>
      </c>
      <c r="G1097" s="181"/>
    </row>
    <row r="1098" spans="1:20" x14ac:dyDescent="0.25">
      <c r="A1098" s="176"/>
      <c r="B1098" s="876" t="s">
        <v>1720</v>
      </c>
      <c r="C1098" s="877">
        <v>200</v>
      </c>
      <c r="D1098" s="207" t="s">
        <v>106</v>
      </c>
      <c r="E1098" s="388">
        <v>15000</v>
      </c>
      <c r="F1098" s="322">
        <f>E1098*C1098</f>
        <v>3000000</v>
      </c>
      <c r="G1098" s="181"/>
    </row>
    <row r="1099" spans="1:20" ht="15.75" thickBot="1" x14ac:dyDescent="0.3">
      <c r="A1099" s="1"/>
      <c r="B1099" s="215"/>
      <c r="C1099" s="198"/>
      <c r="D1099" s="321"/>
      <c r="E1099" s="1804"/>
      <c r="F1099" s="874"/>
      <c r="G1099" s="859"/>
    </row>
    <row r="1100" spans="1:20" ht="15.75" thickBot="1" x14ac:dyDescent="0.3">
      <c r="A1100" s="1"/>
      <c r="B1100" s="858"/>
      <c r="C1100" s="1991" t="s">
        <v>515</v>
      </c>
      <c r="D1100" s="1992"/>
      <c r="E1100" s="1993"/>
      <c r="F1100" s="883">
        <f>SUM(F1097:F1099)</f>
        <v>6150000</v>
      </c>
      <c r="G1100" s="859"/>
    </row>
    <row r="1101" spans="1:20" x14ac:dyDescent="0.25">
      <c r="A1101" s="1"/>
      <c r="B1101" s="215"/>
      <c r="C1101" s="884"/>
      <c r="D1101" s="885"/>
      <c r="E1101" s="1833"/>
      <c r="F1101" s="886"/>
      <c r="G1101" s="1"/>
    </row>
    <row r="1102" spans="1:20" x14ac:dyDescent="0.25">
      <c r="A1102" s="1"/>
      <c r="B1102" s="1975" t="s">
        <v>26</v>
      </c>
      <c r="C1102" s="1975"/>
      <c r="D1102" s="1975"/>
      <c r="E1102" s="1975"/>
      <c r="F1102" s="22">
        <f>F1100+F1095+F1091</f>
        <v>8177600</v>
      </c>
      <c r="G1102" s="4" t="s">
        <v>1223</v>
      </c>
      <c r="P1102" s="23">
        <f>F1102</f>
        <v>8177600</v>
      </c>
      <c r="T1102" s="23"/>
    </row>
    <row r="1103" spans="1:20" x14ac:dyDescent="0.25">
      <c r="A1103" s="1926" t="s">
        <v>516</v>
      </c>
      <c r="B1103" s="1926"/>
      <c r="C1103" s="152" t="s">
        <v>27</v>
      </c>
      <c r="D1103" s="1926" t="s">
        <v>3654</v>
      </c>
      <c r="E1103" s="1926"/>
      <c r="F1103" s="1926"/>
      <c r="G1103" s="152"/>
    </row>
    <row r="1104" spans="1:20" x14ac:dyDescent="0.25">
      <c r="A1104" s="1926" t="s">
        <v>28</v>
      </c>
      <c r="B1104" s="1926"/>
      <c r="C1104" s="152"/>
      <c r="D1104" s="1927" t="s">
        <v>3565</v>
      </c>
      <c r="E1104" s="1927"/>
      <c r="F1104" s="1927"/>
      <c r="G1104" s="152"/>
    </row>
    <row r="1105" spans="1:7" x14ac:dyDescent="0.25">
      <c r="A1105" s="150"/>
      <c r="B1105" s="151"/>
      <c r="C1105" s="152"/>
      <c r="D1105" s="153"/>
      <c r="E1105" s="1770"/>
      <c r="F1105" s="182"/>
      <c r="G1105" s="152"/>
    </row>
    <row r="1106" spans="1:7" x14ac:dyDescent="0.25">
      <c r="A1106" s="150"/>
      <c r="B1106" s="151"/>
      <c r="C1106" s="152"/>
      <c r="D1106" s="153"/>
      <c r="E1106" s="1770"/>
      <c r="F1106" s="182"/>
      <c r="G1106" s="152"/>
    </row>
    <row r="1107" spans="1:7" x14ac:dyDescent="0.25">
      <c r="A1107" s="1926"/>
      <c r="B1107" s="1926"/>
      <c r="C1107" s="152"/>
      <c r="D1107" s="153"/>
      <c r="E1107" s="1926"/>
      <c r="F1107" s="1926"/>
      <c r="G1107" s="152"/>
    </row>
    <row r="1108" spans="1:7" x14ac:dyDescent="0.25">
      <c r="A1108" s="1926" t="s">
        <v>29</v>
      </c>
      <c r="B1108" s="1926"/>
      <c r="C1108" s="152"/>
      <c r="D1108" s="1926" t="s">
        <v>3564</v>
      </c>
      <c r="E1108" s="1926"/>
      <c r="F1108" s="1926"/>
      <c r="G1108" s="152"/>
    </row>
    <row r="1110" spans="1:7" x14ac:dyDescent="0.25">
      <c r="A1110" s="1926" t="s">
        <v>0</v>
      </c>
      <c r="B1110" s="1926"/>
      <c r="C1110" s="1926"/>
      <c r="D1110" s="1926"/>
      <c r="E1110" s="1926"/>
      <c r="F1110" s="1926"/>
      <c r="G1110" s="1926"/>
    </row>
    <row r="1111" spans="1:7" x14ac:dyDescent="0.25">
      <c r="A1111" s="1926" t="s">
        <v>1</v>
      </c>
      <c r="B1111" s="1926"/>
      <c r="C1111" s="1926"/>
      <c r="D1111" s="1926"/>
      <c r="E1111" s="1926"/>
      <c r="F1111" s="1926"/>
      <c r="G1111" s="1926"/>
    </row>
    <row r="1112" spans="1:7" x14ac:dyDescent="0.25">
      <c r="A1112" s="1926" t="s">
        <v>2398</v>
      </c>
      <c r="B1112" s="1926"/>
      <c r="C1112" s="1926"/>
      <c r="D1112" s="1926"/>
      <c r="E1112" s="1926"/>
      <c r="F1112" s="1926"/>
      <c r="G1112" s="1926"/>
    </row>
    <row r="1113" spans="1:7" x14ac:dyDescent="0.25">
      <c r="A1113" s="149"/>
      <c r="B1113" s="149"/>
      <c r="C1113" s="148"/>
      <c r="D1113" s="148"/>
      <c r="E1113" s="1764"/>
      <c r="F1113" s="149"/>
      <c r="G1113" s="149"/>
    </row>
    <row r="1114" spans="1:7" x14ac:dyDescent="0.25">
      <c r="A1114" s="150" t="s">
        <v>336</v>
      </c>
      <c r="B1114" s="151" t="s">
        <v>56</v>
      </c>
      <c r="C1114" s="152"/>
      <c r="D1114" s="153"/>
      <c r="E1114" s="1765"/>
      <c r="F1114" s="154"/>
      <c r="G1114" s="223"/>
    </row>
    <row r="1115" spans="1:7" x14ac:dyDescent="0.25">
      <c r="A1115" s="184" t="s">
        <v>337</v>
      </c>
      <c r="B1115" s="217" t="s">
        <v>1711</v>
      </c>
      <c r="C1115" s="217"/>
      <c r="D1115" s="217"/>
      <c r="E1115" s="1829"/>
      <c r="F1115" s="191" t="s">
        <v>6</v>
      </c>
      <c r="G1115" s="191" t="s">
        <v>62</v>
      </c>
    </row>
    <row r="1116" spans="1:7" ht="48" x14ac:dyDescent="0.25">
      <c r="A1116" s="184" t="s">
        <v>339</v>
      </c>
      <c r="B1116" s="217" t="s">
        <v>2654</v>
      </c>
      <c r="C1116" s="217"/>
      <c r="D1116" s="217"/>
      <c r="E1116" s="1830"/>
      <c r="F1116" s="217" t="s">
        <v>319</v>
      </c>
      <c r="G1116" s="184" t="s">
        <v>62</v>
      </c>
    </row>
    <row r="1117" spans="1:7" x14ac:dyDescent="0.25">
      <c r="A1117" s="182" t="s">
        <v>512</v>
      </c>
      <c r="B1117" s="182" t="s">
        <v>2655</v>
      </c>
      <c r="C1117" s="223"/>
      <c r="D1117" s="223"/>
      <c r="E1117" s="1770"/>
      <c r="F1117" s="223"/>
      <c r="G1117" s="223"/>
    </row>
    <row r="1118" spans="1:7" x14ac:dyDescent="0.25">
      <c r="A1118" s="149" t="s">
        <v>395</v>
      </c>
      <c r="B1118" s="149" t="s">
        <v>513</v>
      </c>
      <c r="C1118" s="148"/>
      <c r="D1118" s="148"/>
      <c r="E1118" s="1764"/>
      <c r="F1118" s="149"/>
      <c r="G1118" s="149"/>
    </row>
    <row r="1119" spans="1:7" x14ac:dyDescent="0.25">
      <c r="A1119" s="1952" t="s">
        <v>470</v>
      </c>
      <c r="B1119" s="1952"/>
      <c r="C1119" s="223"/>
      <c r="D1119" s="223"/>
      <c r="E1119" s="1765"/>
      <c r="F1119" s="152"/>
      <c r="G1119" s="149"/>
    </row>
    <row r="1120" spans="1:7" x14ac:dyDescent="0.25">
      <c r="A1120" s="223"/>
      <c r="B1120" s="223"/>
      <c r="C1120" s="223"/>
      <c r="D1120" s="223"/>
      <c r="E1120" s="1770"/>
      <c r="F1120" s="223"/>
      <c r="G1120" s="149"/>
    </row>
    <row r="1121" spans="1:17" x14ac:dyDescent="0.25">
      <c r="A1121" s="162" t="s">
        <v>30</v>
      </c>
      <c r="B1121" s="162" t="s">
        <v>11</v>
      </c>
      <c r="C1121" s="1959" t="s">
        <v>12</v>
      </c>
      <c r="D1121" s="1960"/>
      <c r="E1121" s="1831" t="s">
        <v>13</v>
      </c>
      <c r="F1121" s="231" t="s">
        <v>14</v>
      </c>
      <c r="G1121" s="164" t="s">
        <v>341</v>
      </c>
    </row>
    <row r="1122" spans="1:17" x14ac:dyDescent="0.25">
      <c r="A1122" s="161">
        <v>1</v>
      </c>
      <c r="B1122" s="161">
        <v>2</v>
      </c>
      <c r="C1122" s="1931">
        <v>3</v>
      </c>
      <c r="D1122" s="1932"/>
      <c r="E1122" s="1832">
        <v>4</v>
      </c>
      <c r="F1122" s="169">
        <v>5</v>
      </c>
      <c r="G1122" s="166">
        <v>6</v>
      </c>
    </row>
    <row r="1123" spans="1:17" x14ac:dyDescent="0.25">
      <c r="A1123" s="176" t="s">
        <v>2656</v>
      </c>
      <c r="B1123" s="201" t="s">
        <v>277</v>
      </c>
      <c r="C1123" s="178"/>
      <c r="D1123" s="207"/>
      <c r="E1123" s="1833"/>
      <c r="F1123" s="357"/>
      <c r="G1123" s="163"/>
    </row>
    <row r="1124" spans="1:17" x14ac:dyDescent="0.25">
      <c r="A1124" s="176" t="s">
        <v>2657</v>
      </c>
      <c r="B1124" s="201" t="s">
        <v>478</v>
      </c>
      <c r="C1124" s="178"/>
      <c r="D1124" s="207"/>
      <c r="E1124" s="1833"/>
      <c r="F1124" s="357"/>
      <c r="G1124" s="163"/>
    </row>
    <row r="1125" spans="1:17" ht="24.75" x14ac:dyDescent="0.25">
      <c r="A1125" s="176" t="s">
        <v>2658</v>
      </c>
      <c r="B1125" s="177" t="s">
        <v>2660</v>
      </c>
      <c r="C1125" s="178"/>
      <c r="D1125" s="207"/>
      <c r="E1125" s="1787"/>
      <c r="F1125" s="202"/>
      <c r="G1125" s="163"/>
    </row>
    <row r="1126" spans="1:17" x14ac:dyDescent="0.25">
      <c r="A1126" s="176"/>
      <c r="B1126" s="177" t="s">
        <v>179</v>
      </c>
      <c r="C1126" s="178">
        <v>1</v>
      </c>
      <c r="D1126" s="321" t="s">
        <v>269</v>
      </c>
      <c r="E1126" s="1834">
        <v>300000</v>
      </c>
      <c r="F1126" s="874">
        <f>E1126*C1126</f>
        <v>300000</v>
      </c>
      <c r="G1126" s="163"/>
    </row>
    <row r="1127" spans="1:17" x14ac:dyDescent="0.25">
      <c r="A1127" s="176"/>
      <c r="B1127" s="177" t="s">
        <v>180</v>
      </c>
      <c r="C1127" s="178">
        <v>1</v>
      </c>
      <c r="D1127" s="321" t="s">
        <v>269</v>
      </c>
      <c r="E1127" s="1834">
        <v>250000</v>
      </c>
      <c r="F1127" s="874">
        <f t="shared" ref="F1127:F1128" si="38">E1127*C1127</f>
        <v>250000</v>
      </c>
      <c r="G1127" s="163"/>
    </row>
    <row r="1128" spans="1:17" x14ac:dyDescent="0.25">
      <c r="A1128" s="176"/>
      <c r="B1128" s="177" t="s">
        <v>331</v>
      </c>
      <c r="C1128" s="178">
        <v>1</v>
      </c>
      <c r="D1128" s="207" t="s">
        <v>269</v>
      </c>
      <c r="E1128" s="1834">
        <v>200000</v>
      </c>
      <c r="F1128" s="202">
        <f t="shared" si="38"/>
        <v>200000</v>
      </c>
      <c r="G1128" s="163"/>
    </row>
    <row r="1129" spans="1:17" x14ac:dyDescent="0.25">
      <c r="A1129" s="176" t="s">
        <v>2659</v>
      </c>
      <c r="B1129" s="177" t="s">
        <v>2661</v>
      </c>
      <c r="C1129" s="178"/>
      <c r="D1129" s="207"/>
      <c r="E1129" s="1787"/>
      <c r="F1129" s="202"/>
      <c r="G1129" s="163"/>
    </row>
    <row r="1130" spans="1:17" ht="24.75" x14ac:dyDescent="0.25">
      <c r="A1130" s="176"/>
      <c r="B1130" s="177" t="s">
        <v>2662</v>
      </c>
      <c r="C1130" s="178">
        <v>1</v>
      </c>
      <c r="D1130" s="207" t="s">
        <v>1550</v>
      </c>
      <c r="E1130" s="1787">
        <v>50000000</v>
      </c>
      <c r="F1130" s="202">
        <f>E1130*C1130</f>
        <v>50000000</v>
      </c>
      <c r="G1130" s="163"/>
    </row>
    <row r="1131" spans="1:17" ht="15.75" thickBot="1" x14ac:dyDescent="0.3">
      <c r="A1131" s="176"/>
      <c r="B1131" s="177"/>
      <c r="C1131" s="995"/>
      <c r="D1131" s="996"/>
      <c r="E1131" s="1787"/>
      <c r="F1131" s="994"/>
      <c r="G1131" s="163"/>
    </row>
    <row r="1132" spans="1:17" ht="15.75" thickBot="1" x14ac:dyDescent="0.3">
      <c r="A1132" s="176"/>
      <c r="B1132" s="177"/>
      <c r="C1132" s="1972" t="s">
        <v>515</v>
      </c>
      <c r="D1132" s="1973"/>
      <c r="E1132" s="1974"/>
      <c r="F1132" s="875">
        <f>SUM(F1126:F1131)</f>
        <v>50750000</v>
      </c>
      <c r="G1132" s="181"/>
    </row>
    <row r="1133" spans="1:17" x14ac:dyDescent="0.25">
      <c r="A1133" s="1"/>
      <c r="B1133" s="215"/>
      <c r="C1133" s="198"/>
      <c r="D1133" s="321"/>
      <c r="E1133" s="1804"/>
      <c r="F1133" s="874"/>
      <c r="G1133" s="859"/>
    </row>
    <row r="1134" spans="1:17" x14ac:dyDescent="0.25">
      <c r="A1134" s="1"/>
      <c r="B1134" s="215"/>
      <c r="C1134" s="884"/>
      <c r="D1134" s="885"/>
      <c r="E1134" s="1833"/>
      <c r="F1134" s="886"/>
      <c r="G1134" s="1"/>
    </row>
    <row r="1135" spans="1:17" x14ac:dyDescent="0.25">
      <c r="A1135" s="1"/>
      <c r="B1135" s="1975" t="s">
        <v>26</v>
      </c>
      <c r="C1135" s="1975"/>
      <c r="D1135" s="1975"/>
      <c r="E1135" s="1975"/>
      <c r="F1135" s="22">
        <f>F1132</f>
        <v>50750000</v>
      </c>
      <c r="G1135" s="4" t="s">
        <v>1223</v>
      </c>
      <c r="K1135" s="23"/>
      <c r="P1135" s="23">
        <f>F1135</f>
        <v>50750000</v>
      </c>
      <c r="Q1135" s="23"/>
    </row>
    <row r="1136" spans="1:17" x14ac:dyDescent="0.25">
      <c r="A1136" s="1926" t="s">
        <v>516</v>
      </c>
      <c r="B1136" s="1926"/>
      <c r="C1136" s="152" t="s">
        <v>27</v>
      </c>
      <c r="D1136" s="1926" t="s">
        <v>3654</v>
      </c>
      <c r="E1136" s="1926"/>
      <c r="F1136" s="1926"/>
      <c r="G1136" s="152"/>
    </row>
    <row r="1137" spans="1:7" x14ac:dyDescent="0.25">
      <c r="A1137" s="1926" t="s">
        <v>28</v>
      </c>
      <c r="B1137" s="1926"/>
      <c r="C1137" s="152"/>
      <c r="D1137" s="1927" t="s">
        <v>3566</v>
      </c>
      <c r="E1137" s="1927"/>
      <c r="F1137" s="1927"/>
      <c r="G1137" s="152"/>
    </row>
    <row r="1138" spans="1:7" x14ac:dyDescent="0.25">
      <c r="A1138" s="150"/>
      <c r="B1138" s="151"/>
      <c r="C1138" s="152"/>
      <c r="D1138" s="153"/>
      <c r="E1138" s="1770"/>
      <c r="F1138" s="182"/>
      <c r="G1138" s="152"/>
    </row>
    <row r="1139" spans="1:7" x14ac:dyDescent="0.25">
      <c r="A1139" s="150"/>
      <c r="B1139" s="151"/>
      <c r="C1139" s="152"/>
      <c r="D1139" s="153"/>
      <c r="E1139" s="1770"/>
      <c r="F1139" s="182"/>
      <c r="G1139" s="152"/>
    </row>
    <row r="1140" spans="1:7" x14ac:dyDescent="0.25">
      <c r="A1140" s="1926"/>
      <c r="B1140" s="1926"/>
      <c r="C1140" s="152"/>
      <c r="D1140" s="153"/>
      <c r="E1140" s="1926"/>
      <c r="F1140" s="1926"/>
      <c r="G1140" s="152"/>
    </row>
    <row r="1141" spans="1:7" x14ac:dyDescent="0.25">
      <c r="A1141" s="1926" t="s">
        <v>29</v>
      </c>
      <c r="B1141" s="1926"/>
      <c r="C1141" s="152"/>
      <c r="D1141" s="1926" t="s">
        <v>3569</v>
      </c>
      <c r="E1141" s="1926"/>
      <c r="F1141" s="1926"/>
      <c r="G1141" s="152"/>
    </row>
    <row r="1144" spans="1:7" x14ac:dyDescent="0.25">
      <c r="A1144" s="1947" t="s">
        <v>0</v>
      </c>
      <c r="B1144" s="1947"/>
      <c r="C1144" s="1947"/>
      <c r="D1144" s="1947"/>
      <c r="E1144" s="1947"/>
      <c r="F1144" s="1947"/>
      <c r="G1144" s="1947"/>
    </row>
    <row r="1145" spans="1:7" x14ac:dyDescent="0.25">
      <c r="A1145" s="1947" t="s">
        <v>1</v>
      </c>
      <c r="B1145" s="1947"/>
      <c r="C1145" s="1947"/>
      <c r="D1145" s="1947"/>
      <c r="E1145" s="1947"/>
      <c r="F1145" s="1947"/>
      <c r="G1145" s="1947"/>
    </row>
    <row r="1146" spans="1:7" x14ac:dyDescent="0.25">
      <c r="A1146" s="1947" t="s">
        <v>2398</v>
      </c>
      <c r="B1146" s="1947"/>
      <c r="C1146" s="1947"/>
      <c r="D1146" s="1947"/>
      <c r="E1146" s="1947"/>
      <c r="F1146" s="1947"/>
      <c r="G1146" s="1947"/>
    </row>
    <row r="1147" spans="1:7" x14ac:dyDescent="0.25">
      <c r="A1147" s="148"/>
      <c r="B1147" s="148"/>
      <c r="C1147" s="148"/>
      <c r="D1147" s="148"/>
      <c r="E1147" s="1764"/>
      <c r="F1147" s="148"/>
      <c r="G1147" s="148"/>
    </row>
    <row r="1148" spans="1:7" x14ac:dyDescent="0.25">
      <c r="A1148" s="226" t="s">
        <v>251</v>
      </c>
      <c r="B1148" s="189" t="s">
        <v>3</v>
      </c>
      <c r="C1148" s="226"/>
      <c r="D1148" s="226"/>
      <c r="E1148" s="1772" t="s">
        <v>6</v>
      </c>
      <c r="F1148" s="191"/>
    </row>
    <row r="1149" spans="1:7" ht="38.25" x14ac:dyDescent="0.25">
      <c r="A1149" s="226" t="s">
        <v>252</v>
      </c>
      <c r="B1149" s="189" t="s">
        <v>318</v>
      </c>
      <c r="C1149" s="226"/>
      <c r="D1149" s="226"/>
      <c r="E1149" s="1830" t="s">
        <v>319</v>
      </c>
      <c r="F1149" s="184"/>
    </row>
    <row r="1150" spans="1:7" ht="25.5" x14ac:dyDescent="0.25">
      <c r="A1150" s="228" t="s">
        <v>253</v>
      </c>
      <c r="B1150" s="228" t="s">
        <v>2326</v>
      </c>
      <c r="C1150" s="228"/>
      <c r="D1150" s="228"/>
      <c r="E1150" s="1782"/>
      <c r="F1150" s="228"/>
    </row>
    <row r="1151" spans="1:7" x14ac:dyDescent="0.25">
      <c r="A1151" s="190" t="s">
        <v>59</v>
      </c>
      <c r="B1151" s="190" t="s">
        <v>60</v>
      </c>
      <c r="C1151" s="190"/>
      <c r="D1151" s="152"/>
      <c r="E1151" s="1770"/>
      <c r="F1151" s="152"/>
    </row>
    <row r="1152" spans="1:7" x14ac:dyDescent="0.25">
      <c r="A1152" s="190" t="s">
        <v>61</v>
      </c>
      <c r="B1152" s="190" t="s">
        <v>62</v>
      </c>
      <c r="C1152" s="190"/>
      <c r="D1152" s="1952"/>
      <c r="E1152" s="1952"/>
      <c r="F1152" s="152"/>
    </row>
    <row r="1153" spans="1:19" x14ac:dyDescent="0.25">
      <c r="A1153" s="162" t="s">
        <v>30</v>
      </c>
      <c r="B1153" s="162" t="s">
        <v>11</v>
      </c>
      <c r="C1153" s="1959" t="s">
        <v>12</v>
      </c>
      <c r="D1153" s="1960"/>
      <c r="E1153" s="1831" t="s">
        <v>13</v>
      </c>
      <c r="F1153" s="231" t="s">
        <v>14</v>
      </c>
      <c r="G1153" s="164" t="s">
        <v>341</v>
      </c>
    </row>
    <row r="1154" spans="1:19" x14ac:dyDescent="0.25">
      <c r="A1154" s="161">
        <v>1</v>
      </c>
      <c r="B1154" s="161">
        <v>2</v>
      </c>
      <c r="C1154" s="1931">
        <v>3</v>
      </c>
      <c r="D1154" s="1932"/>
      <c r="E1154" s="1832">
        <v>4</v>
      </c>
      <c r="F1154" s="169">
        <v>5</v>
      </c>
      <c r="G1154" s="166">
        <v>6</v>
      </c>
    </row>
    <row r="1155" spans="1:19" ht="18.75" x14ac:dyDescent="0.3">
      <c r="A1155" s="176"/>
      <c r="B1155" s="356" t="s">
        <v>321</v>
      </c>
      <c r="C1155" s="178"/>
      <c r="D1155" s="207"/>
      <c r="E1155" s="1833"/>
      <c r="F1155" s="357"/>
      <c r="G1155" s="178"/>
    </row>
    <row r="1156" spans="1:19" x14ac:dyDescent="0.25">
      <c r="A1156" s="176" t="s">
        <v>2323</v>
      </c>
      <c r="B1156" s="358" t="s">
        <v>277</v>
      </c>
      <c r="C1156" s="172"/>
      <c r="D1156" s="359"/>
      <c r="E1156" s="1833"/>
      <c r="F1156" s="357"/>
      <c r="G1156" s="172"/>
    </row>
    <row r="1157" spans="1:19" x14ac:dyDescent="0.25">
      <c r="A1157" s="176" t="s">
        <v>2324</v>
      </c>
      <c r="B1157" s="358" t="s">
        <v>84</v>
      </c>
      <c r="C1157" s="172"/>
      <c r="D1157" s="359"/>
      <c r="E1157" s="1833"/>
      <c r="F1157" s="357"/>
      <c r="G1157" s="172"/>
    </row>
    <row r="1158" spans="1:19" x14ac:dyDescent="0.25">
      <c r="A1158" s="176" t="s">
        <v>2325</v>
      </c>
      <c r="B1158" s="360" t="s">
        <v>307</v>
      </c>
      <c r="C1158" s="361"/>
      <c r="D1158" s="207"/>
      <c r="E1158" s="1787"/>
      <c r="F1158" s="202"/>
      <c r="G1158" s="361"/>
    </row>
    <row r="1159" spans="1:19" x14ac:dyDescent="0.25">
      <c r="A1159" s="181"/>
      <c r="B1159" s="181" t="s">
        <v>1780</v>
      </c>
      <c r="C1159" s="178">
        <v>20</v>
      </c>
      <c r="D1159" s="207" t="s">
        <v>156</v>
      </c>
      <c r="E1159" s="1796">
        <v>20000</v>
      </c>
      <c r="F1159" s="202">
        <f>E1159*C1159</f>
        <v>400000</v>
      </c>
      <c r="G1159" s="178"/>
    </row>
    <row r="1160" spans="1:19" x14ac:dyDescent="0.25">
      <c r="A1160" s="181"/>
      <c r="B1160" s="181"/>
      <c r="C1160" s="178"/>
      <c r="D1160" s="207"/>
      <c r="E1160" s="1787"/>
      <c r="F1160" s="202"/>
      <c r="G1160" s="178"/>
    </row>
    <row r="1161" spans="1:19" x14ac:dyDescent="0.25">
      <c r="A1161" s="181" t="s">
        <v>2743</v>
      </c>
      <c r="B1161" s="181" t="s">
        <v>330</v>
      </c>
      <c r="C1161" s="178"/>
      <c r="D1161" s="211"/>
      <c r="E1161" s="1787"/>
      <c r="F1161" s="202"/>
      <c r="G1161" s="178"/>
    </row>
    <row r="1162" spans="1:19" x14ac:dyDescent="0.25">
      <c r="A1162" s="181" t="s">
        <v>2744</v>
      </c>
      <c r="B1162" s="177" t="s">
        <v>333</v>
      </c>
      <c r="C1162" s="178"/>
      <c r="D1162" s="207"/>
      <c r="E1162" s="1787"/>
      <c r="F1162" s="202"/>
      <c r="G1162" s="178"/>
    </row>
    <row r="1163" spans="1:19" x14ac:dyDescent="0.25">
      <c r="A1163" s="206"/>
      <c r="B1163" s="177" t="s">
        <v>1781</v>
      </c>
      <c r="C1163" s="178">
        <v>18</v>
      </c>
      <c r="D1163" s="207" t="s">
        <v>269</v>
      </c>
      <c r="E1163" s="1787">
        <v>300000</v>
      </c>
      <c r="F1163" s="202">
        <f>E1163*C1163</f>
        <v>5400000</v>
      </c>
      <c r="G1163" s="178"/>
    </row>
    <row r="1164" spans="1:19" x14ac:dyDescent="0.25">
      <c r="A1164" s="206"/>
      <c r="B1164" s="177"/>
      <c r="C1164" s="178"/>
      <c r="D1164" s="207"/>
      <c r="E1164" s="1787"/>
      <c r="F1164" s="202"/>
      <c r="G1164" s="178"/>
    </row>
    <row r="1165" spans="1:19" x14ac:dyDescent="0.25">
      <c r="A1165" s="206"/>
      <c r="B1165" s="1976" t="s">
        <v>26</v>
      </c>
      <c r="C1165" s="1977"/>
      <c r="D1165" s="1977"/>
      <c r="E1165" s="1978"/>
      <c r="F1165" s="215">
        <f>SUM(F1158:F1164)</f>
        <v>5800000</v>
      </c>
      <c r="G1165" s="325" t="s">
        <v>1220</v>
      </c>
      <c r="J1165" s="23">
        <f>F1165</f>
        <v>5800000</v>
      </c>
      <c r="K1165" s="23"/>
      <c r="S1165" s="23"/>
    </row>
    <row r="1166" spans="1:19" x14ac:dyDescent="0.25">
      <c r="A1166" s="1926" t="s">
        <v>516</v>
      </c>
      <c r="B1166" s="1926"/>
      <c r="C1166" s="152" t="s">
        <v>27</v>
      </c>
      <c r="D1166" s="1926" t="s">
        <v>3654</v>
      </c>
      <c r="E1166" s="1926"/>
      <c r="F1166" s="1926"/>
      <c r="G1166" s="152"/>
    </row>
    <row r="1167" spans="1:19" x14ac:dyDescent="0.25">
      <c r="A1167" s="1926" t="s">
        <v>28</v>
      </c>
      <c r="B1167" s="1926"/>
      <c r="C1167" s="152"/>
      <c r="D1167" s="1927" t="s">
        <v>3567</v>
      </c>
      <c r="E1167" s="1927"/>
      <c r="F1167" s="1927"/>
      <c r="G1167" s="152"/>
    </row>
    <row r="1168" spans="1:19" x14ac:dyDescent="0.25">
      <c r="A1168" s="150"/>
      <c r="B1168" s="151"/>
      <c r="C1168" s="152"/>
      <c r="D1168" s="153"/>
      <c r="E1168" s="1770"/>
      <c r="F1168" s="182"/>
      <c r="G1168" s="152"/>
    </row>
    <row r="1169" spans="1:7" x14ac:dyDescent="0.25">
      <c r="A1169" s="150"/>
      <c r="B1169" s="151"/>
      <c r="C1169" s="152"/>
      <c r="D1169" s="153"/>
      <c r="E1169" s="1770"/>
      <c r="F1169" s="182"/>
      <c r="G1169" s="152"/>
    </row>
    <row r="1170" spans="1:7" x14ac:dyDescent="0.25">
      <c r="A1170" s="1926"/>
      <c r="B1170" s="1926"/>
      <c r="C1170" s="152"/>
      <c r="D1170" s="153"/>
      <c r="E1170" s="1926"/>
      <c r="F1170" s="1926"/>
      <c r="G1170" s="152"/>
    </row>
    <row r="1171" spans="1:7" x14ac:dyDescent="0.25">
      <c r="A1171" s="1926" t="s">
        <v>29</v>
      </c>
      <c r="B1171" s="1926"/>
      <c r="C1171" s="152"/>
      <c r="D1171" s="1926" t="s">
        <v>3568</v>
      </c>
      <c r="E1171" s="1926"/>
      <c r="F1171" s="1926"/>
      <c r="G1171" s="152"/>
    </row>
    <row r="1172" spans="1:7" x14ac:dyDescent="0.25">
      <c r="A1172" s="216"/>
      <c r="B1172" s="151"/>
      <c r="C1172" s="152"/>
      <c r="D1172" s="153"/>
      <c r="E1172" s="1765"/>
      <c r="F1172" s="155"/>
      <c r="G1172" s="152"/>
    </row>
    <row r="1176" spans="1:7" x14ac:dyDescent="0.25">
      <c r="A1176" s="1947" t="s">
        <v>0</v>
      </c>
      <c r="B1176" s="1947"/>
      <c r="C1176" s="1947"/>
      <c r="D1176" s="1947"/>
      <c r="E1176" s="1947"/>
      <c r="F1176" s="1947"/>
      <c r="G1176" s="1947"/>
    </row>
    <row r="1177" spans="1:7" x14ac:dyDescent="0.25">
      <c r="A1177" s="1947" t="s">
        <v>1</v>
      </c>
      <c r="B1177" s="1947"/>
      <c r="C1177" s="1947"/>
      <c r="D1177" s="1947"/>
      <c r="E1177" s="1947"/>
      <c r="F1177" s="1947"/>
      <c r="G1177" s="1947"/>
    </row>
    <row r="1178" spans="1:7" x14ac:dyDescent="0.25">
      <c r="A1178" s="1947" t="s">
        <v>2398</v>
      </c>
      <c r="B1178" s="1947"/>
      <c r="C1178" s="1947"/>
      <c r="D1178" s="1947"/>
      <c r="E1178" s="1947"/>
      <c r="F1178" s="1947"/>
      <c r="G1178" s="1947"/>
    </row>
    <row r="1179" spans="1:7" x14ac:dyDescent="0.25">
      <c r="A1179" s="148"/>
      <c r="B1179" s="148"/>
      <c r="C1179" s="148"/>
      <c r="D1179" s="148"/>
      <c r="E1179" s="1764"/>
      <c r="F1179" s="148"/>
      <c r="G1179" s="148"/>
    </row>
    <row r="1180" spans="1:7" x14ac:dyDescent="0.25">
      <c r="A1180" s="226" t="s">
        <v>251</v>
      </c>
      <c r="B1180" s="189" t="s">
        <v>3</v>
      </c>
      <c r="C1180" s="226"/>
      <c r="D1180" s="226"/>
      <c r="E1180" s="1772" t="s">
        <v>6</v>
      </c>
      <c r="F1180" s="191"/>
    </row>
    <row r="1181" spans="1:7" ht="38.25" x14ac:dyDescent="0.25">
      <c r="A1181" s="226" t="s">
        <v>252</v>
      </c>
      <c r="B1181" s="189" t="s">
        <v>318</v>
      </c>
      <c r="C1181" s="226"/>
      <c r="D1181" s="226"/>
      <c r="E1181" s="1830" t="s">
        <v>319</v>
      </c>
      <c r="F1181" s="184"/>
    </row>
    <row r="1182" spans="1:7" ht="38.25" x14ac:dyDescent="0.25">
      <c r="A1182" s="228" t="s">
        <v>253</v>
      </c>
      <c r="B1182" s="228" t="s">
        <v>1782</v>
      </c>
      <c r="C1182" s="228"/>
      <c r="D1182" s="228"/>
      <c r="E1182" s="1782"/>
      <c r="F1182" s="228"/>
    </row>
    <row r="1183" spans="1:7" x14ac:dyDescent="0.25">
      <c r="A1183" s="190" t="s">
        <v>59</v>
      </c>
      <c r="B1183" s="190" t="s">
        <v>60</v>
      </c>
      <c r="C1183" s="190"/>
      <c r="D1183" s="152"/>
      <c r="E1183" s="1770"/>
      <c r="F1183" s="152"/>
    </row>
    <row r="1184" spans="1:7" x14ac:dyDescent="0.25">
      <c r="A1184" s="190" t="s">
        <v>61</v>
      </c>
      <c r="B1184" s="190" t="s">
        <v>62</v>
      </c>
      <c r="C1184" s="190"/>
      <c r="D1184" s="1952"/>
      <c r="E1184" s="1952"/>
      <c r="F1184" s="152"/>
    </row>
    <row r="1185" spans="1:19" x14ac:dyDescent="0.25">
      <c r="A1185" s="162" t="s">
        <v>30</v>
      </c>
      <c r="B1185" s="162" t="s">
        <v>11</v>
      </c>
      <c r="C1185" s="1959" t="s">
        <v>12</v>
      </c>
      <c r="D1185" s="1960"/>
      <c r="E1185" s="1831" t="s">
        <v>13</v>
      </c>
      <c r="F1185" s="231" t="s">
        <v>14</v>
      </c>
      <c r="G1185" s="164" t="s">
        <v>341</v>
      </c>
    </row>
    <row r="1186" spans="1:19" x14ac:dyDescent="0.25">
      <c r="A1186" s="161">
        <v>1</v>
      </c>
      <c r="B1186" s="161">
        <v>2</v>
      </c>
      <c r="C1186" s="1931">
        <v>3</v>
      </c>
      <c r="D1186" s="1932"/>
      <c r="E1186" s="1832">
        <v>4</v>
      </c>
      <c r="F1186" s="169">
        <v>5</v>
      </c>
      <c r="G1186" s="166">
        <v>6</v>
      </c>
    </row>
    <row r="1187" spans="1:19" ht="18.75" x14ac:dyDescent="0.3">
      <c r="A1187" s="176"/>
      <c r="B1187" s="356" t="s">
        <v>321</v>
      </c>
      <c r="C1187" s="178"/>
      <c r="D1187" s="207"/>
      <c r="E1187" s="1833"/>
      <c r="F1187" s="357"/>
      <c r="G1187" s="178"/>
    </row>
    <row r="1188" spans="1:19" x14ac:dyDescent="0.25">
      <c r="A1188" s="176" t="s">
        <v>322</v>
      </c>
      <c r="B1188" s="358" t="s">
        <v>277</v>
      </c>
      <c r="C1188" s="172"/>
      <c r="D1188" s="359"/>
      <c r="E1188" s="1833"/>
      <c r="F1188" s="357"/>
      <c r="G1188" s="172"/>
    </row>
    <row r="1189" spans="1:19" x14ac:dyDescent="0.25">
      <c r="A1189" s="176" t="s">
        <v>323</v>
      </c>
      <c r="B1189" s="358" t="s">
        <v>84</v>
      </c>
      <c r="C1189" s="172"/>
      <c r="D1189" s="359"/>
      <c r="E1189" s="1833"/>
      <c r="F1189" s="357"/>
      <c r="G1189" s="172"/>
    </row>
    <row r="1190" spans="1:19" x14ac:dyDescent="0.25">
      <c r="A1190" s="176" t="s">
        <v>324</v>
      </c>
      <c r="B1190" s="360" t="s">
        <v>307</v>
      </c>
      <c r="C1190" s="361"/>
      <c r="D1190" s="207"/>
      <c r="E1190" s="1787"/>
      <c r="F1190" s="202"/>
      <c r="G1190" s="361"/>
    </row>
    <row r="1191" spans="1:19" x14ac:dyDescent="0.25">
      <c r="A1191" s="181"/>
      <c r="B1191" s="181" t="s">
        <v>1780</v>
      </c>
      <c r="C1191" s="178">
        <v>20</v>
      </c>
      <c r="D1191" s="207" t="s">
        <v>156</v>
      </c>
      <c r="E1191" s="1796">
        <v>20000</v>
      </c>
      <c r="F1191" s="202">
        <f>E1191*C1191</f>
        <v>400000</v>
      </c>
      <c r="G1191" s="178"/>
    </row>
    <row r="1192" spans="1:19" x14ac:dyDescent="0.25">
      <c r="A1192" s="181"/>
      <c r="B1192" s="181"/>
      <c r="C1192" s="178"/>
      <c r="D1192" s="207"/>
      <c r="E1192" s="1787"/>
      <c r="F1192" s="202"/>
      <c r="G1192" s="178"/>
    </row>
    <row r="1193" spans="1:19" x14ac:dyDescent="0.25">
      <c r="A1193" s="181" t="s">
        <v>329</v>
      </c>
      <c r="B1193" s="181" t="s">
        <v>330</v>
      </c>
      <c r="C1193" s="178"/>
      <c r="D1193" s="211"/>
      <c r="E1193" s="1787"/>
      <c r="F1193" s="202"/>
      <c r="G1193" s="178"/>
    </row>
    <row r="1194" spans="1:19" x14ac:dyDescent="0.25">
      <c r="A1194" s="181" t="s">
        <v>332</v>
      </c>
      <c r="B1194" s="177" t="s">
        <v>333</v>
      </c>
      <c r="C1194" s="178"/>
      <c r="D1194" s="207"/>
      <c r="E1194" s="1787"/>
      <c r="F1194" s="202"/>
      <c r="G1194" s="178"/>
    </row>
    <row r="1195" spans="1:19" x14ac:dyDescent="0.25">
      <c r="A1195" s="206"/>
      <c r="B1195" s="177" t="s">
        <v>1783</v>
      </c>
      <c r="C1195" s="178">
        <v>5</v>
      </c>
      <c r="D1195" s="207" t="s">
        <v>269</v>
      </c>
      <c r="E1195" s="1787">
        <v>300000</v>
      </c>
      <c r="F1195" s="202">
        <f>E1195*C1195</f>
        <v>1500000</v>
      </c>
      <c r="G1195" s="178"/>
    </row>
    <row r="1196" spans="1:19" x14ac:dyDescent="0.25">
      <c r="A1196" s="206"/>
      <c r="B1196" s="177"/>
      <c r="C1196" s="178"/>
      <c r="D1196" s="207"/>
      <c r="E1196" s="1787"/>
      <c r="F1196" s="202"/>
      <c r="G1196" s="178"/>
    </row>
    <row r="1197" spans="1:19" x14ac:dyDescent="0.25">
      <c r="A1197" s="206"/>
      <c r="B1197" s="1976" t="s">
        <v>26</v>
      </c>
      <c r="C1197" s="1977"/>
      <c r="D1197" s="1977"/>
      <c r="E1197" s="1978"/>
      <c r="F1197" s="215">
        <f>SUM(F1190:F1196)</f>
        <v>1900000</v>
      </c>
      <c r="G1197" s="325" t="s">
        <v>1220</v>
      </c>
      <c r="J1197" s="23">
        <f>F1197</f>
        <v>1900000</v>
      </c>
      <c r="K1197" s="23"/>
      <c r="S1197" s="23"/>
    </row>
    <row r="1198" spans="1:19" x14ac:dyDescent="0.25">
      <c r="A1198" s="216"/>
      <c r="B1198" s="151"/>
      <c r="C1198" s="152"/>
      <c r="D1198" s="153"/>
      <c r="E1198" s="1765"/>
      <c r="F1198" s="155"/>
      <c r="G1198" s="152"/>
    </row>
    <row r="1199" spans="1:19" x14ac:dyDescent="0.25">
      <c r="A1199" s="1926" t="s">
        <v>516</v>
      </c>
      <c r="B1199" s="1926"/>
      <c r="C1199" s="152" t="s">
        <v>27</v>
      </c>
      <c r="D1199" s="1926" t="s">
        <v>3654</v>
      </c>
      <c r="E1199" s="1926"/>
      <c r="F1199" s="1926"/>
      <c r="G1199" s="152"/>
    </row>
    <row r="1200" spans="1:19" x14ac:dyDescent="0.25">
      <c r="A1200" s="1926" t="s">
        <v>28</v>
      </c>
      <c r="B1200" s="1926"/>
      <c r="C1200" s="152"/>
      <c r="D1200" s="1927" t="s">
        <v>3567</v>
      </c>
      <c r="E1200" s="1927"/>
      <c r="F1200" s="1927"/>
      <c r="G1200" s="152"/>
    </row>
    <row r="1201" spans="1:7" x14ac:dyDescent="0.25">
      <c r="A1201" s="150"/>
      <c r="B1201" s="151"/>
      <c r="C1201" s="152"/>
      <c r="D1201" s="153"/>
      <c r="E1201" s="1770"/>
      <c r="F1201" s="182"/>
      <c r="G1201" s="152"/>
    </row>
    <row r="1202" spans="1:7" x14ac:dyDescent="0.25">
      <c r="A1202" s="150"/>
      <c r="B1202" s="151"/>
      <c r="C1202" s="152"/>
      <c r="D1202" s="153"/>
      <c r="E1202" s="1770"/>
      <c r="F1202" s="182"/>
      <c r="G1202" s="152"/>
    </row>
    <row r="1203" spans="1:7" x14ac:dyDescent="0.25">
      <c r="A1203" s="1926"/>
      <c r="B1203" s="1926"/>
      <c r="C1203" s="152"/>
      <c r="D1203" s="153"/>
      <c r="E1203" s="1926"/>
      <c r="F1203" s="1926"/>
      <c r="G1203" s="152"/>
    </row>
    <row r="1204" spans="1:7" x14ac:dyDescent="0.25">
      <c r="A1204" s="1926" t="s">
        <v>29</v>
      </c>
      <c r="B1204" s="1926"/>
      <c r="C1204" s="152"/>
      <c r="D1204" s="1926" t="s">
        <v>3568</v>
      </c>
      <c r="E1204" s="1926"/>
      <c r="F1204" s="1926"/>
      <c r="G1204" s="152"/>
    </row>
    <row r="1206" spans="1:7" x14ac:dyDescent="0.25">
      <c r="A1206" s="1980" t="s">
        <v>0</v>
      </c>
      <c r="B1206" s="1980"/>
      <c r="C1206" s="1980"/>
      <c r="D1206" s="1980"/>
      <c r="E1206" s="1980"/>
      <c r="F1206" s="1980"/>
      <c r="G1206" s="1980"/>
    </row>
    <row r="1207" spans="1:7" x14ac:dyDescent="0.25">
      <c r="A1207" s="1980" t="s">
        <v>1</v>
      </c>
      <c r="B1207" s="1980"/>
      <c r="C1207" s="1980"/>
      <c r="D1207" s="1980"/>
      <c r="E1207" s="1980"/>
      <c r="F1207" s="1980"/>
      <c r="G1207" s="1980"/>
    </row>
    <row r="1208" spans="1:7" x14ac:dyDescent="0.25">
      <c r="A1208" s="1980" t="s">
        <v>2398</v>
      </c>
      <c r="B1208" s="1980"/>
      <c r="C1208" s="1980"/>
      <c r="D1208" s="1980"/>
      <c r="E1208" s="1980"/>
      <c r="F1208" s="1980"/>
      <c r="G1208" s="1980"/>
    </row>
    <row r="1209" spans="1:7" x14ac:dyDescent="0.25">
      <c r="A1209" s="1002"/>
      <c r="B1209" s="1002"/>
      <c r="C1209" s="1002"/>
      <c r="D1209" s="1002"/>
      <c r="E1209" s="1836"/>
      <c r="F1209" s="1002"/>
      <c r="G1209" s="1002"/>
    </row>
    <row r="1210" spans="1:7" x14ac:dyDescent="0.25">
      <c r="A1210" s="1581" t="s">
        <v>251</v>
      </c>
      <c r="B1210" s="1581" t="s">
        <v>300</v>
      </c>
      <c r="C1210" s="1581"/>
      <c r="D1210" s="1581"/>
      <c r="E1210" s="1837"/>
      <c r="F1210" s="1582"/>
      <c r="G1210" s="957"/>
    </row>
    <row r="1211" spans="1:7" ht="38.25" x14ac:dyDescent="0.25">
      <c r="A1211" s="1581" t="s">
        <v>252</v>
      </c>
      <c r="B1211" s="1583" t="s">
        <v>301</v>
      </c>
      <c r="C1211" s="1581"/>
      <c r="D1211" s="1581"/>
      <c r="E1211" s="1838" t="s">
        <v>6</v>
      </c>
      <c r="F1211" s="1584"/>
      <c r="G1211" s="957"/>
    </row>
    <row r="1212" spans="1:7" ht="38.25" x14ac:dyDescent="0.25">
      <c r="A1212" s="1583" t="s">
        <v>253</v>
      </c>
      <c r="B1212" s="1583" t="s">
        <v>1784</v>
      </c>
      <c r="C1212" s="1583"/>
      <c r="D1212" s="1583"/>
      <c r="E1212" s="1839" t="s">
        <v>9</v>
      </c>
      <c r="F1212" s="1585"/>
      <c r="G1212" s="957"/>
    </row>
    <row r="1213" spans="1:7" x14ac:dyDescent="0.25">
      <c r="A1213" s="1586" t="s">
        <v>59</v>
      </c>
      <c r="B1213" s="1586" t="s">
        <v>60</v>
      </c>
      <c r="C1213" s="1586"/>
      <c r="D1213" s="1034"/>
      <c r="E1213" s="1840"/>
      <c r="F1213" s="1034"/>
      <c r="G1213" s="957"/>
    </row>
    <row r="1214" spans="1:7" x14ac:dyDescent="0.25">
      <c r="A1214" s="1586" t="s">
        <v>61</v>
      </c>
      <c r="B1214" s="1586" t="s">
        <v>62</v>
      </c>
      <c r="C1214" s="1586"/>
      <c r="D1214" s="1981"/>
      <c r="E1214" s="1981"/>
      <c r="F1214" s="1034"/>
      <c r="G1214" s="957"/>
    </row>
    <row r="1215" spans="1:7" x14ac:dyDescent="0.25">
      <c r="A1215" s="1038"/>
      <c r="B1215" s="1038"/>
      <c r="C1215" s="1038"/>
      <c r="D1215" s="1038"/>
      <c r="E1215" s="1841"/>
      <c r="F1215" s="1038"/>
      <c r="G1215" s="957"/>
    </row>
    <row r="1216" spans="1:7" x14ac:dyDescent="0.25">
      <c r="A1216" s="1587" t="s">
        <v>255</v>
      </c>
      <c r="B1216" s="1587" t="s">
        <v>11</v>
      </c>
      <c r="C1216" s="1982" t="s">
        <v>12</v>
      </c>
      <c r="D1216" s="1982"/>
      <c r="E1216" s="1842" t="s">
        <v>13</v>
      </c>
      <c r="F1216" s="1588" t="s">
        <v>14</v>
      </c>
      <c r="G1216" s="953" t="s">
        <v>256</v>
      </c>
    </row>
    <row r="1217" spans="1:7" x14ac:dyDescent="0.25">
      <c r="A1217" s="1587">
        <v>1</v>
      </c>
      <c r="B1217" s="1587">
        <v>2</v>
      </c>
      <c r="C1217" s="1983">
        <v>3</v>
      </c>
      <c r="D1217" s="1984"/>
      <c r="E1217" s="1843">
        <v>4</v>
      </c>
      <c r="F1217" s="1588">
        <v>5</v>
      </c>
      <c r="G1217" s="1590">
        <v>6</v>
      </c>
    </row>
    <row r="1218" spans="1:7" x14ac:dyDescent="0.25">
      <c r="A1218" s="1591" t="s">
        <v>2327</v>
      </c>
      <c r="B1218" s="1592" t="s">
        <v>277</v>
      </c>
      <c r="C1218" s="1017"/>
      <c r="D1218" s="1574"/>
      <c r="E1218" s="1844"/>
      <c r="F1218" s="1027"/>
      <c r="G1218" s="1016"/>
    </row>
    <row r="1219" spans="1:7" x14ac:dyDescent="0.25">
      <c r="A1219" s="1591" t="s">
        <v>2328</v>
      </c>
      <c r="B1219" s="1592" t="s">
        <v>84</v>
      </c>
      <c r="C1219" s="1017"/>
      <c r="D1219" s="1574"/>
      <c r="E1219" s="1844"/>
      <c r="F1219" s="1027"/>
      <c r="G1219" s="1016"/>
    </row>
    <row r="1220" spans="1:7" ht="24" x14ac:dyDescent="0.25">
      <c r="A1220" s="1591" t="s">
        <v>2329</v>
      </c>
      <c r="B1220" s="1592" t="s">
        <v>280</v>
      </c>
      <c r="C1220" s="1017"/>
      <c r="D1220" s="1574"/>
      <c r="E1220" s="1845"/>
      <c r="F1220" s="1593"/>
      <c r="G1220" s="1016"/>
    </row>
    <row r="1221" spans="1:7" x14ac:dyDescent="0.25">
      <c r="A1221" s="1591"/>
      <c r="B1221" s="1592" t="s">
        <v>282</v>
      </c>
      <c r="C1221" s="1017">
        <v>1</v>
      </c>
      <c r="D1221" s="1574" t="s">
        <v>106</v>
      </c>
      <c r="E1221" s="1845">
        <v>90000</v>
      </c>
      <c r="F1221" s="1593">
        <f>E1221*C1221</f>
        <v>90000</v>
      </c>
      <c r="G1221" s="1016"/>
    </row>
    <row r="1222" spans="1:7" x14ac:dyDescent="0.25">
      <c r="A1222" s="1591"/>
      <c r="B1222" s="1592"/>
      <c r="C1222" s="1017"/>
      <c r="D1222" s="1574"/>
      <c r="E1222" s="1845"/>
      <c r="F1222" s="1593"/>
      <c r="G1222" s="1016"/>
    </row>
    <row r="1223" spans="1:7" ht="36" x14ac:dyDescent="0.25">
      <c r="A1223" s="1591" t="s">
        <v>2330</v>
      </c>
      <c r="B1223" s="1592" t="s">
        <v>283</v>
      </c>
      <c r="C1223" s="1017"/>
      <c r="D1223" s="1574"/>
      <c r="E1223" s="1845"/>
      <c r="F1223" s="1593"/>
      <c r="G1223" s="1016"/>
    </row>
    <row r="1224" spans="1:7" x14ac:dyDescent="0.25">
      <c r="A1224" s="1591"/>
      <c r="B1224" s="1592" t="s">
        <v>410</v>
      </c>
      <c r="C1224" s="1017">
        <v>30</v>
      </c>
      <c r="D1224" s="1574" t="s">
        <v>269</v>
      </c>
      <c r="E1224" s="1846">
        <v>20000</v>
      </c>
      <c r="F1224" s="1593">
        <f>E1224*C1224</f>
        <v>600000</v>
      </c>
      <c r="G1224" s="1016"/>
    </row>
    <row r="1225" spans="1:7" x14ac:dyDescent="0.25">
      <c r="A1225" s="1591"/>
      <c r="B1225" s="1592"/>
      <c r="C1225" s="1017"/>
      <c r="D1225" s="1574"/>
      <c r="E1225" s="1845"/>
      <c r="F1225" s="1593"/>
      <c r="G1225" s="1016"/>
    </row>
    <row r="1226" spans="1:7" x14ac:dyDescent="0.25">
      <c r="A1226" s="1591" t="s">
        <v>2331</v>
      </c>
      <c r="B1226" s="1592" t="s">
        <v>285</v>
      </c>
      <c r="C1226" s="1017"/>
      <c r="D1226" s="1574"/>
      <c r="E1226" s="1845"/>
      <c r="F1226" s="1593"/>
      <c r="G1226" s="1016"/>
    </row>
    <row r="1227" spans="1:7" x14ac:dyDescent="0.25">
      <c r="A1227" s="1591"/>
      <c r="B1227" s="1592" t="s">
        <v>346</v>
      </c>
      <c r="C1227" s="1017">
        <v>1</v>
      </c>
      <c r="D1227" s="1574" t="s">
        <v>287</v>
      </c>
      <c r="E1227" s="1845">
        <v>50000</v>
      </c>
      <c r="F1227" s="1593">
        <f>E1227*C1227</f>
        <v>50000</v>
      </c>
      <c r="G1227" s="1016"/>
    </row>
    <row r="1228" spans="1:7" x14ac:dyDescent="0.25">
      <c r="A1228" s="1003"/>
      <c r="B1228" s="1592" t="s">
        <v>289</v>
      </c>
      <c r="C1228" s="1017">
        <v>1</v>
      </c>
      <c r="D1228" s="1574" t="s">
        <v>290</v>
      </c>
      <c r="E1228" s="1845">
        <v>10000</v>
      </c>
      <c r="F1228" s="1593">
        <f>E1228*C1228</f>
        <v>10000</v>
      </c>
      <c r="G1228" s="1016"/>
    </row>
    <row r="1229" spans="1:7" x14ac:dyDescent="0.25">
      <c r="A1229" s="1003"/>
      <c r="B1229" s="1592"/>
      <c r="C1229" s="1017"/>
      <c r="D1229" s="1574"/>
      <c r="E1229" s="1845"/>
      <c r="F1229" s="1593"/>
      <c r="G1229" s="1016"/>
    </row>
    <row r="1230" spans="1:7" x14ac:dyDescent="0.25">
      <c r="A1230" s="1591" t="s">
        <v>2332</v>
      </c>
      <c r="B1230" s="1592" t="s">
        <v>349</v>
      </c>
      <c r="C1230" s="1017"/>
      <c r="D1230" s="1574"/>
      <c r="E1230" s="1845"/>
      <c r="F1230" s="1593"/>
      <c r="G1230" s="1016"/>
    </row>
    <row r="1231" spans="1:7" ht="24.75" thickBot="1" x14ac:dyDescent="0.3">
      <c r="A1231" s="1591" t="s">
        <v>2333</v>
      </c>
      <c r="B1231" s="1594" t="s">
        <v>411</v>
      </c>
      <c r="C1231" s="1017"/>
      <c r="D1231" s="1574"/>
      <c r="E1231" s="1845"/>
      <c r="F1231" s="1593"/>
      <c r="G1231" s="1016"/>
    </row>
    <row r="1232" spans="1:7" ht="15.75" thickBot="1" x14ac:dyDescent="0.3">
      <c r="A1232" s="1591"/>
      <c r="B1232" s="1594" t="s">
        <v>1785</v>
      </c>
      <c r="C1232" s="1017">
        <v>2</v>
      </c>
      <c r="D1232" s="1574" t="s">
        <v>1786</v>
      </c>
      <c r="E1232" s="1845">
        <v>900000</v>
      </c>
      <c r="F1232" s="1593">
        <f>E1232*C1232</f>
        <v>1800000</v>
      </c>
      <c r="G1232" s="1016"/>
    </row>
    <row r="1233" spans="1:15" x14ac:dyDescent="0.25">
      <c r="A1233" s="1026"/>
      <c r="B1233" s="1595"/>
      <c r="C1233" s="1596"/>
      <c r="D1233" s="1597"/>
      <c r="E1233" s="1847"/>
      <c r="F1233" s="1598"/>
      <c r="G1233" s="1599"/>
    </row>
    <row r="1234" spans="1:15" x14ac:dyDescent="0.25">
      <c r="A1234" s="1026"/>
      <c r="B1234" s="1985" t="s">
        <v>26</v>
      </c>
      <c r="C1234" s="1986"/>
      <c r="D1234" s="1986"/>
      <c r="E1234" s="1987"/>
      <c r="F1234" s="1033">
        <f>SUM(F1221:F1232)</f>
        <v>2550000</v>
      </c>
      <c r="G1234" s="1599"/>
      <c r="O1234" s="23"/>
    </row>
    <row r="1235" spans="1:15" x14ac:dyDescent="0.25">
      <c r="A1235" s="957"/>
      <c r="B1235" s="957"/>
      <c r="C1235" s="957"/>
      <c r="D1235" s="957"/>
      <c r="E1235" s="1848"/>
      <c r="F1235" s="957"/>
      <c r="G1235" s="957"/>
    </row>
    <row r="1236" spans="1:15" x14ac:dyDescent="0.25">
      <c r="A1236" s="1979" t="s">
        <v>516</v>
      </c>
      <c r="B1236" s="1979"/>
      <c r="C1236" s="1034" t="s">
        <v>27</v>
      </c>
      <c r="D1236" s="1981" t="s">
        <v>1224</v>
      </c>
      <c r="E1236" s="1981"/>
      <c r="F1236" s="1981"/>
      <c r="G1236" s="1034"/>
    </row>
    <row r="1237" spans="1:15" x14ac:dyDescent="0.25">
      <c r="A1237" s="1979" t="s">
        <v>28</v>
      </c>
      <c r="B1237" s="1979"/>
      <c r="C1237" s="1034"/>
      <c r="D1237" s="1988" t="s">
        <v>2443</v>
      </c>
      <c r="E1237" s="1988"/>
      <c r="F1237" s="1988"/>
      <c r="G1237" s="1034"/>
    </row>
    <row r="1238" spans="1:15" x14ac:dyDescent="0.25">
      <c r="A1238" s="1037"/>
      <c r="B1238" s="1038"/>
      <c r="C1238" s="1034"/>
      <c r="D1238" s="1036"/>
      <c r="E1238" s="1840"/>
      <c r="F1238" s="1035"/>
      <c r="G1238" s="1034"/>
    </row>
    <row r="1239" spans="1:15" x14ac:dyDescent="0.25">
      <c r="A1239" s="1037"/>
      <c r="B1239" s="1038"/>
      <c r="C1239" s="1034"/>
      <c r="D1239" s="1036"/>
      <c r="E1239" s="1840"/>
      <c r="F1239" s="1035"/>
      <c r="G1239" s="1034"/>
    </row>
    <row r="1240" spans="1:15" x14ac:dyDescent="0.25">
      <c r="A1240" s="1979"/>
      <c r="B1240" s="1979"/>
      <c r="C1240" s="1034"/>
      <c r="D1240" s="1036"/>
      <c r="E1240" s="1979"/>
      <c r="F1240" s="1979"/>
      <c r="G1240" s="1034"/>
    </row>
    <row r="1241" spans="1:15" x14ac:dyDescent="0.25">
      <c r="A1241" s="1979" t="s">
        <v>29</v>
      </c>
      <c r="B1241" s="1979"/>
      <c r="C1241" s="1034"/>
      <c r="D1241" s="1979" t="s">
        <v>517</v>
      </c>
      <c r="E1241" s="1979"/>
      <c r="F1241" s="1979"/>
      <c r="G1241" s="1034"/>
    </row>
    <row r="1242" spans="1:15" x14ac:dyDescent="0.25">
      <c r="F1242" s="68"/>
    </row>
    <row r="1243" spans="1:15" x14ac:dyDescent="0.25">
      <c r="F1243" s="68"/>
    </row>
    <row r="1244" spans="1:15" x14ac:dyDescent="0.25">
      <c r="F1244" s="68"/>
    </row>
    <row r="1245" spans="1:15" x14ac:dyDescent="0.25">
      <c r="A1245" s="1947" t="s">
        <v>0</v>
      </c>
      <c r="B1245" s="1947"/>
      <c r="C1245" s="1947"/>
      <c r="D1245" s="1947"/>
      <c r="E1245" s="1947"/>
      <c r="F1245" s="1947"/>
      <c r="G1245" s="1947"/>
    </row>
    <row r="1246" spans="1:15" x14ac:dyDescent="0.25">
      <c r="A1246" s="1947" t="s">
        <v>1</v>
      </c>
      <c r="B1246" s="1947"/>
      <c r="C1246" s="1947"/>
      <c r="D1246" s="1947"/>
      <c r="E1246" s="1947"/>
      <c r="F1246" s="1947"/>
      <c r="G1246" s="1947"/>
    </row>
    <row r="1247" spans="1:15" x14ac:dyDescent="0.25">
      <c r="A1247" s="1947" t="s">
        <v>2398</v>
      </c>
      <c r="B1247" s="1947"/>
      <c r="C1247" s="1947"/>
      <c r="D1247" s="1947"/>
      <c r="E1247" s="1947"/>
      <c r="F1247" s="1947"/>
      <c r="G1247" s="1947"/>
    </row>
    <row r="1248" spans="1:15" x14ac:dyDescent="0.25">
      <c r="A1248" s="148"/>
      <c r="B1248" s="148"/>
      <c r="C1248" s="148"/>
      <c r="D1248" s="148"/>
      <c r="E1248" s="1764"/>
      <c r="F1248" s="148"/>
      <c r="G1248" s="148"/>
    </row>
    <row r="1249" spans="1:7" x14ac:dyDescent="0.25">
      <c r="A1249" s="226" t="s">
        <v>251</v>
      </c>
      <c r="B1249" s="226" t="s">
        <v>300</v>
      </c>
      <c r="C1249" s="226"/>
      <c r="D1249" s="226"/>
      <c r="E1249" s="1849"/>
      <c r="F1249" s="364"/>
    </row>
    <row r="1250" spans="1:7" ht="38.25" x14ac:dyDescent="0.25">
      <c r="A1250" s="226" t="s">
        <v>252</v>
      </c>
      <c r="B1250" s="228" t="s">
        <v>301</v>
      </c>
      <c r="C1250" s="226"/>
      <c r="D1250" s="226"/>
      <c r="E1250" s="1772" t="s">
        <v>6</v>
      </c>
      <c r="F1250" s="155"/>
    </row>
    <row r="1251" spans="1:7" ht="38.25" x14ac:dyDescent="0.25">
      <c r="A1251" s="228" t="s">
        <v>253</v>
      </c>
      <c r="B1251" s="228" t="s">
        <v>302</v>
      </c>
      <c r="C1251" s="228"/>
      <c r="D1251" s="228"/>
      <c r="E1251" s="1766" t="s">
        <v>9</v>
      </c>
      <c r="F1251" s="160"/>
    </row>
    <row r="1252" spans="1:7" x14ac:dyDescent="0.25">
      <c r="A1252" s="190" t="s">
        <v>59</v>
      </c>
      <c r="B1252" s="190" t="s">
        <v>60</v>
      </c>
      <c r="C1252" s="190"/>
      <c r="D1252" s="152"/>
      <c r="E1252" s="1770"/>
      <c r="F1252" s="152"/>
    </row>
    <row r="1253" spans="1:7" x14ac:dyDescent="0.25">
      <c r="A1253" s="190" t="s">
        <v>61</v>
      </c>
      <c r="B1253" s="190" t="s">
        <v>62</v>
      </c>
      <c r="C1253" s="190"/>
      <c r="D1253" s="1952"/>
      <c r="E1253" s="1952"/>
      <c r="F1253" s="152"/>
    </row>
    <row r="1254" spans="1:7" x14ac:dyDescent="0.25">
      <c r="A1254" s="151"/>
      <c r="B1254" s="151"/>
      <c r="C1254" s="151"/>
      <c r="D1254" s="151"/>
      <c r="E1254" s="1783"/>
      <c r="F1254" s="151"/>
    </row>
    <row r="1255" spans="1:7" x14ac:dyDescent="0.25">
      <c r="A1255" s="162" t="s">
        <v>255</v>
      </c>
      <c r="B1255" s="162" t="s">
        <v>11</v>
      </c>
      <c r="C1255" s="1958" t="s">
        <v>12</v>
      </c>
      <c r="D1255" s="1958"/>
      <c r="E1255" s="1784" t="s">
        <v>13</v>
      </c>
      <c r="F1255" s="231" t="s">
        <v>14</v>
      </c>
      <c r="G1255" s="25" t="s">
        <v>256</v>
      </c>
    </row>
    <row r="1256" spans="1:7" x14ac:dyDescent="0.25">
      <c r="A1256" s="162">
        <v>1</v>
      </c>
      <c r="B1256" s="162">
        <v>2</v>
      </c>
      <c r="C1256" s="1959">
        <v>3</v>
      </c>
      <c r="D1256" s="1960"/>
      <c r="E1256" s="1785">
        <v>4</v>
      </c>
      <c r="F1256" s="231">
        <v>5</v>
      </c>
      <c r="G1256" s="26">
        <v>6</v>
      </c>
    </row>
    <row r="1257" spans="1:7" x14ac:dyDescent="0.25">
      <c r="A1257" s="176" t="s">
        <v>303</v>
      </c>
      <c r="B1257" s="181" t="s">
        <v>304</v>
      </c>
      <c r="C1257" s="178"/>
      <c r="D1257" s="207"/>
      <c r="E1257" s="1776"/>
      <c r="F1257" s="181"/>
      <c r="G1257" s="186"/>
    </row>
    <row r="1258" spans="1:7" x14ac:dyDescent="0.25">
      <c r="A1258" s="176" t="s">
        <v>305</v>
      </c>
      <c r="B1258" s="181" t="s">
        <v>84</v>
      </c>
      <c r="C1258" s="178"/>
      <c r="D1258" s="207"/>
      <c r="E1258" s="1776"/>
      <c r="F1258" s="181"/>
      <c r="G1258" s="186"/>
    </row>
    <row r="1259" spans="1:7" ht="24" x14ac:dyDescent="0.25">
      <c r="A1259" s="167" t="s">
        <v>335</v>
      </c>
      <c r="B1259" s="168" t="s">
        <v>280</v>
      </c>
      <c r="C1259" s="169"/>
      <c r="D1259" s="245"/>
      <c r="E1259" s="547"/>
      <c r="F1259" s="202"/>
      <c r="G1259" s="171"/>
    </row>
    <row r="1260" spans="1:7" x14ac:dyDescent="0.25">
      <c r="A1260" s="167"/>
      <c r="B1260" s="168" t="s">
        <v>281</v>
      </c>
      <c r="C1260" s="169">
        <v>2000</v>
      </c>
      <c r="D1260" s="245" t="s">
        <v>266</v>
      </c>
      <c r="E1260" s="547">
        <v>350</v>
      </c>
      <c r="F1260" s="202">
        <f>E1260*C1260</f>
        <v>700000</v>
      </c>
      <c r="G1260" s="181"/>
    </row>
    <row r="1261" spans="1:7" x14ac:dyDescent="0.25">
      <c r="A1261" s="176"/>
      <c r="B1261" s="221"/>
      <c r="C1261" s="178"/>
      <c r="D1261" s="207"/>
      <c r="E1261" s="1776"/>
      <c r="F1261" s="181"/>
      <c r="G1261" s="186"/>
    </row>
    <row r="1262" spans="1:7" x14ac:dyDescent="0.25">
      <c r="A1262" s="176" t="s">
        <v>306</v>
      </c>
      <c r="B1262" s="370" t="s">
        <v>307</v>
      </c>
      <c r="C1262" s="371"/>
      <c r="D1262" s="372"/>
      <c r="E1262" s="1768"/>
      <c r="F1262" s="166"/>
      <c r="G1262" s="325"/>
    </row>
    <row r="1263" spans="1:7" ht="24" x14ac:dyDescent="0.25">
      <c r="A1263" s="181"/>
      <c r="B1263" s="370" t="s">
        <v>308</v>
      </c>
      <c r="C1263" s="371">
        <f>64*2</f>
        <v>128</v>
      </c>
      <c r="D1263" s="372" t="s">
        <v>269</v>
      </c>
      <c r="E1263" s="1796">
        <v>20000</v>
      </c>
      <c r="F1263" s="373">
        <f>E1263*C1263</f>
        <v>2560000</v>
      </c>
      <c r="G1263" s="325"/>
    </row>
    <row r="1264" spans="1:7" x14ac:dyDescent="0.25">
      <c r="A1264" s="181"/>
      <c r="B1264" s="177" t="s">
        <v>1510</v>
      </c>
      <c r="C1264" s="178">
        <v>400</v>
      </c>
      <c r="D1264" s="207" t="s">
        <v>269</v>
      </c>
      <c r="E1264" s="1796">
        <v>20000</v>
      </c>
      <c r="F1264" s="373">
        <f>E1264*C1264</f>
        <v>8000000</v>
      </c>
      <c r="G1264" s="325"/>
    </row>
    <row r="1265" spans="1:11" x14ac:dyDescent="0.25">
      <c r="A1265" s="181"/>
      <c r="B1265" s="374" t="s">
        <v>309</v>
      </c>
      <c r="C1265" s="327">
        <f>45*2</f>
        <v>90</v>
      </c>
      <c r="D1265" s="328" t="s">
        <v>269</v>
      </c>
      <c r="E1265" s="1796">
        <v>20000</v>
      </c>
      <c r="F1265" s="373">
        <f>E1265*C1265</f>
        <v>1800000</v>
      </c>
      <c r="G1265" s="325"/>
    </row>
    <row r="1266" spans="1:11" x14ac:dyDescent="0.25">
      <c r="A1266" s="181"/>
      <c r="B1266" s="374"/>
      <c r="C1266" s="327"/>
      <c r="D1266" s="328"/>
      <c r="E1266" s="1850"/>
      <c r="F1266" s="373"/>
      <c r="G1266" s="325"/>
    </row>
    <row r="1267" spans="1:11" x14ac:dyDescent="0.25">
      <c r="A1267" s="181"/>
      <c r="B1267" s="374"/>
      <c r="C1267" s="327"/>
      <c r="D1267" s="328"/>
      <c r="E1267" s="1850"/>
      <c r="F1267" s="375"/>
      <c r="G1267" s="325"/>
    </row>
    <row r="1268" spans="1:11" x14ac:dyDescent="0.25">
      <c r="A1268" s="346" t="s">
        <v>313</v>
      </c>
      <c r="B1268" s="355" t="s">
        <v>294</v>
      </c>
      <c r="C1268" s="371"/>
      <c r="D1268" s="372"/>
      <c r="E1268" s="1768"/>
      <c r="F1268" s="166"/>
      <c r="G1268" s="325"/>
    </row>
    <row r="1269" spans="1:11" x14ac:dyDescent="0.25">
      <c r="A1269" s="346" t="s">
        <v>314</v>
      </c>
      <c r="B1269" s="370" t="s">
        <v>315</v>
      </c>
      <c r="C1269" s="371"/>
      <c r="D1269" s="372"/>
      <c r="E1269" s="1768"/>
      <c r="F1269" s="166"/>
      <c r="G1269" s="325"/>
    </row>
    <row r="1270" spans="1:11" ht="24.75" x14ac:dyDescent="0.25">
      <c r="A1270" s="181"/>
      <c r="B1270" s="197" t="s">
        <v>316</v>
      </c>
      <c r="C1270" s="178">
        <f>17*8*2</f>
        <v>272</v>
      </c>
      <c r="D1270" s="207" t="s">
        <v>317</v>
      </c>
      <c r="E1270" s="389">
        <v>100000</v>
      </c>
      <c r="F1270" s="179">
        <f>C1270*E1270</f>
        <v>27200000</v>
      </c>
      <c r="G1270" s="325"/>
    </row>
    <row r="1271" spans="1:11" x14ac:dyDescent="0.25">
      <c r="A1271" s="181"/>
      <c r="B1271" s="376"/>
      <c r="C1271" s="178"/>
      <c r="D1271" s="207"/>
      <c r="E1271" s="1826"/>
      <c r="F1271" s="377"/>
      <c r="G1271" s="325"/>
    </row>
    <row r="1272" spans="1:11" x14ac:dyDescent="0.25">
      <c r="A1272" s="181"/>
      <c r="B1272" s="366"/>
      <c r="C1272" s="367"/>
      <c r="D1272" s="368"/>
      <c r="E1272" s="1851"/>
      <c r="F1272" s="369"/>
      <c r="G1272" s="325"/>
    </row>
    <row r="1273" spans="1:11" x14ac:dyDescent="0.25">
      <c r="A1273" s="181"/>
      <c r="B1273" s="1989" t="s">
        <v>26</v>
      </c>
      <c r="C1273" s="1989"/>
      <c r="D1273" s="1989"/>
      <c r="E1273" s="1989"/>
      <c r="F1273" s="363">
        <f>SUM(F1257:F1271)</f>
        <v>40260000</v>
      </c>
      <c r="G1273" s="325" t="s">
        <v>1506</v>
      </c>
      <c r="K1273" s="23">
        <f>F1273</f>
        <v>40260000</v>
      </c>
    </row>
    <row r="1275" spans="1:11" x14ac:dyDescent="0.25">
      <c r="A1275" s="1926" t="s">
        <v>516</v>
      </c>
      <c r="B1275" s="1926"/>
      <c r="C1275" s="152" t="s">
        <v>27</v>
      </c>
      <c r="D1275" s="1926" t="s">
        <v>3654</v>
      </c>
      <c r="E1275" s="1926"/>
      <c r="F1275" s="1926"/>
      <c r="G1275" s="152"/>
    </row>
    <row r="1276" spans="1:11" x14ac:dyDescent="0.25">
      <c r="A1276" s="1926" t="s">
        <v>28</v>
      </c>
      <c r="B1276" s="1926"/>
      <c r="C1276" s="152"/>
      <c r="D1276" s="1927" t="s">
        <v>3567</v>
      </c>
      <c r="E1276" s="1927"/>
      <c r="F1276" s="1927"/>
      <c r="G1276" s="152"/>
    </row>
    <row r="1277" spans="1:11" x14ac:dyDescent="0.25">
      <c r="A1277" s="150"/>
      <c r="B1277" s="151"/>
      <c r="C1277" s="152"/>
      <c r="D1277" s="153"/>
      <c r="E1277" s="1770"/>
      <c r="F1277" s="182"/>
      <c r="G1277" s="152"/>
    </row>
    <row r="1278" spans="1:11" x14ac:dyDescent="0.25">
      <c r="A1278" s="150"/>
      <c r="B1278" s="151"/>
      <c r="C1278" s="152"/>
      <c r="D1278" s="153"/>
      <c r="E1278" s="1770"/>
      <c r="F1278" s="182"/>
      <c r="G1278" s="152"/>
    </row>
    <row r="1279" spans="1:11" x14ac:dyDescent="0.25">
      <c r="A1279" s="1926"/>
      <c r="B1279" s="1926"/>
      <c r="C1279" s="152"/>
      <c r="D1279" s="153"/>
      <c r="E1279" s="1926"/>
      <c r="F1279" s="1926"/>
      <c r="G1279" s="152"/>
    </row>
    <row r="1280" spans="1:11" x14ac:dyDescent="0.25">
      <c r="A1280" s="1926" t="s">
        <v>29</v>
      </c>
      <c r="B1280" s="1926"/>
      <c r="C1280" s="152"/>
      <c r="D1280" s="1926" t="s">
        <v>3568</v>
      </c>
      <c r="E1280" s="1926"/>
      <c r="F1280" s="1926"/>
      <c r="G1280" s="152"/>
    </row>
    <row r="1284" spans="1:7" x14ac:dyDescent="0.25">
      <c r="A1284" s="1947" t="s">
        <v>0</v>
      </c>
      <c r="B1284" s="1947"/>
      <c r="C1284" s="1947"/>
      <c r="D1284" s="1947"/>
      <c r="E1284" s="1947"/>
      <c r="F1284" s="1947"/>
      <c r="G1284" s="1947"/>
    </row>
    <row r="1285" spans="1:7" x14ac:dyDescent="0.25">
      <c r="A1285" s="1947" t="s">
        <v>1</v>
      </c>
      <c r="B1285" s="1947"/>
      <c r="C1285" s="1947"/>
      <c r="D1285" s="1947"/>
      <c r="E1285" s="1947"/>
      <c r="F1285" s="1947"/>
      <c r="G1285" s="1947"/>
    </row>
    <row r="1286" spans="1:7" x14ac:dyDescent="0.25">
      <c r="A1286" s="1947" t="s">
        <v>2398</v>
      </c>
      <c r="B1286" s="1947"/>
      <c r="C1286" s="1947"/>
      <c r="D1286" s="1947"/>
      <c r="E1286" s="1947"/>
      <c r="F1286" s="1947"/>
      <c r="G1286" s="1947"/>
    </row>
    <row r="1287" spans="1:7" x14ac:dyDescent="0.25">
      <c r="A1287" s="148"/>
      <c r="B1287" s="148"/>
      <c r="C1287" s="148"/>
      <c r="D1287" s="148"/>
      <c r="E1287" s="1764"/>
      <c r="F1287" s="148"/>
      <c r="G1287" s="149"/>
    </row>
    <row r="1288" spans="1:7" x14ac:dyDescent="0.25">
      <c r="A1288" s="216" t="s">
        <v>336</v>
      </c>
      <c r="B1288" s="151" t="s">
        <v>56</v>
      </c>
      <c r="C1288" s="152"/>
      <c r="D1288" s="153"/>
      <c r="E1288" s="1765"/>
      <c r="F1288" s="155"/>
      <c r="G1288" s="152"/>
    </row>
    <row r="1289" spans="1:7" ht="24" x14ac:dyDescent="0.25">
      <c r="A1289" s="184" t="s">
        <v>337</v>
      </c>
      <c r="B1289" s="217" t="s">
        <v>338</v>
      </c>
      <c r="C1289" s="152"/>
      <c r="D1289" s="153"/>
      <c r="E1289" s="1772" t="s">
        <v>6</v>
      </c>
      <c r="F1289" s="155"/>
      <c r="G1289" s="152"/>
    </row>
    <row r="1290" spans="1:7" ht="24" x14ac:dyDescent="0.25">
      <c r="A1290" s="184" t="s">
        <v>339</v>
      </c>
      <c r="B1290" s="217" t="s">
        <v>340</v>
      </c>
      <c r="C1290" s="152"/>
      <c r="D1290" s="153"/>
      <c r="E1290" s="1766" t="s">
        <v>9</v>
      </c>
      <c r="F1290" s="160"/>
      <c r="G1290" s="152"/>
    </row>
    <row r="1291" spans="1:7" x14ac:dyDescent="0.25">
      <c r="A1291" s="185" t="s">
        <v>37</v>
      </c>
      <c r="B1291" s="151" t="s">
        <v>60</v>
      </c>
      <c r="C1291" s="152"/>
      <c r="D1291" s="153"/>
      <c r="E1291" s="1765"/>
      <c r="F1291" s="155"/>
      <c r="G1291" s="152"/>
    </row>
    <row r="1292" spans="1:7" x14ac:dyDescent="0.25">
      <c r="A1292" s="156" t="s">
        <v>10</v>
      </c>
      <c r="B1292" s="151"/>
      <c r="C1292" s="152"/>
      <c r="D1292" s="153"/>
      <c r="E1292" s="1765"/>
      <c r="F1292" s="155"/>
      <c r="G1292" s="152"/>
    </row>
    <row r="1293" spans="1:7" x14ac:dyDescent="0.25">
      <c r="A1293" s="156"/>
      <c r="B1293" s="151"/>
      <c r="C1293" s="152"/>
      <c r="D1293" s="153"/>
      <c r="E1293" s="1765"/>
      <c r="F1293" s="155"/>
      <c r="G1293" s="152"/>
    </row>
    <row r="1294" spans="1:7" x14ac:dyDescent="0.25">
      <c r="A1294" s="162" t="s">
        <v>255</v>
      </c>
      <c r="B1294" s="162" t="s">
        <v>11</v>
      </c>
      <c r="C1294" s="1958" t="s">
        <v>12</v>
      </c>
      <c r="D1294" s="1958"/>
      <c r="E1294" s="1784" t="s">
        <v>13</v>
      </c>
      <c r="F1294" s="231" t="s">
        <v>14</v>
      </c>
      <c r="G1294" s="164" t="s">
        <v>341</v>
      </c>
    </row>
    <row r="1295" spans="1:7" x14ac:dyDescent="0.25">
      <c r="A1295" s="161">
        <v>1</v>
      </c>
      <c r="B1295" s="161">
        <v>2</v>
      </c>
      <c r="C1295" s="1931">
        <v>3</v>
      </c>
      <c r="D1295" s="1932"/>
      <c r="E1295" s="1823">
        <v>4</v>
      </c>
      <c r="F1295" s="169">
        <v>5</v>
      </c>
      <c r="G1295" s="166">
        <v>6</v>
      </c>
    </row>
    <row r="1296" spans="1:7" x14ac:dyDescent="0.25">
      <c r="A1296" s="167" t="s">
        <v>342</v>
      </c>
      <c r="B1296" s="168" t="s">
        <v>277</v>
      </c>
      <c r="C1296" s="169"/>
      <c r="D1296" s="170"/>
      <c r="E1296" s="645"/>
      <c r="F1296" s="178"/>
      <c r="G1296" s="161"/>
    </row>
    <row r="1297" spans="1:7" x14ac:dyDescent="0.25">
      <c r="A1297" s="167" t="s">
        <v>343</v>
      </c>
      <c r="B1297" s="168" t="s">
        <v>84</v>
      </c>
      <c r="C1297" s="169"/>
      <c r="D1297" s="170"/>
      <c r="E1297" s="645"/>
      <c r="F1297" s="178"/>
      <c r="G1297" s="161"/>
    </row>
    <row r="1298" spans="1:7" ht="36" x14ac:dyDescent="0.25">
      <c r="A1298" s="167" t="s">
        <v>344</v>
      </c>
      <c r="B1298" s="168" t="s">
        <v>283</v>
      </c>
      <c r="C1298" s="169"/>
      <c r="D1298" s="170"/>
      <c r="E1298" s="547"/>
      <c r="F1298" s="365"/>
      <c r="G1298" s="161"/>
    </row>
    <row r="1299" spans="1:7" x14ac:dyDescent="0.25">
      <c r="A1299" s="167"/>
      <c r="B1299" s="168" t="s">
        <v>3532</v>
      </c>
      <c r="C1299" s="169">
        <v>400</v>
      </c>
      <c r="D1299" s="170" t="s">
        <v>269</v>
      </c>
      <c r="E1299" s="547">
        <v>75000</v>
      </c>
      <c r="F1299" s="365">
        <f>E1299*C1299</f>
        <v>30000000</v>
      </c>
      <c r="G1299" s="161"/>
    </row>
    <row r="1300" spans="1:7" x14ac:dyDescent="0.25">
      <c r="A1300" s="167"/>
      <c r="B1300" s="168"/>
      <c r="C1300" s="169"/>
      <c r="D1300" s="170"/>
      <c r="E1300" s="547"/>
      <c r="F1300" s="365"/>
      <c r="G1300" s="161"/>
    </row>
    <row r="1301" spans="1:7" x14ac:dyDescent="0.25">
      <c r="A1301" s="167" t="s">
        <v>2334</v>
      </c>
      <c r="B1301" s="168" t="s">
        <v>973</v>
      </c>
      <c r="C1301" s="169"/>
      <c r="D1301" s="170"/>
      <c r="E1301" s="547"/>
      <c r="F1301" s="365"/>
      <c r="G1301" s="161"/>
    </row>
    <row r="1302" spans="1:7" x14ac:dyDescent="0.25">
      <c r="A1302" s="167"/>
      <c r="B1302" s="168" t="s">
        <v>282</v>
      </c>
      <c r="C1302" s="169">
        <v>4</v>
      </c>
      <c r="D1302" s="170" t="s">
        <v>106</v>
      </c>
      <c r="E1302" s="547">
        <v>90000</v>
      </c>
      <c r="F1302" s="365">
        <f>E1302*C1302</f>
        <v>360000</v>
      </c>
      <c r="G1302" s="161"/>
    </row>
    <row r="1303" spans="1:7" x14ac:dyDescent="0.25">
      <c r="A1303" s="167"/>
      <c r="B1303" s="168"/>
      <c r="C1303" s="169"/>
      <c r="D1303" s="170"/>
      <c r="E1303" s="547"/>
      <c r="F1303" s="365"/>
      <c r="G1303" s="161"/>
    </row>
    <row r="1304" spans="1:7" x14ac:dyDescent="0.25">
      <c r="A1304" s="167" t="s">
        <v>345</v>
      </c>
      <c r="B1304" s="168" t="s">
        <v>285</v>
      </c>
      <c r="C1304" s="169"/>
      <c r="D1304" s="170"/>
      <c r="E1304" s="547"/>
      <c r="F1304" s="365"/>
      <c r="G1304" s="161"/>
    </row>
    <row r="1305" spans="1:7" x14ac:dyDescent="0.25">
      <c r="A1305" s="167"/>
      <c r="B1305" s="168" t="s">
        <v>346</v>
      </c>
      <c r="C1305" s="169">
        <v>4</v>
      </c>
      <c r="D1305" s="170" t="s">
        <v>287</v>
      </c>
      <c r="E1305" s="547">
        <v>50000</v>
      </c>
      <c r="F1305" s="365">
        <f>E1305*C1305</f>
        <v>200000</v>
      </c>
      <c r="G1305" s="161"/>
    </row>
    <row r="1306" spans="1:7" x14ac:dyDescent="0.25">
      <c r="A1306" s="167"/>
      <c r="B1306" s="168" t="s">
        <v>347</v>
      </c>
      <c r="C1306" s="169">
        <v>20</v>
      </c>
      <c r="D1306" s="170" t="s">
        <v>158</v>
      </c>
      <c r="E1306" s="547">
        <v>20000</v>
      </c>
      <c r="F1306" s="365">
        <f>E1306*C1306</f>
        <v>400000</v>
      </c>
      <c r="G1306" s="161"/>
    </row>
    <row r="1307" spans="1:7" x14ac:dyDescent="0.25">
      <c r="A1307" s="149"/>
      <c r="B1307" s="168" t="s">
        <v>289</v>
      </c>
      <c r="C1307" s="169">
        <v>4</v>
      </c>
      <c r="D1307" s="170" t="s">
        <v>290</v>
      </c>
      <c r="E1307" s="547">
        <v>10000</v>
      </c>
      <c r="F1307" s="365">
        <f>E1307*C1307</f>
        <v>40000</v>
      </c>
      <c r="G1307" s="161"/>
    </row>
    <row r="1308" spans="1:7" x14ac:dyDescent="0.25">
      <c r="A1308" s="149"/>
      <c r="B1308" s="168"/>
      <c r="C1308" s="169"/>
      <c r="D1308" s="170"/>
      <c r="E1308" s="547"/>
      <c r="F1308" s="365"/>
      <c r="G1308" s="161"/>
    </row>
    <row r="1309" spans="1:7" x14ac:dyDescent="0.25">
      <c r="A1309" s="167" t="s">
        <v>348</v>
      </c>
      <c r="B1309" s="168" t="s">
        <v>349</v>
      </c>
      <c r="C1309" s="169"/>
      <c r="D1309" s="170"/>
      <c r="E1309" s="547"/>
      <c r="F1309" s="365"/>
      <c r="G1309" s="161"/>
    </row>
    <row r="1310" spans="1:7" x14ac:dyDescent="0.25">
      <c r="A1310" s="167" t="s">
        <v>350</v>
      </c>
      <c r="B1310" s="168" t="s">
        <v>333</v>
      </c>
      <c r="C1310" s="169"/>
      <c r="D1310" s="170"/>
      <c r="E1310" s="547"/>
      <c r="F1310" s="365"/>
      <c r="G1310" s="161"/>
    </row>
    <row r="1311" spans="1:7" x14ac:dyDescent="0.25">
      <c r="A1311" s="167"/>
      <c r="B1311" s="168" t="s">
        <v>351</v>
      </c>
      <c r="C1311" s="169">
        <v>4</v>
      </c>
      <c r="D1311" s="170" t="s">
        <v>126</v>
      </c>
      <c r="E1311" s="547">
        <v>100000</v>
      </c>
      <c r="F1311" s="365">
        <f>E1311*C1311</f>
        <v>400000</v>
      </c>
      <c r="G1311" s="161"/>
    </row>
    <row r="1312" spans="1:7" ht="24" x14ac:dyDescent="0.25">
      <c r="A1312" s="167" t="s">
        <v>352</v>
      </c>
      <c r="B1312" s="168" t="s">
        <v>353</v>
      </c>
      <c r="C1312" s="169"/>
      <c r="D1312" s="170"/>
      <c r="E1312" s="547"/>
      <c r="F1312" s="365"/>
      <c r="G1312" s="161"/>
    </row>
    <row r="1313" spans="1:20" x14ac:dyDescent="0.25">
      <c r="A1313" s="167" t="s">
        <v>354</v>
      </c>
      <c r="B1313" s="168" t="s">
        <v>355</v>
      </c>
      <c r="C1313" s="169"/>
      <c r="D1313" s="170"/>
      <c r="E1313" s="547"/>
      <c r="F1313" s="365"/>
      <c r="G1313" s="161"/>
    </row>
    <row r="1314" spans="1:20" x14ac:dyDescent="0.25">
      <c r="A1314" s="167"/>
      <c r="B1314" s="168" t="s">
        <v>3533</v>
      </c>
      <c r="C1314" s="169">
        <v>80</v>
      </c>
      <c r="D1314" s="170" t="s">
        <v>269</v>
      </c>
      <c r="E1314" s="547">
        <v>50000</v>
      </c>
      <c r="F1314" s="365">
        <f>E1314*C1314</f>
        <v>4000000</v>
      </c>
      <c r="G1314" s="161"/>
    </row>
    <row r="1315" spans="1:20" x14ac:dyDescent="0.25">
      <c r="A1315" s="167"/>
      <c r="B1315" s="168"/>
      <c r="C1315" s="169"/>
      <c r="D1315" s="170"/>
      <c r="E1315" s="547"/>
      <c r="F1315" s="365"/>
      <c r="G1315" s="161"/>
    </row>
    <row r="1316" spans="1:20" x14ac:dyDescent="0.25">
      <c r="A1316" s="193"/>
      <c r="B1316" s="177"/>
      <c r="C1316" s="206"/>
      <c r="D1316" s="170"/>
      <c r="E1316" s="1787"/>
      <c r="F1316" s="378"/>
      <c r="G1316" s="181"/>
    </row>
    <row r="1317" spans="1:20" x14ac:dyDescent="0.25">
      <c r="A1317" s="257"/>
      <c r="B1317" s="1945" t="s">
        <v>26</v>
      </c>
      <c r="C1317" s="1945"/>
      <c r="D1317" s="1945"/>
      <c r="E1317" s="1946"/>
      <c r="F1317" s="180">
        <f>SUM(F1298:F1316)</f>
        <v>35400000</v>
      </c>
      <c r="G1317" s="213" t="s">
        <v>1222</v>
      </c>
      <c r="K1317" s="27">
        <f>F1317</f>
        <v>35400000</v>
      </c>
      <c r="T1317" s="27"/>
    </row>
    <row r="1319" spans="1:20" x14ac:dyDescent="0.25">
      <c r="A1319" s="1926" t="s">
        <v>516</v>
      </c>
      <c r="B1319" s="1926"/>
      <c r="C1319" s="152" t="s">
        <v>27</v>
      </c>
      <c r="D1319" s="1926" t="s">
        <v>3654</v>
      </c>
      <c r="E1319" s="1926"/>
      <c r="F1319" s="1926"/>
      <c r="G1319" s="152"/>
    </row>
    <row r="1320" spans="1:20" x14ac:dyDescent="0.25">
      <c r="A1320" s="1926" t="s">
        <v>28</v>
      </c>
      <c r="B1320" s="1926"/>
      <c r="C1320" s="152"/>
      <c r="D1320" s="1927" t="s">
        <v>3566</v>
      </c>
      <c r="E1320" s="1927"/>
      <c r="F1320" s="1927"/>
      <c r="G1320" s="152"/>
    </row>
    <row r="1321" spans="1:20" x14ac:dyDescent="0.25">
      <c r="A1321" s="150"/>
      <c r="B1321" s="151"/>
      <c r="C1321" s="152"/>
      <c r="D1321" s="153"/>
      <c r="E1321" s="1770"/>
      <c r="F1321" s="182"/>
      <c r="G1321" s="152"/>
    </row>
    <row r="1322" spans="1:20" x14ac:dyDescent="0.25">
      <c r="A1322" s="150"/>
      <c r="B1322" s="151"/>
      <c r="C1322" s="152"/>
      <c r="D1322" s="153"/>
      <c r="E1322" s="1770"/>
      <c r="F1322" s="182"/>
      <c r="G1322" s="152"/>
    </row>
    <row r="1323" spans="1:20" x14ac:dyDescent="0.25">
      <c r="A1323" s="1926"/>
      <c r="B1323" s="1926"/>
      <c r="C1323" s="152"/>
      <c r="D1323" s="153"/>
      <c r="E1323" s="1926"/>
      <c r="F1323" s="1926"/>
      <c r="G1323" s="152"/>
    </row>
    <row r="1324" spans="1:20" x14ac:dyDescent="0.25">
      <c r="A1324" s="1926" t="s">
        <v>29</v>
      </c>
      <c r="B1324" s="1926"/>
      <c r="C1324" s="152"/>
      <c r="D1324" s="1926" t="s">
        <v>3569</v>
      </c>
      <c r="E1324" s="1926"/>
      <c r="F1324" s="1926"/>
      <c r="G1324" s="152"/>
    </row>
    <row r="1327" spans="1:20" x14ac:dyDescent="0.25">
      <c r="A1327" s="1947" t="s">
        <v>0</v>
      </c>
      <c r="B1327" s="1947"/>
      <c r="C1327" s="1947"/>
      <c r="D1327" s="1947"/>
      <c r="E1327" s="1947"/>
      <c r="F1327" s="1947"/>
      <c r="G1327" s="149"/>
    </row>
    <row r="1328" spans="1:20" x14ac:dyDescent="0.25">
      <c r="A1328" s="1947" t="s">
        <v>1</v>
      </c>
      <c r="B1328" s="1947"/>
      <c r="C1328" s="1947"/>
      <c r="D1328" s="1947"/>
      <c r="E1328" s="1947"/>
      <c r="F1328" s="1947"/>
      <c r="G1328" s="149"/>
    </row>
    <row r="1329" spans="1:7" x14ac:dyDescent="0.25">
      <c r="A1329" s="1947" t="s">
        <v>2398</v>
      </c>
      <c r="B1329" s="1947"/>
      <c r="C1329" s="1947"/>
      <c r="D1329" s="1947"/>
      <c r="E1329" s="1947"/>
      <c r="F1329" s="1947"/>
      <c r="G1329" s="149"/>
    </row>
    <row r="1330" spans="1:7" x14ac:dyDescent="0.25">
      <c r="A1330" s="148"/>
      <c r="B1330" s="148"/>
      <c r="C1330" s="148"/>
      <c r="D1330" s="148"/>
      <c r="E1330" s="1764"/>
      <c r="F1330" s="148"/>
      <c r="G1330" s="149"/>
    </row>
    <row r="1331" spans="1:7" x14ac:dyDescent="0.25">
      <c r="A1331" s="216" t="s">
        <v>336</v>
      </c>
      <c r="B1331" s="196" t="s">
        <v>56</v>
      </c>
      <c r="C1331" s="152"/>
      <c r="D1331" s="153"/>
      <c r="E1331" s="1765"/>
      <c r="F1331" s="155"/>
      <c r="G1331" s="152"/>
    </row>
    <row r="1332" spans="1:7" ht="24" x14ac:dyDescent="0.25">
      <c r="A1332" s="184" t="s">
        <v>337</v>
      </c>
      <c r="B1332" s="217" t="s">
        <v>338</v>
      </c>
      <c r="C1332" s="152"/>
      <c r="D1332" s="153"/>
      <c r="E1332" s="1772" t="s">
        <v>6</v>
      </c>
      <c r="F1332" s="155"/>
      <c r="G1332" s="152"/>
    </row>
    <row r="1333" spans="1:7" ht="48" x14ac:dyDescent="0.25">
      <c r="A1333" s="184" t="s">
        <v>339</v>
      </c>
      <c r="B1333" s="217" t="s">
        <v>356</v>
      </c>
      <c r="C1333" s="152"/>
      <c r="D1333" s="153"/>
      <c r="E1333" s="1766" t="s">
        <v>9</v>
      </c>
      <c r="F1333" s="160"/>
      <c r="G1333" s="152"/>
    </row>
    <row r="1334" spans="1:7" x14ac:dyDescent="0.25">
      <c r="A1334" s="185" t="s">
        <v>37</v>
      </c>
      <c r="B1334" s="151" t="s">
        <v>1511</v>
      </c>
      <c r="C1334" s="152"/>
      <c r="D1334" s="153"/>
      <c r="E1334" s="1765"/>
      <c r="F1334" s="155"/>
      <c r="G1334" s="152"/>
    </row>
    <row r="1335" spans="1:7" x14ac:dyDescent="0.25">
      <c r="A1335" s="156" t="s">
        <v>10</v>
      </c>
      <c r="B1335" s="151"/>
      <c r="C1335" s="152"/>
      <c r="D1335" s="153"/>
      <c r="E1335" s="1765"/>
      <c r="F1335" s="155"/>
      <c r="G1335" s="152"/>
    </row>
    <row r="1336" spans="1:7" x14ac:dyDescent="0.25">
      <c r="A1336" s="156"/>
      <c r="B1336" s="151"/>
      <c r="C1336" s="152"/>
      <c r="D1336" s="153"/>
      <c r="E1336" s="1765"/>
      <c r="F1336" s="155"/>
      <c r="G1336" s="152"/>
    </row>
    <row r="1337" spans="1:7" x14ac:dyDescent="0.25">
      <c r="A1337" s="161" t="s">
        <v>30</v>
      </c>
      <c r="B1337" s="162" t="s">
        <v>31</v>
      </c>
      <c r="C1337" s="1931" t="s">
        <v>12</v>
      </c>
      <c r="D1337" s="1932"/>
      <c r="E1337" s="1767" t="s">
        <v>32</v>
      </c>
      <c r="F1337" s="163" t="s">
        <v>33</v>
      </c>
      <c r="G1337" s="161" t="s">
        <v>34</v>
      </c>
    </row>
    <row r="1338" spans="1:7" x14ac:dyDescent="0.25">
      <c r="A1338" s="164">
        <v>1</v>
      </c>
      <c r="B1338" s="164">
        <v>2</v>
      </c>
      <c r="C1338" s="1943">
        <v>3</v>
      </c>
      <c r="D1338" s="1943"/>
      <c r="E1338" s="1768">
        <v>4</v>
      </c>
      <c r="F1338" s="166">
        <v>5</v>
      </c>
      <c r="G1338" s="166">
        <v>6</v>
      </c>
    </row>
    <row r="1339" spans="1:7" x14ac:dyDescent="0.25">
      <c r="A1339" s="167" t="s">
        <v>342</v>
      </c>
      <c r="B1339" s="168" t="s">
        <v>277</v>
      </c>
      <c r="C1339" s="169"/>
      <c r="D1339" s="170"/>
      <c r="E1339" s="645"/>
      <c r="F1339" s="163"/>
      <c r="G1339" s="171"/>
    </row>
    <row r="1340" spans="1:7" x14ac:dyDescent="0.25">
      <c r="A1340" s="167" t="s">
        <v>343</v>
      </c>
      <c r="B1340" s="168" t="s">
        <v>84</v>
      </c>
      <c r="C1340" s="169"/>
      <c r="D1340" s="170"/>
      <c r="E1340" s="645"/>
      <c r="F1340" s="163"/>
      <c r="G1340" s="171"/>
    </row>
    <row r="1341" spans="1:7" ht="36" x14ac:dyDescent="0.25">
      <c r="A1341" s="167" t="s">
        <v>344</v>
      </c>
      <c r="B1341" s="168" t="s">
        <v>283</v>
      </c>
      <c r="C1341" s="169"/>
      <c r="D1341" s="170"/>
      <c r="E1341" s="547"/>
      <c r="F1341" s="202"/>
      <c r="G1341" s="171"/>
    </row>
    <row r="1342" spans="1:7" x14ac:dyDescent="0.25">
      <c r="A1342" s="167"/>
      <c r="B1342" s="168" t="s">
        <v>1230</v>
      </c>
      <c r="C1342" s="169">
        <v>320</v>
      </c>
      <c r="D1342" s="170" t="s">
        <v>269</v>
      </c>
      <c r="E1342" s="547">
        <v>75000</v>
      </c>
      <c r="F1342" s="202">
        <f>E1342*C1342</f>
        <v>24000000</v>
      </c>
      <c r="G1342" s="181"/>
    </row>
    <row r="1343" spans="1:7" x14ac:dyDescent="0.25">
      <c r="A1343" s="167" t="s">
        <v>2334</v>
      </c>
      <c r="B1343" s="168" t="s">
        <v>973</v>
      </c>
      <c r="C1343" s="169"/>
      <c r="D1343" s="170"/>
      <c r="E1343" s="547"/>
      <c r="F1343" s="202"/>
      <c r="G1343" s="171"/>
    </row>
    <row r="1344" spans="1:7" x14ac:dyDescent="0.25">
      <c r="A1344" s="167"/>
      <c r="B1344" s="168" t="s">
        <v>282</v>
      </c>
      <c r="C1344" s="169">
        <v>4</v>
      </c>
      <c r="D1344" s="170" t="s">
        <v>106</v>
      </c>
      <c r="E1344" s="547">
        <v>90000</v>
      </c>
      <c r="F1344" s="202">
        <f>E1344*C1344</f>
        <v>360000</v>
      </c>
      <c r="G1344" s="181"/>
    </row>
    <row r="1345" spans="1:19" x14ac:dyDescent="0.25">
      <c r="A1345" s="167" t="s">
        <v>345</v>
      </c>
      <c r="B1345" s="168" t="s">
        <v>285</v>
      </c>
      <c r="C1345" s="169"/>
      <c r="D1345" s="170"/>
      <c r="E1345" s="547"/>
      <c r="F1345" s="202"/>
      <c r="G1345" s="171"/>
    </row>
    <row r="1346" spans="1:19" x14ac:dyDescent="0.25">
      <c r="A1346" s="167"/>
      <c r="B1346" s="168" t="s">
        <v>286</v>
      </c>
      <c r="C1346" s="169">
        <v>4</v>
      </c>
      <c r="D1346" s="170" t="s">
        <v>287</v>
      </c>
      <c r="E1346" s="547">
        <v>50000</v>
      </c>
      <c r="F1346" s="202">
        <f>E1346*C1346</f>
        <v>200000</v>
      </c>
      <c r="G1346" s="181"/>
    </row>
    <row r="1347" spans="1:19" x14ac:dyDescent="0.25">
      <c r="A1347" s="167"/>
      <c r="B1347" s="168" t="s">
        <v>347</v>
      </c>
      <c r="C1347" s="169">
        <v>8</v>
      </c>
      <c r="D1347" s="170" t="s">
        <v>357</v>
      </c>
      <c r="E1347" s="547">
        <v>20000</v>
      </c>
      <c r="F1347" s="202">
        <f>E1347*C1347</f>
        <v>160000</v>
      </c>
      <c r="G1347" s="181"/>
    </row>
    <row r="1348" spans="1:19" x14ac:dyDescent="0.25">
      <c r="A1348" s="167"/>
      <c r="B1348" s="168" t="s">
        <v>275</v>
      </c>
      <c r="C1348" s="169">
        <v>16</v>
      </c>
      <c r="D1348" s="170" t="s">
        <v>357</v>
      </c>
      <c r="E1348" s="547">
        <v>1000</v>
      </c>
      <c r="F1348" s="202">
        <f>E1348*C1348</f>
        <v>16000</v>
      </c>
      <c r="G1348" s="181"/>
    </row>
    <row r="1349" spans="1:19" x14ac:dyDescent="0.25">
      <c r="A1349" s="149"/>
      <c r="B1349" s="168" t="s">
        <v>358</v>
      </c>
      <c r="C1349" s="169">
        <v>4</v>
      </c>
      <c r="D1349" s="170" t="s">
        <v>290</v>
      </c>
      <c r="E1349" s="547">
        <v>10000</v>
      </c>
      <c r="F1349" s="202">
        <f>E1349*C1349</f>
        <v>40000</v>
      </c>
      <c r="G1349" s="181"/>
    </row>
    <row r="1350" spans="1:19" x14ac:dyDescent="0.25">
      <c r="A1350" s="149"/>
      <c r="B1350" s="168"/>
      <c r="C1350" s="169"/>
      <c r="D1350" s="170"/>
      <c r="E1350" s="547"/>
      <c r="F1350" s="202"/>
      <c r="G1350" s="221"/>
    </row>
    <row r="1351" spans="1:19" x14ac:dyDescent="0.25">
      <c r="A1351" s="167" t="s">
        <v>348</v>
      </c>
      <c r="B1351" s="168" t="s">
        <v>349</v>
      </c>
      <c r="C1351" s="169"/>
      <c r="D1351" s="170"/>
      <c r="E1351" s="547"/>
      <c r="F1351" s="202"/>
      <c r="G1351" s="171"/>
    </row>
    <row r="1352" spans="1:19" x14ac:dyDescent="0.25">
      <c r="A1352" s="167" t="s">
        <v>350</v>
      </c>
      <c r="B1352" s="168" t="s">
        <v>333</v>
      </c>
      <c r="C1352" s="169"/>
      <c r="D1352" s="170"/>
      <c r="E1352" s="547"/>
      <c r="F1352" s="202"/>
      <c r="G1352" s="171"/>
    </row>
    <row r="1353" spans="1:19" x14ac:dyDescent="0.25">
      <c r="A1353" s="167"/>
      <c r="B1353" s="168" t="s">
        <v>351</v>
      </c>
      <c r="C1353" s="169">
        <v>4</v>
      </c>
      <c r="D1353" s="170" t="s">
        <v>126</v>
      </c>
      <c r="E1353" s="547">
        <v>100000</v>
      </c>
      <c r="F1353" s="202">
        <f>E1353*C1353</f>
        <v>400000</v>
      </c>
      <c r="G1353" s="181"/>
    </row>
    <row r="1354" spans="1:19" x14ac:dyDescent="0.25">
      <c r="A1354" s="167"/>
      <c r="B1354" s="168"/>
      <c r="C1354" s="169"/>
      <c r="D1354" s="170"/>
      <c r="E1354" s="547"/>
      <c r="F1354" s="202"/>
      <c r="G1354" s="221"/>
    </row>
    <row r="1355" spans="1:19" ht="24" x14ac:dyDescent="0.25">
      <c r="A1355" s="167" t="s">
        <v>352</v>
      </c>
      <c r="B1355" s="168" t="s">
        <v>353</v>
      </c>
      <c r="C1355" s="169"/>
      <c r="D1355" s="170"/>
      <c r="E1355" s="547"/>
      <c r="F1355" s="202"/>
      <c r="G1355" s="171"/>
    </row>
    <row r="1356" spans="1:19" x14ac:dyDescent="0.25">
      <c r="A1356" s="167" t="s">
        <v>354</v>
      </c>
      <c r="B1356" s="168" t="s">
        <v>359</v>
      </c>
      <c r="C1356" s="169"/>
      <c r="D1356" s="170"/>
      <c r="E1356" s="547"/>
      <c r="F1356" s="202"/>
      <c r="G1356" s="171"/>
    </row>
    <row r="1357" spans="1:19" x14ac:dyDescent="0.25">
      <c r="A1357" s="167"/>
      <c r="B1357" s="168" t="s">
        <v>2703</v>
      </c>
      <c r="C1357" s="169">
        <f>40*4</f>
        <v>160</v>
      </c>
      <c r="D1357" s="170" t="s">
        <v>269</v>
      </c>
      <c r="E1357" s="547">
        <v>50000</v>
      </c>
      <c r="F1357" s="202">
        <f>E1357*C1357</f>
        <v>8000000</v>
      </c>
      <c r="G1357" s="181"/>
    </row>
    <row r="1358" spans="1:19" x14ac:dyDescent="0.25">
      <c r="A1358" s="193"/>
      <c r="B1358" s="177"/>
      <c r="C1358" s="206"/>
      <c r="D1358" s="170"/>
      <c r="E1358" s="1787"/>
      <c r="F1358" s="215"/>
      <c r="G1358" s="181"/>
    </row>
    <row r="1359" spans="1:19" x14ac:dyDescent="0.25">
      <c r="A1359" s="257"/>
      <c r="B1359" s="1945" t="s">
        <v>26</v>
      </c>
      <c r="C1359" s="1945"/>
      <c r="D1359" s="1945"/>
      <c r="E1359" s="1946"/>
      <c r="F1359" s="179">
        <f>SUM(F1341:F1358)</f>
        <v>33176000</v>
      </c>
      <c r="G1359" s="177" t="s">
        <v>1506</v>
      </c>
      <c r="K1359" s="27">
        <f>F1359</f>
        <v>33176000</v>
      </c>
      <c r="S1359" s="27"/>
    </row>
    <row r="1361" spans="1:7" x14ac:dyDescent="0.25">
      <c r="A1361" s="1926" t="s">
        <v>516</v>
      </c>
      <c r="B1361" s="1926"/>
      <c r="C1361" s="152" t="s">
        <v>27</v>
      </c>
      <c r="D1361" s="1926" t="s">
        <v>3654</v>
      </c>
      <c r="E1361" s="1926"/>
      <c r="F1361" s="1926"/>
      <c r="G1361" s="152"/>
    </row>
    <row r="1362" spans="1:7" x14ac:dyDescent="0.25">
      <c r="A1362" s="1926" t="s">
        <v>28</v>
      </c>
      <c r="B1362" s="1926"/>
      <c r="C1362" s="152"/>
      <c r="D1362" s="1927" t="s">
        <v>3566</v>
      </c>
      <c r="E1362" s="1927"/>
      <c r="F1362" s="1927"/>
      <c r="G1362" s="152"/>
    </row>
    <row r="1363" spans="1:7" x14ac:dyDescent="0.25">
      <c r="A1363" s="150"/>
      <c r="B1363" s="151"/>
      <c r="C1363" s="152"/>
      <c r="D1363" s="153"/>
      <c r="E1363" s="1770"/>
      <c r="F1363" s="182"/>
      <c r="G1363" s="152"/>
    </row>
    <row r="1364" spans="1:7" x14ac:dyDescent="0.25">
      <c r="A1364" s="150"/>
      <c r="B1364" s="151"/>
      <c r="C1364" s="152"/>
      <c r="D1364" s="153"/>
      <c r="E1364" s="1770"/>
      <c r="F1364" s="182"/>
      <c r="G1364" s="152"/>
    </row>
    <row r="1365" spans="1:7" x14ac:dyDescent="0.25">
      <c r="A1365" s="1926"/>
      <c r="B1365" s="1926"/>
      <c r="C1365" s="152"/>
      <c r="D1365" s="153"/>
      <c r="E1365" s="1926"/>
      <c r="F1365" s="1926"/>
      <c r="G1365" s="152"/>
    </row>
    <row r="1366" spans="1:7" x14ac:dyDescent="0.25">
      <c r="A1366" s="1926" t="s">
        <v>29</v>
      </c>
      <c r="B1366" s="1926"/>
      <c r="C1366" s="152"/>
      <c r="D1366" s="1926" t="s">
        <v>3569</v>
      </c>
      <c r="E1366" s="1926"/>
      <c r="F1366" s="1926"/>
      <c r="G1366" s="152"/>
    </row>
    <row r="1370" spans="1:7" x14ac:dyDescent="0.25">
      <c r="A1370" s="1947" t="s">
        <v>0</v>
      </c>
      <c r="B1370" s="1947"/>
      <c r="C1370" s="1947"/>
      <c r="D1370" s="1947"/>
      <c r="E1370" s="1947"/>
      <c r="F1370" s="1947"/>
      <c r="G1370" s="149"/>
    </row>
    <row r="1371" spans="1:7" x14ac:dyDescent="0.25">
      <c r="A1371" s="1947" t="s">
        <v>1</v>
      </c>
      <c r="B1371" s="1947"/>
      <c r="C1371" s="1947"/>
      <c r="D1371" s="1947"/>
      <c r="E1371" s="1947"/>
      <c r="F1371" s="1947"/>
      <c r="G1371" s="149"/>
    </row>
    <row r="1372" spans="1:7" x14ac:dyDescent="0.25">
      <c r="A1372" s="1947" t="s">
        <v>2398</v>
      </c>
      <c r="B1372" s="1947"/>
      <c r="C1372" s="1947"/>
      <c r="D1372" s="1947"/>
      <c r="E1372" s="1947"/>
      <c r="F1372" s="1947"/>
      <c r="G1372" s="149"/>
    </row>
    <row r="1373" spans="1:7" x14ac:dyDescent="0.25">
      <c r="A1373" s="148"/>
      <c r="B1373" s="148"/>
      <c r="C1373" s="148"/>
      <c r="D1373" s="148"/>
      <c r="E1373" s="1764"/>
      <c r="F1373" s="148"/>
      <c r="G1373" s="149"/>
    </row>
    <row r="1374" spans="1:7" x14ac:dyDescent="0.25">
      <c r="A1374" s="226" t="s">
        <v>251</v>
      </c>
      <c r="B1374" s="189" t="s">
        <v>3</v>
      </c>
      <c r="C1374" s="226"/>
      <c r="D1374" s="153"/>
      <c r="E1374" s="1765"/>
      <c r="F1374" s="155"/>
      <c r="G1374" s="152"/>
    </row>
    <row r="1375" spans="1:7" ht="38.25" x14ac:dyDescent="0.25">
      <c r="A1375" s="226" t="s">
        <v>252</v>
      </c>
      <c r="B1375" s="189" t="s">
        <v>360</v>
      </c>
      <c r="C1375" s="226"/>
      <c r="D1375" s="153"/>
      <c r="E1375" s="1772" t="s">
        <v>6</v>
      </c>
      <c r="F1375" s="155"/>
      <c r="G1375" s="152"/>
    </row>
    <row r="1376" spans="1:7" ht="25.5" x14ac:dyDescent="0.25">
      <c r="A1376" s="228" t="s">
        <v>253</v>
      </c>
      <c r="B1376" s="228" t="s">
        <v>361</v>
      </c>
      <c r="C1376" s="228"/>
      <c r="D1376" s="153"/>
      <c r="E1376" s="1766" t="s">
        <v>9</v>
      </c>
      <c r="F1376" s="160"/>
      <c r="G1376" s="152"/>
    </row>
    <row r="1377" spans="1:7" x14ac:dyDescent="0.25">
      <c r="A1377" s="190" t="s">
        <v>59</v>
      </c>
      <c r="B1377" s="190" t="s">
        <v>60</v>
      </c>
      <c r="C1377" s="190"/>
      <c r="D1377" s="153"/>
      <c r="E1377" s="1765"/>
      <c r="F1377" s="155"/>
      <c r="G1377" s="152"/>
    </row>
    <row r="1378" spans="1:7" x14ac:dyDescent="0.25">
      <c r="A1378" s="190" t="s">
        <v>61</v>
      </c>
      <c r="B1378" s="190" t="s">
        <v>62</v>
      </c>
      <c r="C1378" s="190"/>
      <c r="D1378" s="153"/>
      <c r="E1378" s="1765"/>
      <c r="F1378" s="155"/>
      <c r="G1378" s="152"/>
    </row>
    <row r="1379" spans="1:7" x14ac:dyDescent="0.25">
      <c r="A1379" s="156"/>
      <c r="B1379" s="151"/>
      <c r="C1379" s="152"/>
      <c r="D1379" s="153"/>
      <c r="E1379" s="1765"/>
      <c r="F1379" s="155"/>
      <c r="G1379" s="152"/>
    </row>
    <row r="1380" spans="1:7" x14ac:dyDescent="0.25">
      <c r="A1380" s="161" t="s">
        <v>30</v>
      </c>
      <c r="B1380" s="162" t="s">
        <v>31</v>
      </c>
      <c r="C1380" s="1931" t="s">
        <v>12</v>
      </c>
      <c r="D1380" s="1932"/>
      <c r="E1380" s="1767" t="s">
        <v>32</v>
      </c>
      <c r="F1380" s="163" t="s">
        <v>33</v>
      </c>
      <c r="G1380" s="161" t="s">
        <v>34</v>
      </c>
    </row>
    <row r="1381" spans="1:7" x14ac:dyDescent="0.25">
      <c r="A1381" s="164">
        <v>1</v>
      </c>
      <c r="B1381" s="164">
        <v>2</v>
      </c>
      <c r="C1381" s="1943">
        <v>3</v>
      </c>
      <c r="D1381" s="1943"/>
      <c r="E1381" s="1768">
        <v>4</v>
      </c>
      <c r="F1381" s="166">
        <v>5</v>
      </c>
      <c r="G1381" s="166">
        <v>6</v>
      </c>
    </row>
    <row r="1382" spans="1:7" x14ac:dyDescent="0.25">
      <c r="A1382" s="167" t="s">
        <v>362</v>
      </c>
      <c r="B1382" s="168" t="s">
        <v>277</v>
      </c>
      <c r="C1382" s="169"/>
      <c r="D1382" s="170"/>
      <c r="E1382" s="645"/>
      <c r="F1382" s="163"/>
      <c r="G1382" s="171"/>
    </row>
    <row r="1383" spans="1:7" x14ac:dyDescent="0.25">
      <c r="A1383" s="167" t="s">
        <v>363</v>
      </c>
      <c r="B1383" s="168" t="s">
        <v>84</v>
      </c>
      <c r="C1383" s="169"/>
      <c r="D1383" s="170"/>
      <c r="E1383" s="645"/>
      <c r="F1383" s="163"/>
      <c r="G1383" s="171"/>
    </row>
    <row r="1384" spans="1:7" ht="36" x14ac:dyDescent="0.25">
      <c r="A1384" s="167" t="s">
        <v>364</v>
      </c>
      <c r="B1384" s="168" t="s">
        <v>283</v>
      </c>
      <c r="C1384" s="169"/>
      <c r="D1384" s="170"/>
      <c r="E1384" s="547"/>
      <c r="F1384" s="202"/>
      <c r="G1384" s="171"/>
    </row>
    <row r="1385" spans="1:7" x14ac:dyDescent="0.25">
      <c r="A1385" s="379"/>
      <c r="B1385" s="168" t="s">
        <v>1787</v>
      </c>
      <c r="C1385" s="169">
        <v>200</v>
      </c>
      <c r="D1385" s="170" t="s">
        <v>269</v>
      </c>
      <c r="E1385" s="547">
        <v>75000</v>
      </c>
      <c r="F1385" s="202">
        <f>E1385*C1385</f>
        <v>15000000</v>
      </c>
      <c r="G1385" s="181"/>
    </row>
    <row r="1386" spans="1:7" x14ac:dyDescent="0.25">
      <c r="A1386" s="167"/>
      <c r="B1386" s="168"/>
      <c r="C1386" s="169"/>
      <c r="D1386" s="170"/>
      <c r="E1386" s="547"/>
      <c r="F1386" s="202"/>
      <c r="G1386" s="221"/>
    </row>
    <row r="1387" spans="1:7" x14ac:dyDescent="0.25">
      <c r="A1387" s="167" t="s">
        <v>2335</v>
      </c>
      <c r="B1387" s="168" t="s">
        <v>973</v>
      </c>
      <c r="C1387" s="169"/>
      <c r="D1387" s="170"/>
      <c r="E1387" s="547"/>
      <c r="F1387" s="202"/>
      <c r="G1387" s="171"/>
    </row>
    <row r="1388" spans="1:7" x14ac:dyDescent="0.25">
      <c r="A1388" s="167"/>
      <c r="B1388" s="168" t="s">
        <v>282</v>
      </c>
      <c r="C1388" s="169">
        <v>4</v>
      </c>
      <c r="D1388" s="170" t="s">
        <v>106</v>
      </c>
      <c r="E1388" s="547">
        <v>90000</v>
      </c>
      <c r="F1388" s="202">
        <f>E1388*C1388</f>
        <v>360000</v>
      </c>
      <c r="G1388" s="181"/>
    </row>
    <row r="1389" spans="1:7" x14ac:dyDescent="0.25">
      <c r="A1389" s="167" t="s">
        <v>365</v>
      </c>
      <c r="B1389" s="168" t="s">
        <v>285</v>
      </c>
      <c r="C1389" s="169"/>
      <c r="D1389" s="170"/>
      <c r="E1389" s="547"/>
      <c r="F1389" s="202"/>
      <c r="G1389" s="171"/>
    </row>
    <row r="1390" spans="1:7" x14ac:dyDescent="0.25">
      <c r="A1390" s="167"/>
      <c r="B1390" s="168" t="s">
        <v>286</v>
      </c>
      <c r="C1390" s="169">
        <v>4</v>
      </c>
      <c r="D1390" s="170" t="s">
        <v>287</v>
      </c>
      <c r="E1390" s="547">
        <v>50000</v>
      </c>
      <c r="F1390" s="202">
        <f>E1390*C1390</f>
        <v>200000</v>
      </c>
      <c r="G1390" s="181"/>
    </row>
    <row r="1391" spans="1:7" x14ac:dyDescent="0.25">
      <c r="A1391" s="379"/>
      <c r="B1391" s="168" t="s">
        <v>347</v>
      </c>
      <c r="C1391" s="169">
        <v>8</v>
      </c>
      <c r="D1391" s="170" t="s">
        <v>158</v>
      </c>
      <c r="E1391" s="547">
        <v>20000</v>
      </c>
      <c r="F1391" s="202">
        <f>E1391*C1391</f>
        <v>160000</v>
      </c>
      <c r="G1391" s="181"/>
    </row>
    <row r="1392" spans="1:7" x14ac:dyDescent="0.25">
      <c r="A1392" s="379"/>
      <c r="B1392" s="168" t="s">
        <v>289</v>
      </c>
      <c r="C1392" s="169">
        <v>4</v>
      </c>
      <c r="D1392" s="170" t="s">
        <v>290</v>
      </c>
      <c r="E1392" s="547">
        <v>10000</v>
      </c>
      <c r="F1392" s="202">
        <f>E1392*C1392</f>
        <v>40000</v>
      </c>
      <c r="G1392" s="181"/>
    </row>
    <row r="1393" spans="1:19" x14ac:dyDescent="0.25">
      <c r="A1393" s="167"/>
      <c r="B1393" s="168"/>
      <c r="C1393" s="169"/>
      <c r="D1393" s="170"/>
      <c r="E1393" s="547"/>
      <c r="F1393" s="202"/>
      <c r="G1393" s="221"/>
    </row>
    <row r="1394" spans="1:19" x14ac:dyDescent="0.25">
      <c r="A1394" s="167" t="s">
        <v>366</v>
      </c>
      <c r="B1394" s="168" t="s">
        <v>349</v>
      </c>
      <c r="C1394" s="169"/>
      <c r="D1394" s="170"/>
      <c r="E1394" s="547"/>
      <c r="F1394" s="202"/>
      <c r="G1394" s="171"/>
    </row>
    <row r="1395" spans="1:19" x14ac:dyDescent="0.25">
      <c r="A1395" s="167" t="s">
        <v>367</v>
      </c>
      <c r="B1395" s="168" t="s">
        <v>333</v>
      </c>
      <c r="C1395" s="169"/>
      <c r="D1395" s="170"/>
      <c r="E1395" s="547"/>
      <c r="F1395" s="202"/>
      <c r="G1395" s="171"/>
    </row>
    <row r="1396" spans="1:19" x14ac:dyDescent="0.25">
      <c r="A1396" s="167"/>
      <c r="B1396" s="168" t="s">
        <v>351</v>
      </c>
      <c r="C1396" s="169">
        <v>4</v>
      </c>
      <c r="D1396" s="170" t="s">
        <v>126</v>
      </c>
      <c r="E1396" s="547">
        <v>100000</v>
      </c>
      <c r="F1396" s="202">
        <f>E1396*C1396</f>
        <v>400000</v>
      </c>
      <c r="G1396" s="181"/>
    </row>
    <row r="1397" spans="1:19" x14ac:dyDescent="0.25">
      <c r="A1397" s="167"/>
      <c r="B1397" s="168"/>
      <c r="C1397" s="169"/>
      <c r="D1397" s="170"/>
      <c r="E1397" s="547"/>
      <c r="F1397" s="202"/>
      <c r="G1397" s="221"/>
    </row>
    <row r="1398" spans="1:19" ht="24" x14ac:dyDescent="0.25">
      <c r="A1398" s="167" t="s">
        <v>368</v>
      </c>
      <c r="B1398" s="168" t="s">
        <v>353</v>
      </c>
      <c r="C1398" s="169"/>
      <c r="D1398" s="170"/>
      <c r="E1398" s="547"/>
      <c r="F1398" s="202"/>
      <c r="G1398" s="171"/>
    </row>
    <row r="1399" spans="1:19" x14ac:dyDescent="0.25">
      <c r="A1399" s="167" t="s">
        <v>369</v>
      </c>
      <c r="B1399" s="168" t="s">
        <v>359</v>
      </c>
      <c r="C1399" s="169"/>
      <c r="D1399" s="170"/>
      <c r="E1399" s="547"/>
      <c r="F1399" s="202"/>
      <c r="G1399" s="171"/>
    </row>
    <row r="1400" spans="1:19" x14ac:dyDescent="0.25">
      <c r="A1400" s="167"/>
      <c r="B1400" s="168" t="s">
        <v>1788</v>
      </c>
      <c r="C1400" s="169">
        <f>40*4</f>
        <v>160</v>
      </c>
      <c r="D1400" s="170" t="s">
        <v>269</v>
      </c>
      <c r="E1400" s="547">
        <v>50000</v>
      </c>
      <c r="F1400" s="202">
        <f>E1400*C1400</f>
        <v>8000000</v>
      </c>
      <c r="G1400" s="181"/>
    </row>
    <row r="1401" spans="1:19" x14ac:dyDescent="0.25">
      <c r="A1401" s="193"/>
      <c r="B1401" s="177"/>
      <c r="C1401" s="206"/>
      <c r="D1401" s="170"/>
      <c r="E1401" s="1787"/>
      <c r="F1401" s="215"/>
      <c r="G1401" s="181"/>
    </row>
    <row r="1402" spans="1:19" x14ac:dyDescent="0.25">
      <c r="A1402" s="257"/>
      <c r="B1402" s="1945" t="s">
        <v>26</v>
      </c>
      <c r="C1402" s="1945"/>
      <c r="D1402" s="1945"/>
      <c r="E1402" s="1946"/>
      <c r="F1402" s="179">
        <f>SUM(F1384:F1401)</f>
        <v>24160000</v>
      </c>
      <c r="G1402" s="177" t="s">
        <v>1220</v>
      </c>
      <c r="J1402" s="27">
        <f>F1402</f>
        <v>24160000</v>
      </c>
      <c r="S1402" s="27"/>
    </row>
    <row r="1403" spans="1:19" x14ac:dyDescent="0.25">
      <c r="F1403" s="3"/>
    </row>
    <row r="1404" spans="1:19" x14ac:dyDescent="0.25">
      <c r="A1404" s="1926" t="s">
        <v>516</v>
      </c>
      <c r="B1404" s="1926"/>
      <c r="C1404" s="152" t="s">
        <v>27</v>
      </c>
      <c r="D1404" s="1926" t="s">
        <v>3654</v>
      </c>
      <c r="E1404" s="1926"/>
      <c r="F1404" s="1926"/>
      <c r="G1404" s="152"/>
    </row>
    <row r="1405" spans="1:19" x14ac:dyDescent="0.25">
      <c r="A1405" s="1926" t="s">
        <v>28</v>
      </c>
      <c r="B1405" s="1926"/>
      <c r="C1405" s="152"/>
      <c r="D1405" s="1927" t="s">
        <v>3566</v>
      </c>
      <c r="E1405" s="1927"/>
      <c r="F1405" s="1927"/>
      <c r="G1405" s="152"/>
    </row>
    <row r="1406" spans="1:19" x14ac:dyDescent="0.25">
      <c r="A1406" s="150"/>
      <c r="B1406" s="151"/>
      <c r="C1406" s="152"/>
      <c r="D1406" s="153"/>
      <c r="E1406" s="1770"/>
      <c r="F1406" s="182"/>
      <c r="G1406" s="152"/>
    </row>
    <row r="1407" spans="1:19" x14ac:dyDescent="0.25">
      <c r="A1407" s="150"/>
      <c r="B1407" s="151"/>
      <c r="C1407" s="152"/>
      <c r="D1407" s="153"/>
      <c r="E1407" s="1770"/>
      <c r="F1407" s="182"/>
      <c r="G1407" s="152"/>
    </row>
    <row r="1408" spans="1:19" x14ac:dyDescent="0.25">
      <c r="A1408" s="1926"/>
      <c r="B1408" s="1926"/>
      <c r="C1408" s="152"/>
      <c r="D1408" s="153"/>
      <c r="E1408" s="1926"/>
      <c r="F1408" s="1926"/>
      <c r="G1408" s="152"/>
    </row>
    <row r="1409" spans="1:7" x14ac:dyDescent="0.25">
      <c r="A1409" s="1926" t="s">
        <v>29</v>
      </c>
      <c r="B1409" s="1926"/>
      <c r="C1409" s="152"/>
      <c r="D1409" s="1926" t="s">
        <v>3569</v>
      </c>
      <c r="E1409" s="1926"/>
      <c r="F1409" s="1926"/>
      <c r="G1409" s="152"/>
    </row>
    <row r="1410" spans="1:7" x14ac:dyDescent="0.25">
      <c r="A1410" s="1947" t="s">
        <v>0</v>
      </c>
      <c r="B1410" s="1947"/>
      <c r="C1410" s="1947"/>
      <c r="D1410" s="1947"/>
      <c r="E1410" s="1947"/>
      <c r="F1410" s="1947"/>
      <c r="G1410" s="1947"/>
    </row>
    <row r="1411" spans="1:7" x14ac:dyDescent="0.25">
      <c r="A1411" s="1947" t="s">
        <v>1</v>
      </c>
      <c r="B1411" s="1947"/>
      <c r="C1411" s="1947"/>
      <c r="D1411" s="1947"/>
      <c r="E1411" s="1947"/>
      <c r="F1411" s="1947"/>
      <c r="G1411" s="1947"/>
    </row>
    <row r="1412" spans="1:7" x14ac:dyDescent="0.25">
      <c r="A1412" s="1947" t="s">
        <v>2398</v>
      </c>
      <c r="B1412" s="1947"/>
      <c r="C1412" s="1947"/>
      <c r="D1412" s="1947"/>
      <c r="E1412" s="1947"/>
      <c r="F1412" s="1947"/>
      <c r="G1412" s="1947"/>
    </row>
    <row r="1413" spans="1:7" x14ac:dyDescent="0.25">
      <c r="A1413" s="148"/>
      <c r="B1413" s="148"/>
      <c r="C1413" s="148"/>
      <c r="D1413" s="148"/>
      <c r="E1413" s="1764"/>
      <c r="F1413" s="148"/>
      <c r="G1413" s="149"/>
    </row>
    <row r="1414" spans="1:7" x14ac:dyDescent="0.25">
      <c r="A1414" s="226" t="s">
        <v>251</v>
      </c>
      <c r="B1414" s="189" t="s">
        <v>56</v>
      </c>
      <c r="C1414" s="226"/>
      <c r="D1414" s="226"/>
      <c r="E1414" s="1772" t="s">
        <v>6</v>
      </c>
      <c r="F1414" s="155"/>
    </row>
    <row r="1415" spans="1:7" ht="38.25" x14ac:dyDescent="0.25">
      <c r="A1415" s="226" t="s">
        <v>252</v>
      </c>
      <c r="B1415" s="189" t="s">
        <v>338</v>
      </c>
      <c r="C1415" s="226"/>
      <c r="D1415" s="226"/>
      <c r="E1415" s="1766" t="s">
        <v>9</v>
      </c>
      <c r="F1415" s="160"/>
    </row>
    <row r="1416" spans="1:7" ht="25.5" x14ac:dyDescent="0.25">
      <c r="A1416" s="228" t="s">
        <v>253</v>
      </c>
      <c r="B1416" s="228" t="s">
        <v>1791</v>
      </c>
      <c r="C1416" s="228"/>
      <c r="D1416" s="228"/>
      <c r="E1416" s="1782"/>
      <c r="F1416" s="228"/>
    </row>
    <row r="1417" spans="1:7" x14ac:dyDescent="0.25">
      <c r="A1417" s="190" t="s">
        <v>59</v>
      </c>
      <c r="B1417" s="190" t="s">
        <v>60</v>
      </c>
      <c r="C1417" s="190"/>
      <c r="D1417" s="152"/>
      <c r="E1417" s="1770"/>
      <c r="F1417" s="152"/>
    </row>
    <row r="1418" spans="1:7" x14ac:dyDescent="0.25">
      <c r="A1418" s="190" t="s">
        <v>61</v>
      </c>
      <c r="B1418" s="190" t="s">
        <v>62</v>
      </c>
      <c r="C1418" s="190"/>
      <c r="D1418" s="1952"/>
      <c r="E1418" s="1952"/>
      <c r="F1418" s="152"/>
    </row>
    <row r="1419" spans="1:7" x14ac:dyDescent="0.25">
      <c r="A1419" s="161" t="s">
        <v>30</v>
      </c>
      <c r="B1419" s="162" t="s">
        <v>31</v>
      </c>
      <c r="C1419" s="1931" t="s">
        <v>12</v>
      </c>
      <c r="D1419" s="1932"/>
      <c r="E1419" s="1767" t="s">
        <v>32</v>
      </c>
      <c r="F1419" s="163" t="s">
        <v>33</v>
      </c>
      <c r="G1419" s="161" t="s">
        <v>34</v>
      </c>
    </row>
    <row r="1420" spans="1:7" x14ac:dyDescent="0.25">
      <c r="A1420" s="164">
        <v>1</v>
      </c>
      <c r="B1420" s="164">
        <v>2</v>
      </c>
      <c r="C1420" s="1943">
        <v>3</v>
      </c>
      <c r="D1420" s="1943"/>
      <c r="E1420" s="1768">
        <v>4</v>
      </c>
      <c r="F1420" s="166">
        <v>5</v>
      </c>
      <c r="G1420" s="166">
        <v>6</v>
      </c>
    </row>
    <row r="1421" spans="1:7" x14ac:dyDescent="0.25">
      <c r="A1421" s="167" t="s">
        <v>522</v>
      </c>
      <c r="B1421" s="168" t="s">
        <v>277</v>
      </c>
      <c r="C1421" s="169"/>
      <c r="D1421" s="170"/>
      <c r="E1421" s="645"/>
      <c r="F1421" s="163"/>
      <c r="G1421" s="169"/>
    </row>
    <row r="1422" spans="1:7" x14ac:dyDescent="0.25">
      <c r="A1422" s="167" t="s">
        <v>523</v>
      </c>
      <c r="B1422" s="168" t="s">
        <v>84</v>
      </c>
      <c r="C1422" s="169"/>
      <c r="D1422" s="170"/>
      <c r="E1422" s="645"/>
      <c r="F1422" s="163"/>
      <c r="G1422" s="169"/>
    </row>
    <row r="1423" spans="1:7" ht="24" x14ac:dyDescent="0.25">
      <c r="A1423" s="167" t="s">
        <v>524</v>
      </c>
      <c r="B1423" s="168" t="s">
        <v>280</v>
      </c>
      <c r="C1423" s="169"/>
      <c r="D1423" s="170"/>
      <c r="E1423" s="547"/>
      <c r="F1423" s="202"/>
      <c r="G1423" s="169"/>
    </row>
    <row r="1424" spans="1:7" x14ac:dyDescent="0.25">
      <c r="A1424" s="167"/>
      <c r="B1424" s="168" t="s">
        <v>1789</v>
      </c>
      <c r="C1424" s="169">
        <v>4</v>
      </c>
      <c r="D1424" s="170" t="s">
        <v>106</v>
      </c>
      <c r="E1424" s="547">
        <v>450000</v>
      </c>
      <c r="F1424" s="202">
        <f>E1424*C1424</f>
        <v>1800000</v>
      </c>
      <c r="G1424" s="169"/>
    </row>
    <row r="1425" spans="1:7" x14ac:dyDescent="0.25">
      <c r="A1425" s="167"/>
      <c r="B1425" s="168"/>
      <c r="C1425" s="169"/>
      <c r="D1425" s="170"/>
      <c r="E1425" s="547"/>
      <c r="F1425" s="202"/>
      <c r="G1425" s="169"/>
    </row>
    <row r="1426" spans="1:7" ht="36" x14ac:dyDescent="0.25">
      <c r="A1426" s="167" t="s">
        <v>525</v>
      </c>
      <c r="B1426" s="168" t="s">
        <v>283</v>
      </c>
      <c r="C1426" s="169"/>
      <c r="D1426" s="170"/>
      <c r="E1426" s="547"/>
      <c r="F1426" s="202"/>
      <c r="G1426" s="169"/>
    </row>
    <row r="1427" spans="1:7" x14ac:dyDescent="0.25">
      <c r="A1427" s="167"/>
      <c r="B1427" s="168" t="s">
        <v>526</v>
      </c>
      <c r="C1427" s="169">
        <f>12*11</f>
        <v>132</v>
      </c>
      <c r="D1427" s="170" t="s">
        <v>269</v>
      </c>
      <c r="E1427" s="1796">
        <v>20000</v>
      </c>
      <c r="F1427" s="222">
        <f>E1427*C1427</f>
        <v>2640000</v>
      </c>
      <c r="G1427" s="169"/>
    </row>
    <row r="1428" spans="1:7" x14ac:dyDescent="0.25">
      <c r="A1428" s="167"/>
      <c r="B1428" s="168"/>
      <c r="C1428" s="169"/>
      <c r="D1428" s="170"/>
      <c r="E1428" s="547"/>
      <c r="F1428" s="202"/>
      <c r="G1428" s="169"/>
    </row>
    <row r="1429" spans="1:7" x14ac:dyDescent="0.25">
      <c r="A1429" s="167" t="s">
        <v>527</v>
      </c>
      <c r="B1429" s="168" t="s">
        <v>294</v>
      </c>
      <c r="C1429" s="169"/>
      <c r="D1429" s="170"/>
      <c r="E1429" s="547"/>
      <c r="F1429" s="202"/>
      <c r="G1429" s="169"/>
    </row>
    <row r="1430" spans="1:7" ht="24" x14ac:dyDescent="0.25">
      <c r="A1430" s="167" t="s">
        <v>528</v>
      </c>
      <c r="B1430" s="168" t="s">
        <v>529</v>
      </c>
      <c r="C1430" s="169"/>
      <c r="D1430" s="170"/>
      <c r="E1430" s="547"/>
      <c r="F1430" s="202"/>
      <c r="G1430" s="169"/>
    </row>
    <row r="1431" spans="1:7" x14ac:dyDescent="0.25">
      <c r="A1431" s="167"/>
      <c r="B1431" s="168" t="s">
        <v>530</v>
      </c>
      <c r="C1431" s="169"/>
      <c r="D1431" s="170"/>
      <c r="E1431" s="547"/>
      <c r="F1431" s="202"/>
      <c r="G1431" s="169"/>
    </row>
    <row r="1432" spans="1:7" x14ac:dyDescent="0.25">
      <c r="A1432" s="167"/>
      <c r="B1432" s="168" t="s">
        <v>179</v>
      </c>
      <c r="C1432" s="169">
        <v>1</v>
      </c>
      <c r="D1432" s="170" t="s">
        <v>213</v>
      </c>
      <c r="E1432" s="547">
        <v>300000</v>
      </c>
      <c r="F1432" s="202">
        <f>E1432*C1432</f>
        <v>300000</v>
      </c>
      <c r="G1432" s="169"/>
    </row>
    <row r="1433" spans="1:7" x14ac:dyDescent="0.25">
      <c r="A1433" s="181"/>
      <c r="B1433" s="168" t="s">
        <v>180</v>
      </c>
      <c r="C1433" s="169">
        <v>1</v>
      </c>
      <c r="D1433" s="170" t="s">
        <v>213</v>
      </c>
      <c r="E1433" s="547">
        <v>250000</v>
      </c>
      <c r="F1433" s="202">
        <f t="shared" ref="F1433:F1440" si="39">E1433*C1433</f>
        <v>250000</v>
      </c>
      <c r="G1433" s="169"/>
    </row>
    <row r="1434" spans="1:7" x14ac:dyDescent="0.25">
      <c r="A1434" s="181"/>
      <c r="B1434" s="168" t="s">
        <v>531</v>
      </c>
      <c r="C1434" s="169">
        <v>3</v>
      </c>
      <c r="D1434" s="170" t="s">
        <v>213</v>
      </c>
      <c r="E1434" s="547">
        <v>200000</v>
      </c>
      <c r="F1434" s="202">
        <f t="shared" si="39"/>
        <v>600000</v>
      </c>
      <c r="G1434" s="169"/>
    </row>
    <row r="1435" spans="1:7" x14ac:dyDescent="0.25">
      <c r="A1435" s="181"/>
      <c r="B1435" s="168" t="s">
        <v>532</v>
      </c>
      <c r="C1435" s="169"/>
      <c r="D1435" s="170"/>
      <c r="E1435" s="547"/>
      <c r="F1435" s="202"/>
      <c r="G1435" s="169"/>
    </row>
    <row r="1436" spans="1:7" x14ac:dyDescent="0.25">
      <c r="A1436" s="206"/>
      <c r="B1436" s="168" t="s">
        <v>3261</v>
      </c>
      <c r="C1436" s="169">
        <v>3</v>
      </c>
      <c r="D1436" s="170" t="s">
        <v>21</v>
      </c>
      <c r="E1436" s="547">
        <v>800000</v>
      </c>
      <c r="F1436" s="202">
        <f>E1436*C1436</f>
        <v>2400000</v>
      </c>
      <c r="G1436" s="169"/>
    </row>
    <row r="1437" spans="1:7" x14ac:dyDescent="0.25">
      <c r="A1437" s="206"/>
      <c r="B1437" s="168" t="s">
        <v>179</v>
      </c>
      <c r="C1437" s="169">
        <v>3</v>
      </c>
      <c r="D1437" s="170" t="s">
        <v>21</v>
      </c>
      <c r="E1437" s="547">
        <v>600000</v>
      </c>
      <c r="F1437" s="202">
        <f t="shared" si="39"/>
        <v>1800000</v>
      </c>
      <c r="G1437" s="169"/>
    </row>
    <row r="1438" spans="1:7" x14ac:dyDescent="0.25">
      <c r="A1438" s="181"/>
      <c r="B1438" s="168" t="s">
        <v>180</v>
      </c>
      <c r="C1438" s="169">
        <v>3</v>
      </c>
      <c r="D1438" s="170" t="s">
        <v>21</v>
      </c>
      <c r="E1438" s="547">
        <v>500000</v>
      </c>
      <c r="F1438" s="202">
        <f t="shared" si="39"/>
        <v>1500000</v>
      </c>
      <c r="G1438" s="169"/>
    </row>
    <row r="1439" spans="1:7" x14ac:dyDescent="0.25">
      <c r="A1439" s="206"/>
      <c r="B1439" s="168" t="s">
        <v>533</v>
      </c>
      <c r="C1439" s="169">
        <f>9*3</f>
        <v>27</v>
      </c>
      <c r="D1439" s="170" t="s">
        <v>21</v>
      </c>
      <c r="E1439" s="547">
        <v>450000</v>
      </c>
      <c r="F1439" s="202">
        <f t="shared" si="39"/>
        <v>12150000</v>
      </c>
      <c r="G1439" s="169"/>
    </row>
    <row r="1440" spans="1:7" x14ac:dyDescent="0.25">
      <c r="A1440" s="1"/>
      <c r="B1440" s="201" t="s">
        <v>534</v>
      </c>
      <c r="C1440" s="161">
        <v>6</v>
      </c>
      <c r="D1440" s="161" t="s">
        <v>21</v>
      </c>
      <c r="E1440" s="547">
        <v>1850000</v>
      </c>
      <c r="F1440" s="202">
        <f t="shared" si="39"/>
        <v>11100000</v>
      </c>
      <c r="G1440" s="161"/>
    </row>
    <row r="1441" spans="1:19" x14ac:dyDescent="0.25">
      <c r="A1441" s="1"/>
      <c r="B1441" s="177"/>
      <c r="C1441" s="181"/>
      <c r="D1441" s="161"/>
      <c r="E1441" s="1787"/>
      <c r="F1441" s="215"/>
      <c r="G1441" s="181"/>
    </row>
    <row r="1442" spans="1:19" x14ac:dyDescent="0.25">
      <c r="A1442" s="1"/>
      <c r="B1442" s="1990" t="s">
        <v>26</v>
      </c>
      <c r="C1442" s="1990"/>
      <c r="D1442" s="1990"/>
      <c r="E1442" s="1990"/>
      <c r="F1442" s="179">
        <f>SUM(F1421:F1441)</f>
        <v>34540000</v>
      </c>
      <c r="G1442" s="4" t="s">
        <v>1220</v>
      </c>
      <c r="J1442" s="27">
        <f>F1442</f>
        <v>34540000</v>
      </c>
      <c r="S1442" s="27"/>
    </row>
    <row r="1443" spans="1:19" x14ac:dyDescent="0.25">
      <c r="A1443" s="1926" t="s">
        <v>516</v>
      </c>
      <c r="B1443" s="1926"/>
      <c r="C1443" s="152" t="s">
        <v>27</v>
      </c>
      <c r="D1443" s="1926" t="s">
        <v>3654</v>
      </c>
      <c r="E1443" s="1926"/>
      <c r="F1443" s="1926"/>
      <c r="G1443" s="152"/>
    </row>
    <row r="1444" spans="1:19" x14ac:dyDescent="0.25">
      <c r="A1444" s="1926" t="s">
        <v>28</v>
      </c>
      <c r="B1444" s="1926"/>
      <c r="C1444" s="152"/>
      <c r="D1444" s="1927" t="s">
        <v>3566</v>
      </c>
      <c r="E1444" s="1927"/>
      <c r="F1444" s="1927"/>
      <c r="G1444" s="152"/>
    </row>
    <row r="1445" spans="1:19" x14ac:dyDescent="0.25">
      <c r="A1445" s="150"/>
      <c r="B1445" s="151"/>
      <c r="C1445" s="152"/>
      <c r="D1445" s="153"/>
      <c r="E1445" s="1770"/>
      <c r="F1445" s="182"/>
      <c r="G1445" s="152"/>
    </row>
    <row r="1446" spans="1:19" x14ac:dyDescent="0.25">
      <c r="A1446" s="150"/>
      <c r="B1446" s="151"/>
      <c r="C1446" s="152"/>
      <c r="D1446" s="153"/>
      <c r="E1446" s="1770"/>
      <c r="F1446" s="182"/>
      <c r="G1446" s="152"/>
    </row>
    <row r="1447" spans="1:19" x14ac:dyDescent="0.25">
      <c r="A1447" s="1926"/>
      <c r="B1447" s="1926"/>
      <c r="C1447" s="152"/>
      <c r="D1447" s="153"/>
      <c r="E1447" s="1926"/>
      <c r="F1447" s="1926"/>
      <c r="G1447" s="152"/>
    </row>
    <row r="1448" spans="1:19" x14ac:dyDescent="0.25">
      <c r="A1448" s="1926" t="s">
        <v>29</v>
      </c>
      <c r="B1448" s="1926"/>
      <c r="C1448" s="152"/>
      <c r="D1448" s="1926" t="s">
        <v>3569</v>
      </c>
      <c r="E1448" s="1926"/>
      <c r="F1448" s="1926"/>
      <c r="G1448" s="152"/>
    </row>
    <row r="1451" spans="1:19" x14ac:dyDescent="0.25">
      <c r="A1451" s="1947" t="s">
        <v>0</v>
      </c>
      <c r="B1451" s="1947"/>
      <c r="C1451" s="1947"/>
      <c r="D1451" s="1947"/>
      <c r="E1451" s="1947"/>
      <c r="F1451" s="1947"/>
      <c r="G1451" s="1947"/>
    </row>
    <row r="1452" spans="1:19" x14ac:dyDescent="0.25">
      <c r="A1452" s="1947" t="s">
        <v>1</v>
      </c>
      <c r="B1452" s="1947"/>
      <c r="C1452" s="1947"/>
      <c r="D1452" s="1947"/>
      <c r="E1452" s="1947"/>
      <c r="F1452" s="1947"/>
      <c r="G1452" s="1947"/>
    </row>
    <row r="1453" spans="1:19" x14ac:dyDescent="0.25">
      <c r="A1453" s="1947" t="s">
        <v>2398</v>
      </c>
      <c r="B1453" s="1947"/>
      <c r="C1453" s="1947"/>
      <c r="D1453" s="1947"/>
      <c r="E1453" s="1947"/>
      <c r="F1453" s="1947"/>
      <c r="G1453" s="1947"/>
    </row>
    <row r="1454" spans="1:19" x14ac:dyDescent="0.25">
      <c r="A1454" s="148"/>
      <c r="B1454" s="148"/>
      <c r="C1454" s="148"/>
      <c r="D1454" s="148"/>
      <c r="E1454" s="1764"/>
      <c r="F1454" s="148"/>
      <c r="G1454" s="148"/>
    </row>
    <row r="1455" spans="1:19" x14ac:dyDescent="0.25">
      <c r="A1455" s="226" t="s">
        <v>251</v>
      </c>
      <c r="B1455" s="189" t="s">
        <v>3</v>
      </c>
      <c r="C1455" s="226"/>
      <c r="D1455" s="226"/>
      <c r="E1455" s="1772" t="s">
        <v>6</v>
      </c>
      <c r="F1455" s="155"/>
    </row>
    <row r="1456" spans="1:19" ht="38.25" x14ac:dyDescent="0.25">
      <c r="A1456" s="226" t="s">
        <v>252</v>
      </c>
      <c r="B1456" s="189" t="s">
        <v>360</v>
      </c>
      <c r="C1456" s="226"/>
      <c r="D1456" s="226"/>
      <c r="E1456" s="1766" t="s">
        <v>9</v>
      </c>
      <c r="F1456" s="160"/>
    </row>
    <row r="1457" spans="1:10" ht="25.5" x14ac:dyDescent="0.25">
      <c r="A1457" s="228" t="s">
        <v>253</v>
      </c>
      <c r="B1457" s="228" t="s">
        <v>1792</v>
      </c>
      <c r="C1457" s="228"/>
      <c r="D1457" s="228"/>
      <c r="E1457" s="1782"/>
      <c r="F1457" s="228"/>
    </row>
    <row r="1458" spans="1:10" x14ac:dyDescent="0.25">
      <c r="A1458" s="190" t="s">
        <v>59</v>
      </c>
      <c r="B1458" s="190" t="s">
        <v>60</v>
      </c>
      <c r="C1458" s="190"/>
      <c r="D1458" s="152"/>
      <c r="E1458" s="1770"/>
      <c r="F1458" s="152"/>
    </row>
    <row r="1459" spans="1:10" x14ac:dyDescent="0.25">
      <c r="A1459" s="190" t="s">
        <v>61</v>
      </c>
      <c r="B1459" s="190" t="s">
        <v>62</v>
      </c>
      <c r="C1459" s="190"/>
      <c r="D1459" s="1952"/>
      <c r="E1459" s="1952"/>
      <c r="F1459" s="152"/>
    </row>
    <row r="1460" spans="1:10" x14ac:dyDescent="0.25">
      <c r="A1460" s="151"/>
      <c r="B1460" s="151"/>
      <c r="C1460" s="151"/>
      <c r="D1460" s="151"/>
      <c r="E1460" s="1783"/>
      <c r="F1460" s="151"/>
    </row>
    <row r="1461" spans="1:10" x14ac:dyDescent="0.25">
      <c r="A1461" s="162" t="s">
        <v>255</v>
      </c>
      <c r="B1461" s="162" t="s">
        <v>11</v>
      </c>
      <c r="C1461" s="1958" t="s">
        <v>12</v>
      </c>
      <c r="D1461" s="1958"/>
      <c r="E1461" s="1784" t="s">
        <v>13</v>
      </c>
      <c r="F1461" s="231" t="s">
        <v>14</v>
      </c>
      <c r="G1461" s="25" t="s">
        <v>256</v>
      </c>
    </row>
    <row r="1462" spans="1:10" x14ac:dyDescent="0.25">
      <c r="A1462" s="162">
        <v>1</v>
      </c>
      <c r="B1462" s="162">
        <v>2</v>
      </c>
      <c r="C1462" s="1959">
        <v>3</v>
      </c>
      <c r="D1462" s="1960"/>
      <c r="E1462" s="1785">
        <v>4</v>
      </c>
      <c r="F1462" s="231">
        <v>5</v>
      </c>
      <c r="G1462" s="26">
        <v>6</v>
      </c>
    </row>
    <row r="1463" spans="1:10" x14ac:dyDescent="0.25">
      <c r="A1463" s="167" t="s">
        <v>375</v>
      </c>
      <c r="B1463" s="168" t="s">
        <v>82</v>
      </c>
      <c r="C1463" s="169"/>
      <c r="D1463" s="170"/>
      <c r="E1463" s="645"/>
      <c r="F1463" s="163"/>
      <c r="G1463" s="186"/>
    </row>
    <row r="1464" spans="1:10" x14ac:dyDescent="0.25">
      <c r="A1464" s="167" t="s">
        <v>376</v>
      </c>
      <c r="B1464" s="168" t="s">
        <v>84</v>
      </c>
      <c r="C1464" s="169"/>
      <c r="D1464" s="170"/>
      <c r="E1464" s="645"/>
      <c r="F1464" s="163"/>
      <c r="G1464" s="186"/>
    </row>
    <row r="1465" spans="1:10" ht="24" x14ac:dyDescent="0.25">
      <c r="A1465" s="167" t="s">
        <v>377</v>
      </c>
      <c r="B1465" s="168" t="s">
        <v>280</v>
      </c>
      <c r="C1465" s="169"/>
      <c r="D1465" s="170"/>
      <c r="E1465" s="547"/>
      <c r="F1465" s="202"/>
      <c r="G1465" s="186"/>
    </row>
    <row r="1466" spans="1:10" x14ac:dyDescent="0.25">
      <c r="A1466" s="167"/>
      <c r="B1466" s="168" t="s">
        <v>281</v>
      </c>
      <c r="C1466" s="169">
        <v>300</v>
      </c>
      <c r="D1466" s="170" t="s">
        <v>266</v>
      </c>
      <c r="E1466" s="547">
        <v>350</v>
      </c>
      <c r="F1466" s="202">
        <f>E1466*C1466</f>
        <v>105000</v>
      </c>
      <c r="G1466" s="186"/>
    </row>
    <row r="1467" spans="1:10" x14ac:dyDescent="0.25">
      <c r="A1467" s="167"/>
      <c r="B1467" s="168" t="s">
        <v>386</v>
      </c>
      <c r="C1467" s="169">
        <v>8</v>
      </c>
      <c r="D1467" s="170" t="s">
        <v>106</v>
      </c>
      <c r="E1467" s="547">
        <v>300000</v>
      </c>
      <c r="F1467" s="202">
        <f>E1467*C1467</f>
        <v>2400000</v>
      </c>
      <c r="G1467" s="186"/>
    </row>
    <row r="1468" spans="1:10" x14ac:dyDescent="0.25">
      <c r="A1468" s="167"/>
      <c r="B1468" s="168"/>
      <c r="C1468" s="169"/>
      <c r="D1468" s="170"/>
      <c r="E1468" s="547"/>
      <c r="F1468" s="202"/>
      <c r="G1468" s="186"/>
    </row>
    <row r="1469" spans="1:10" ht="24.75" x14ac:dyDescent="0.25">
      <c r="A1469" s="218" t="s">
        <v>378</v>
      </c>
      <c r="B1469" s="177" t="s">
        <v>379</v>
      </c>
      <c r="C1469" s="178"/>
      <c r="D1469" s="207"/>
      <c r="E1469" s="1858"/>
      <c r="F1469" s="179"/>
      <c r="G1469" s="186"/>
    </row>
    <row r="1470" spans="1:10" x14ac:dyDescent="0.25">
      <c r="A1470" s="181"/>
      <c r="B1470" s="177" t="s">
        <v>380</v>
      </c>
      <c r="C1470" s="178">
        <v>180</v>
      </c>
      <c r="D1470" s="207" t="s">
        <v>381</v>
      </c>
      <c r="E1470" s="1796">
        <v>20000</v>
      </c>
      <c r="F1470" s="179">
        <f>E1470*C1470</f>
        <v>3600000</v>
      </c>
      <c r="G1470" s="186"/>
    </row>
    <row r="1471" spans="1:10" x14ac:dyDescent="0.25">
      <c r="A1471" s="181"/>
      <c r="B1471" s="181"/>
      <c r="C1471" s="178"/>
      <c r="D1471" s="207"/>
      <c r="E1471" s="389"/>
      <c r="F1471" s="179"/>
      <c r="G1471" s="186"/>
    </row>
    <row r="1472" spans="1:10" x14ac:dyDescent="0.25">
      <c r="A1472" s="181"/>
      <c r="B1472" s="1949" t="s">
        <v>26</v>
      </c>
      <c r="C1472" s="1949"/>
      <c r="D1472" s="1949"/>
      <c r="E1472" s="1950"/>
      <c r="F1472" s="179">
        <f>SUM(F1465:F1471)</f>
        <v>6105000</v>
      </c>
      <c r="G1472" s="186" t="s">
        <v>1220</v>
      </c>
      <c r="J1472" s="27">
        <f>F1472</f>
        <v>6105000</v>
      </c>
    </row>
    <row r="1473" spans="1:7" x14ac:dyDescent="0.25">
      <c r="A1473" s="152"/>
      <c r="B1473" s="152"/>
      <c r="C1473" s="152"/>
      <c r="D1473" s="152"/>
      <c r="E1473" s="1770"/>
      <c r="F1473" s="152"/>
      <c r="G1473" s="152"/>
    </row>
    <row r="1474" spans="1:7" x14ac:dyDescent="0.25">
      <c r="A1474" s="1926" t="s">
        <v>516</v>
      </c>
      <c r="B1474" s="1926"/>
      <c r="C1474" s="152" t="s">
        <v>27</v>
      </c>
      <c r="D1474" s="1926" t="s">
        <v>3654</v>
      </c>
      <c r="E1474" s="1926"/>
      <c r="F1474" s="1926"/>
      <c r="G1474" s="152"/>
    </row>
    <row r="1475" spans="1:7" x14ac:dyDescent="0.25">
      <c r="A1475" s="1926" t="s">
        <v>28</v>
      </c>
      <c r="B1475" s="1926"/>
      <c r="C1475" s="152"/>
      <c r="D1475" s="1927" t="s">
        <v>3566</v>
      </c>
      <c r="E1475" s="1927"/>
      <c r="F1475" s="1927"/>
      <c r="G1475" s="152"/>
    </row>
    <row r="1476" spans="1:7" x14ac:dyDescent="0.25">
      <c r="A1476" s="150"/>
      <c r="B1476" s="151"/>
      <c r="C1476" s="152"/>
      <c r="D1476" s="153"/>
      <c r="E1476" s="1770"/>
      <c r="F1476" s="182"/>
      <c r="G1476" s="152"/>
    </row>
    <row r="1477" spans="1:7" x14ac:dyDescent="0.25">
      <c r="A1477" s="150"/>
      <c r="B1477" s="151"/>
      <c r="C1477" s="152"/>
      <c r="D1477" s="153"/>
      <c r="E1477" s="1770"/>
      <c r="F1477" s="182"/>
      <c r="G1477" s="152"/>
    </row>
    <row r="1478" spans="1:7" x14ac:dyDescent="0.25">
      <c r="A1478" s="1926"/>
      <c r="B1478" s="1926"/>
      <c r="C1478" s="152"/>
      <c r="D1478" s="153"/>
      <c r="E1478" s="1926"/>
      <c r="F1478" s="1926"/>
      <c r="G1478" s="152"/>
    </row>
    <row r="1479" spans="1:7" x14ac:dyDescent="0.25">
      <c r="A1479" s="1926" t="s">
        <v>29</v>
      </c>
      <c r="B1479" s="1926"/>
      <c r="C1479" s="152"/>
      <c r="D1479" s="1926" t="s">
        <v>3569</v>
      </c>
      <c r="E1479" s="1926"/>
      <c r="F1479" s="1926"/>
      <c r="G1479" s="152"/>
    </row>
    <row r="1482" spans="1:7" x14ac:dyDescent="0.25">
      <c r="A1482" s="1947" t="s">
        <v>0</v>
      </c>
      <c r="B1482" s="1947"/>
      <c r="C1482" s="1947"/>
      <c r="D1482" s="1947"/>
      <c r="E1482" s="1947"/>
      <c r="F1482" s="1947"/>
      <c r="G1482" s="1947"/>
    </row>
    <row r="1483" spans="1:7" x14ac:dyDescent="0.25">
      <c r="A1483" s="1947" t="s">
        <v>1</v>
      </c>
      <c r="B1483" s="1947"/>
      <c r="C1483" s="1947"/>
      <c r="D1483" s="1947"/>
      <c r="E1483" s="1947"/>
      <c r="F1483" s="1947"/>
      <c r="G1483" s="1947"/>
    </row>
    <row r="1484" spans="1:7" x14ac:dyDescent="0.25">
      <c r="A1484" s="1947" t="s">
        <v>2398</v>
      </c>
      <c r="B1484" s="1947"/>
      <c r="C1484" s="1947"/>
      <c r="D1484" s="1947"/>
      <c r="E1484" s="1947"/>
      <c r="F1484" s="1947"/>
      <c r="G1484" s="1947"/>
    </row>
    <row r="1485" spans="1:7" x14ac:dyDescent="0.25">
      <c r="A1485" s="148"/>
      <c r="B1485" s="148"/>
      <c r="C1485" s="148"/>
      <c r="D1485" s="148"/>
      <c r="E1485" s="1764"/>
      <c r="F1485" s="148"/>
      <c r="G1485" s="148"/>
    </row>
    <row r="1486" spans="1:7" x14ac:dyDescent="0.25">
      <c r="A1486" s="226" t="s">
        <v>251</v>
      </c>
      <c r="B1486" s="189" t="s">
        <v>3</v>
      </c>
      <c r="C1486" s="226"/>
      <c r="D1486" s="226"/>
      <c r="E1486" s="1772" t="s">
        <v>6</v>
      </c>
      <c r="F1486" s="155"/>
    </row>
    <row r="1487" spans="1:7" ht="38.25" x14ac:dyDescent="0.25">
      <c r="A1487" s="226" t="s">
        <v>252</v>
      </c>
      <c r="B1487" s="189" t="s">
        <v>360</v>
      </c>
      <c r="C1487" s="226"/>
      <c r="D1487" s="226"/>
      <c r="E1487" s="1766" t="s">
        <v>9</v>
      </c>
      <c r="F1487" s="160"/>
    </row>
    <row r="1488" spans="1:7" ht="25.5" x14ac:dyDescent="0.25">
      <c r="A1488" s="228" t="s">
        <v>253</v>
      </c>
      <c r="B1488" s="228" t="s">
        <v>1793</v>
      </c>
      <c r="C1488" s="228"/>
      <c r="D1488" s="228"/>
      <c r="E1488" s="1782"/>
      <c r="F1488" s="228"/>
    </row>
    <row r="1489" spans="1:15" x14ac:dyDescent="0.25">
      <c r="A1489" s="190" t="s">
        <v>59</v>
      </c>
      <c r="B1489" s="190" t="s">
        <v>60</v>
      </c>
      <c r="C1489" s="190"/>
      <c r="D1489" s="152"/>
      <c r="E1489" s="1770"/>
      <c r="F1489" s="152"/>
    </row>
    <row r="1490" spans="1:15" x14ac:dyDescent="0.25">
      <c r="A1490" s="190" t="s">
        <v>61</v>
      </c>
      <c r="B1490" s="190" t="s">
        <v>62</v>
      </c>
      <c r="C1490" s="190"/>
      <c r="D1490" s="1952"/>
      <c r="E1490" s="1952"/>
      <c r="F1490" s="152"/>
    </row>
    <row r="1491" spans="1:15" x14ac:dyDescent="0.25">
      <c r="A1491" s="151"/>
      <c r="B1491" s="151"/>
      <c r="C1491" s="151"/>
      <c r="D1491" s="151"/>
      <c r="E1491" s="1783"/>
      <c r="F1491" s="151"/>
    </row>
    <row r="1492" spans="1:15" x14ac:dyDescent="0.25">
      <c r="A1492" s="162" t="s">
        <v>255</v>
      </c>
      <c r="B1492" s="162" t="s">
        <v>11</v>
      </c>
      <c r="C1492" s="1958" t="s">
        <v>12</v>
      </c>
      <c r="D1492" s="1958"/>
      <c r="E1492" s="1784" t="s">
        <v>13</v>
      </c>
      <c r="F1492" s="231" t="s">
        <v>14</v>
      </c>
      <c r="G1492" s="25" t="s">
        <v>256</v>
      </c>
    </row>
    <row r="1493" spans="1:15" x14ac:dyDescent="0.25">
      <c r="A1493" s="162">
        <v>1</v>
      </c>
      <c r="B1493" s="162">
        <v>2</v>
      </c>
      <c r="C1493" s="1959">
        <v>3</v>
      </c>
      <c r="D1493" s="1960"/>
      <c r="E1493" s="1785">
        <v>4</v>
      </c>
      <c r="F1493" s="231">
        <v>5</v>
      </c>
      <c r="G1493" s="26">
        <v>6</v>
      </c>
    </row>
    <row r="1494" spans="1:15" x14ac:dyDescent="0.25">
      <c r="A1494" s="167" t="s">
        <v>375</v>
      </c>
      <c r="B1494" s="168" t="s">
        <v>82</v>
      </c>
      <c r="C1494" s="169"/>
      <c r="D1494" s="170"/>
      <c r="E1494" s="645"/>
      <c r="F1494" s="163"/>
      <c r="G1494" s="186"/>
    </row>
    <row r="1495" spans="1:15" x14ac:dyDescent="0.25">
      <c r="A1495" s="167" t="s">
        <v>376</v>
      </c>
      <c r="B1495" s="168" t="s">
        <v>84</v>
      </c>
      <c r="C1495" s="169"/>
      <c r="D1495" s="170"/>
      <c r="E1495" s="645"/>
      <c r="F1495" s="163"/>
      <c r="G1495" s="186"/>
    </row>
    <row r="1496" spans="1:15" ht="24" x14ac:dyDescent="0.25">
      <c r="A1496" s="167" t="s">
        <v>377</v>
      </c>
      <c r="B1496" s="168" t="s">
        <v>280</v>
      </c>
      <c r="C1496" s="169"/>
      <c r="D1496" s="170"/>
      <c r="E1496" s="547"/>
      <c r="F1496" s="202"/>
      <c r="G1496" s="186"/>
    </row>
    <row r="1497" spans="1:15" x14ac:dyDescent="0.25">
      <c r="A1497" s="167"/>
      <c r="B1497" s="168" t="s">
        <v>382</v>
      </c>
      <c r="C1497" s="169">
        <v>500</v>
      </c>
      <c r="D1497" s="170" t="s">
        <v>266</v>
      </c>
      <c r="E1497" s="547">
        <v>350</v>
      </c>
      <c r="F1497" s="202">
        <f>E1497*C1497</f>
        <v>175000</v>
      </c>
      <c r="G1497" s="186"/>
    </row>
    <row r="1498" spans="1:15" x14ac:dyDescent="0.25">
      <c r="A1498" s="167"/>
      <c r="B1498" s="168" t="s">
        <v>3562</v>
      </c>
      <c r="C1498" s="169">
        <v>20</v>
      </c>
      <c r="D1498" s="170" t="s">
        <v>106</v>
      </c>
      <c r="E1498" s="547">
        <v>300000</v>
      </c>
      <c r="F1498" s="202">
        <f>E1498*C1498</f>
        <v>6000000</v>
      </c>
      <c r="G1498" s="186"/>
    </row>
    <row r="1499" spans="1:15" x14ac:dyDescent="0.25">
      <c r="A1499" s="167"/>
      <c r="B1499" s="168"/>
      <c r="C1499" s="169"/>
      <c r="D1499" s="170"/>
      <c r="E1499" s="547"/>
      <c r="F1499" s="202"/>
      <c r="G1499" s="186"/>
    </row>
    <row r="1500" spans="1:15" ht="24.75" x14ac:dyDescent="0.25">
      <c r="A1500" s="218" t="s">
        <v>378</v>
      </c>
      <c r="B1500" s="177" t="s">
        <v>379</v>
      </c>
      <c r="C1500" s="178"/>
      <c r="D1500" s="207"/>
      <c r="E1500" s="389"/>
      <c r="F1500" s="179"/>
      <c r="G1500" s="186"/>
    </row>
    <row r="1501" spans="1:15" x14ac:dyDescent="0.25">
      <c r="A1501" s="181"/>
      <c r="B1501" s="177" t="s">
        <v>383</v>
      </c>
      <c r="C1501" s="178">
        <f>18*4</f>
        <v>72</v>
      </c>
      <c r="D1501" s="207" t="s">
        <v>269</v>
      </c>
      <c r="E1501" s="1796">
        <v>20000</v>
      </c>
      <c r="F1501" s="179">
        <f>E1501*C1501</f>
        <v>1440000</v>
      </c>
      <c r="G1501" s="186"/>
    </row>
    <row r="1502" spans="1:15" x14ac:dyDescent="0.25">
      <c r="A1502" s="181"/>
      <c r="B1502" s="181"/>
      <c r="C1502" s="178"/>
      <c r="D1502" s="207"/>
      <c r="E1502" s="389"/>
      <c r="F1502" s="179"/>
      <c r="G1502" s="186"/>
    </row>
    <row r="1503" spans="1:15" ht="24.75" x14ac:dyDescent="0.25">
      <c r="A1503" s="181"/>
      <c r="B1503" s="1949" t="s">
        <v>26</v>
      </c>
      <c r="C1503" s="1949"/>
      <c r="D1503" s="1949"/>
      <c r="E1503" s="1950"/>
      <c r="F1503" s="179">
        <f>SUM(F1496:F1502)</f>
        <v>7615000</v>
      </c>
      <c r="G1503" s="325" t="s">
        <v>3295</v>
      </c>
      <c r="J1503" s="27"/>
      <c r="O1503" s="27">
        <f>F1503</f>
        <v>7615000</v>
      </c>
    </row>
    <row r="1505" spans="1:7" x14ac:dyDescent="0.25">
      <c r="A1505" s="1926" t="s">
        <v>516</v>
      </c>
      <c r="B1505" s="1926"/>
      <c r="C1505" s="152" t="s">
        <v>27</v>
      </c>
      <c r="D1505" s="1926" t="s">
        <v>3654</v>
      </c>
      <c r="E1505" s="1926"/>
      <c r="F1505" s="1926"/>
      <c r="G1505" s="152"/>
    </row>
    <row r="1506" spans="1:7" x14ac:dyDescent="0.25">
      <c r="A1506" s="1926" t="s">
        <v>28</v>
      </c>
      <c r="B1506" s="1926"/>
      <c r="C1506" s="152"/>
      <c r="D1506" s="1927" t="s">
        <v>3566</v>
      </c>
      <c r="E1506" s="1927"/>
      <c r="F1506" s="1927"/>
      <c r="G1506" s="152"/>
    </row>
    <row r="1507" spans="1:7" x14ac:dyDescent="0.25">
      <c r="A1507" s="150"/>
      <c r="B1507" s="151"/>
      <c r="C1507" s="152"/>
      <c r="D1507" s="153"/>
      <c r="E1507" s="1770"/>
      <c r="F1507" s="182"/>
      <c r="G1507" s="152"/>
    </row>
    <row r="1508" spans="1:7" x14ac:dyDescent="0.25">
      <c r="A1508" s="150"/>
      <c r="B1508" s="151"/>
      <c r="C1508" s="152"/>
      <c r="D1508" s="153"/>
      <c r="E1508" s="1770"/>
      <c r="F1508" s="182"/>
      <c r="G1508" s="152"/>
    </row>
    <row r="1509" spans="1:7" x14ac:dyDescent="0.25">
      <c r="A1509" s="1926"/>
      <c r="B1509" s="1926"/>
      <c r="C1509" s="152"/>
      <c r="D1509" s="153"/>
      <c r="E1509" s="1926"/>
      <c r="F1509" s="1926"/>
      <c r="G1509" s="152"/>
    </row>
    <row r="1510" spans="1:7" x14ac:dyDescent="0.25">
      <c r="A1510" s="1926" t="s">
        <v>29</v>
      </c>
      <c r="B1510" s="1926"/>
      <c r="C1510" s="152"/>
      <c r="D1510" s="1926" t="s">
        <v>3569</v>
      </c>
      <c r="E1510" s="1926"/>
      <c r="F1510" s="1926"/>
      <c r="G1510" s="152"/>
    </row>
    <row r="1512" spans="1:7" x14ac:dyDescent="0.25">
      <c r="A1512" s="1947" t="s">
        <v>0</v>
      </c>
      <c r="B1512" s="1947"/>
      <c r="C1512" s="1947"/>
      <c r="D1512" s="1947"/>
      <c r="E1512" s="1947"/>
      <c r="F1512" s="1947"/>
      <c r="G1512" s="1947"/>
    </row>
    <row r="1513" spans="1:7" x14ac:dyDescent="0.25">
      <c r="A1513" s="1947" t="s">
        <v>1</v>
      </c>
      <c r="B1513" s="1947"/>
      <c r="C1513" s="1947"/>
      <c r="D1513" s="1947"/>
      <c r="E1513" s="1947"/>
      <c r="F1513" s="1947"/>
      <c r="G1513" s="1947"/>
    </row>
    <row r="1514" spans="1:7" x14ac:dyDescent="0.25">
      <c r="A1514" s="1947" t="s">
        <v>2398</v>
      </c>
      <c r="B1514" s="1947"/>
      <c r="C1514" s="1947"/>
      <c r="D1514" s="1947"/>
      <c r="E1514" s="1947"/>
      <c r="F1514" s="1947"/>
      <c r="G1514" s="1947"/>
    </row>
    <row r="1515" spans="1:7" x14ac:dyDescent="0.25">
      <c r="A1515" s="148"/>
      <c r="B1515" s="148"/>
      <c r="C1515" s="148"/>
      <c r="D1515" s="148"/>
      <c r="E1515" s="1764"/>
      <c r="F1515" s="148"/>
      <c r="G1515" s="148"/>
    </row>
    <row r="1516" spans="1:7" x14ac:dyDescent="0.25">
      <c r="A1516" s="379" t="s">
        <v>251</v>
      </c>
      <c r="B1516" s="196" t="s">
        <v>3</v>
      </c>
      <c r="C1516" s="379"/>
      <c r="D1516" s="149"/>
      <c r="E1516" s="1772" t="s">
        <v>6</v>
      </c>
      <c r="F1516" s="155"/>
    </row>
    <row r="1517" spans="1:7" ht="24" x14ac:dyDescent="0.25">
      <c r="A1517" s="379" t="s">
        <v>252</v>
      </c>
      <c r="B1517" s="196" t="s">
        <v>360</v>
      </c>
      <c r="C1517" s="379"/>
      <c r="D1517" s="149"/>
      <c r="E1517" s="1766" t="s">
        <v>9</v>
      </c>
      <c r="F1517" s="160"/>
    </row>
    <row r="1518" spans="1:7" ht="24" x14ac:dyDescent="0.25">
      <c r="A1518" s="380" t="s">
        <v>253</v>
      </c>
      <c r="B1518" s="380" t="s">
        <v>1794</v>
      </c>
      <c r="C1518" s="380"/>
      <c r="D1518" s="381"/>
      <c r="E1518" s="1852"/>
      <c r="F1518" s="381"/>
    </row>
    <row r="1519" spans="1:7" x14ac:dyDescent="0.25">
      <c r="A1519" s="149" t="s">
        <v>384</v>
      </c>
      <c r="B1519" s="149" t="s">
        <v>60</v>
      </c>
      <c r="C1519" s="149"/>
      <c r="D1519" s="149"/>
      <c r="E1519" s="1764"/>
      <c r="F1519" s="149"/>
    </row>
    <row r="1520" spans="1:7" x14ac:dyDescent="0.25">
      <c r="A1520" s="149" t="s">
        <v>61</v>
      </c>
      <c r="B1520" s="149" t="s">
        <v>62</v>
      </c>
      <c r="C1520" s="149"/>
      <c r="D1520" s="340"/>
      <c r="E1520" s="1853"/>
      <c r="F1520" s="149"/>
    </row>
    <row r="1521" spans="1:20" x14ac:dyDescent="0.25">
      <c r="A1521" s="151"/>
      <c r="B1521" s="151"/>
      <c r="C1521" s="151"/>
      <c r="D1521" s="151"/>
      <c r="E1521" s="1783"/>
      <c r="F1521" s="151"/>
    </row>
    <row r="1522" spans="1:20" x14ac:dyDescent="0.25">
      <c r="A1522" s="162" t="s">
        <v>255</v>
      </c>
      <c r="B1522" s="162" t="s">
        <v>11</v>
      </c>
      <c r="C1522" s="1958" t="s">
        <v>12</v>
      </c>
      <c r="D1522" s="1958"/>
      <c r="E1522" s="1784" t="s">
        <v>13</v>
      </c>
      <c r="F1522" s="231" t="s">
        <v>14</v>
      </c>
      <c r="G1522" s="25" t="s">
        <v>256</v>
      </c>
    </row>
    <row r="1523" spans="1:20" x14ac:dyDescent="0.25">
      <c r="A1523" s="162">
        <v>1</v>
      </c>
      <c r="B1523" s="162">
        <v>2</v>
      </c>
      <c r="C1523" s="1959">
        <v>3</v>
      </c>
      <c r="D1523" s="1960"/>
      <c r="E1523" s="1785">
        <v>4</v>
      </c>
      <c r="F1523" s="231">
        <v>5</v>
      </c>
      <c r="G1523" s="26">
        <v>6</v>
      </c>
    </row>
    <row r="1524" spans="1:20" x14ac:dyDescent="0.25">
      <c r="A1524" s="167" t="s">
        <v>375</v>
      </c>
      <c r="B1524" s="168" t="s">
        <v>82</v>
      </c>
      <c r="C1524" s="169"/>
      <c r="D1524" s="170"/>
      <c r="E1524" s="645"/>
      <c r="F1524" s="163"/>
      <c r="G1524" s="1"/>
    </row>
    <row r="1525" spans="1:20" x14ac:dyDescent="0.25">
      <c r="A1525" s="167" t="s">
        <v>376</v>
      </c>
      <c r="B1525" s="168" t="s">
        <v>84</v>
      </c>
      <c r="C1525" s="169"/>
      <c r="D1525" s="170"/>
      <c r="E1525" s="645"/>
      <c r="F1525" s="163"/>
      <c r="G1525" s="1"/>
    </row>
    <row r="1526" spans="1:20" ht="24" x14ac:dyDescent="0.25">
      <c r="A1526" s="167" t="s">
        <v>377</v>
      </c>
      <c r="B1526" s="168" t="s">
        <v>280</v>
      </c>
      <c r="C1526" s="169"/>
      <c r="D1526" s="170"/>
      <c r="E1526" s="547"/>
      <c r="F1526" s="202"/>
      <c r="G1526" s="1"/>
    </row>
    <row r="1527" spans="1:20" x14ac:dyDescent="0.25">
      <c r="A1527" s="164"/>
      <c r="B1527" s="168" t="s">
        <v>382</v>
      </c>
      <c r="C1527" s="169">
        <v>1843</v>
      </c>
      <c r="D1527" s="170" t="s">
        <v>266</v>
      </c>
      <c r="E1527" s="547">
        <v>250</v>
      </c>
      <c r="F1527" s="202">
        <f>E1527*C1527</f>
        <v>460750</v>
      </c>
      <c r="G1527" s="1"/>
      <c r="H1527" s="23"/>
    </row>
    <row r="1528" spans="1:20" x14ac:dyDescent="0.25">
      <c r="A1528" s="186"/>
      <c r="B1528" s="168" t="s">
        <v>1790</v>
      </c>
      <c r="C1528" s="169">
        <v>4</v>
      </c>
      <c r="D1528" s="170" t="s">
        <v>106</v>
      </c>
      <c r="E1528" s="547">
        <v>300000</v>
      </c>
      <c r="F1528" s="202">
        <f>E1528*C1528</f>
        <v>1200000</v>
      </c>
      <c r="G1528" s="1"/>
    </row>
    <row r="1529" spans="1:20" x14ac:dyDescent="0.25">
      <c r="A1529" s="383"/>
      <c r="B1529" s="181"/>
      <c r="C1529" s="1948"/>
      <c r="D1529" s="1950"/>
      <c r="E1529" s="389"/>
      <c r="F1529" s="324"/>
      <c r="G1529" s="1"/>
    </row>
    <row r="1530" spans="1:20" ht="30" x14ac:dyDescent="0.25">
      <c r="A1530" s="384"/>
      <c r="B1530" s="1994" t="s">
        <v>26</v>
      </c>
      <c r="C1530" s="1995"/>
      <c r="D1530" s="1995"/>
      <c r="E1530" s="1996"/>
      <c r="F1530" s="363">
        <f>F1528+F1527</f>
        <v>1660750</v>
      </c>
      <c r="G1530" s="4" t="s">
        <v>1775</v>
      </c>
      <c r="K1530" s="23"/>
      <c r="S1530" s="23"/>
      <c r="T1530" s="23">
        <f>F1530</f>
        <v>1660750</v>
      </c>
    </row>
    <row r="1531" spans="1:20" x14ac:dyDescent="0.25">
      <c r="A1531" s="1926" t="s">
        <v>516</v>
      </c>
      <c r="B1531" s="1926"/>
      <c r="C1531" s="152" t="s">
        <v>27</v>
      </c>
      <c r="D1531" s="1926" t="s">
        <v>3654</v>
      </c>
      <c r="E1531" s="1926"/>
      <c r="F1531" s="1926"/>
      <c r="G1531" s="152"/>
    </row>
    <row r="1532" spans="1:20" x14ac:dyDescent="0.25">
      <c r="A1532" s="1926" t="s">
        <v>28</v>
      </c>
      <c r="B1532" s="1926"/>
      <c r="C1532" s="152"/>
      <c r="D1532" s="1927" t="s">
        <v>3566</v>
      </c>
      <c r="E1532" s="1927"/>
      <c r="F1532" s="1927"/>
      <c r="G1532" s="152"/>
    </row>
    <row r="1533" spans="1:20" x14ac:dyDescent="0.25">
      <c r="A1533" s="150"/>
      <c r="B1533" s="151"/>
      <c r="C1533" s="152"/>
      <c r="D1533" s="153"/>
      <c r="E1533" s="1770"/>
      <c r="F1533" s="182"/>
      <c r="G1533" s="152"/>
    </row>
    <row r="1534" spans="1:20" x14ac:dyDescent="0.25">
      <c r="A1534" s="150"/>
      <c r="B1534" s="151"/>
      <c r="C1534" s="152"/>
      <c r="D1534" s="153"/>
      <c r="E1534" s="1770"/>
      <c r="F1534" s="182"/>
      <c r="G1534" s="152"/>
    </row>
    <row r="1535" spans="1:20" x14ac:dyDescent="0.25">
      <c r="A1535" s="1926"/>
      <c r="B1535" s="1926"/>
      <c r="C1535" s="152"/>
      <c r="D1535" s="153"/>
      <c r="E1535" s="1926"/>
      <c r="F1535" s="1926"/>
      <c r="G1535" s="152"/>
    </row>
    <row r="1536" spans="1:20" x14ac:dyDescent="0.25">
      <c r="A1536" s="1926" t="s">
        <v>29</v>
      </c>
      <c r="B1536" s="1926"/>
      <c r="C1536" s="152"/>
      <c r="D1536" s="1926" t="s">
        <v>3569</v>
      </c>
      <c r="E1536" s="1926"/>
      <c r="F1536" s="1926"/>
      <c r="G1536" s="152"/>
    </row>
    <row r="1540" spans="1:7" x14ac:dyDescent="0.25">
      <c r="A1540" s="1947" t="s">
        <v>0</v>
      </c>
      <c r="B1540" s="1947"/>
      <c r="C1540" s="1947"/>
      <c r="D1540" s="1947"/>
      <c r="E1540" s="1947"/>
      <c r="F1540" s="1947"/>
      <c r="G1540" s="1947"/>
    </row>
    <row r="1541" spans="1:7" x14ac:dyDescent="0.25">
      <c r="A1541" s="1947" t="s">
        <v>1</v>
      </c>
      <c r="B1541" s="1947"/>
      <c r="C1541" s="1947"/>
      <c r="D1541" s="1947"/>
      <c r="E1541" s="1947"/>
      <c r="F1541" s="1947"/>
      <c r="G1541" s="1947"/>
    </row>
    <row r="1542" spans="1:7" x14ac:dyDescent="0.25">
      <c r="A1542" s="1947" t="s">
        <v>2398</v>
      </c>
      <c r="B1542" s="1947"/>
      <c r="C1542" s="1947"/>
      <c r="D1542" s="1947"/>
      <c r="E1542" s="1947"/>
      <c r="F1542" s="1947"/>
      <c r="G1542" s="1947"/>
    </row>
    <row r="1543" spans="1:7" x14ac:dyDescent="0.25">
      <c r="A1543" s="148"/>
      <c r="B1543" s="148"/>
      <c r="C1543" s="148"/>
      <c r="D1543" s="148"/>
      <c r="E1543" s="1764"/>
      <c r="F1543" s="148"/>
      <c r="G1543" s="148"/>
    </row>
    <row r="1544" spans="1:7" x14ac:dyDescent="0.25">
      <c r="A1544" s="379" t="s">
        <v>251</v>
      </c>
      <c r="B1544" s="196" t="s">
        <v>3</v>
      </c>
      <c r="C1544" s="379"/>
      <c r="D1544" s="379"/>
      <c r="E1544" s="1772" t="s">
        <v>6</v>
      </c>
      <c r="F1544" s="155"/>
    </row>
    <row r="1545" spans="1:7" ht="24" x14ac:dyDescent="0.25">
      <c r="A1545" s="385" t="s">
        <v>252</v>
      </c>
      <c r="B1545" s="196" t="s">
        <v>360</v>
      </c>
      <c r="C1545" s="379"/>
      <c r="D1545" s="379"/>
      <c r="E1545" s="1766" t="s">
        <v>9</v>
      </c>
      <c r="F1545" s="160"/>
    </row>
    <row r="1546" spans="1:7" ht="36" x14ac:dyDescent="0.25">
      <c r="A1546" s="380" t="s">
        <v>253</v>
      </c>
      <c r="B1546" s="380" t="s">
        <v>370</v>
      </c>
      <c r="C1546" s="380"/>
      <c r="D1546" s="380"/>
      <c r="E1546" s="1854"/>
      <c r="F1546" s="380"/>
    </row>
    <row r="1547" spans="1:7" x14ac:dyDescent="0.25">
      <c r="A1547" s="190" t="s">
        <v>59</v>
      </c>
      <c r="B1547" s="190" t="s">
        <v>60</v>
      </c>
      <c r="C1547" s="190"/>
      <c r="D1547" s="152"/>
      <c r="E1547" s="1770"/>
      <c r="F1547" s="152"/>
    </row>
    <row r="1548" spans="1:7" x14ac:dyDescent="0.25">
      <c r="A1548" s="190" t="s">
        <v>61</v>
      </c>
      <c r="B1548" s="190" t="s">
        <v>62</v>
      </c>
      <c r="C1548" s="190"/>
      <c r="D1548" s="1952"/>
      <c r="E1548" s="1952"/>
      <c r="F1548" s="152"/>
    </row>
    <row r="1549" spans="1:7" x14ac:dyDescent="0.25">
      <c r="A1549" s="151"/>
      <c r="B1549" s="151"/>
      <c r="C1549" s="151"/>
      <c r="D1549" s="151"/>
      <c r="E1549" s="1783"/>
      <c r="F1549" s="151"/>
    </row>
    <row r="1550" spans="1:7" x14ac:dyDescent="0.25">
      <c r="A1550" s="162" t="s">
        <v>255</v>
      </c>
      <c r="B1550" s="162" t="s">
        <v>11</v>
      </c>
      <c r="C1550" s="1958" t="s">
        <v>12</v>
      </c>
      <c r="D1550" s="1958"/>
      <c r="E1550" s="1784" t="s">
        <v>13</v>
      </c>
      <c r="F1550" s="231" t="s">
        <v>14</v>
      </c>
      <c r="G1550" s="25" t="s">
        <v>256</v>
      </c>
    </row>
    <row r="1551" spans="1:7" x14ac:dyDescent="0.25">
      <c r="A1551" s="162">
        <v>1</v>
      </c>
      <c r="B1551" s="162">
        <v>2</v>
      </c>
      <c r="C1551" s="1959">
        <v>3</v>
      </c>
      <c r="D1551" s="1960"/>
      <c r="E1551" s="1785">
        <v>4</v>
      </c>
      <c r="F1551" s="231">
        <v>5</v>
      </c>
      <c r="G1551" s="26">
        <v>6</v>
      </c>
    </row>
    <row r="1552" spans="1:7" x14ac:dyDescent="0.25">
      <c r="A1552" s="167" t="s">
        <v>371</v>
      </c>
      <c r="B1552" s="168" t="s">
        <v>82</v>
      </c>
      <c r="C1552" s="169"/>
      <c r="D1552" s="170"/>
      <c r="E1552" s="645"/>
      <c r="F1552" s="163"/>
      <c r="G1552" s="186"/>
    </row>
    <row r="1553" spans="1:19" x14ac:dyDescent="0.25">
      <c r="A1553" s="167" t="s">
        <v>372</v>
      </c>
      <c r="B1553" s="168" t="s">
        <v>84</v>
      </c>
      <c r="C1553" s="169"/>
      <c r="D1553" s="170"/>
      <c r="E1553" s="645"/>
      <c r="F1553" s="163"/>
      <c r="G1553" s="186"/>
    </row>
    <row r="1554" spans="1:19" ht="24" x14ac:dyDescent="0.25">
      <c r="A1554" s="167" t="s">
        <v>373</v>
      </c>
      <c r="B1554" s="168" t="s">
        <v>280</v>
      </c>
      <c r="C1554" s="169"/>
      <c r="D1554" s="170"/>
      <c r="E1554" s="547"/>
      <c r="F1554" s="202"/>
      <c r="G1554" s="186"/>
    </row>
    <row r="1555" spans="1:19" ht="29.25" customHeight="1" x14ac:dyDescent="0.25">
      <c r="A1555" s="167"/>
      <c r="B1555" s="168" t="s">
        <v>374</v>
      </c>
      <c r="C1555" s="169">
        <v>5</v>
      </c>
      <c r="D1555" s="170" t="s">
        <v>106</v>
      </c>
      <c r="E1555" s="547">
        <v>300000</v>
      </c>
      <c r="F1555" s="202">
        <f>E1555*C1555</f>
        <v>1500000</v>
      </c>
      <c r="G1555" s="186"/>
    </row>
    <row r="1556" spans="1:19" x14ac:dyDescent="0.25">
      <c r="A1556" s="181"/>
      <c r="B1556" s="168"/>
      <c r="C1556" s="169"/>
      <c r="D1556" s="170"/>
      <c r="E1556" s="547"/>
      <c r="F1556" s="202"/>
      <c r="G1556" s="186"/>
    </row>
    <row r="1557" spans="1:19" x14ac:dyDescent="0.25">
      <c r="A1557" s="181"/>
      <c r="B1557" s="181"/>
      <c r="C1557" s="178"/>
      <c r="D1557" s="207"/>
      <c r="E1557" s="389"/>
      <c r="F1557" s="179"/>
      <c r="G1557" s="186"/>
    </row>
    <row r="1558" spans="1:19" x14ac:dyDescent="0.25">
      <c r="A1558" s="181"/>
      <c r="B1558" s="1949" t="s">
        <v>26</v>
      </c>
      <c r="C1558" s="1949"/>
      <c r="D1558" s="1949"/>
      <c r="E1558" s="1950"/>
      <c r="F1558" s="179">
        <f>SUM(F1554:F1557)</f>
        <v>1500000</v>
      </c>
      <c r="G1558" s="325" t="s">
        <v>1506</v>
      </c>
      <c r="K1558" s="27">
        <f>F1558</f>
        <v>1500000</v>
      </c>
      <c r="S1558" s="27"/>
    </row>
    <row r="1559" spans="1:19" x14ac:dyDescent="0.25">
      <c r="A1559" s="1926" t="s">
        <v>516</v>
      </c>
      <c r="B1559" s="1926"/>
      <c r="C1559" s="152" t="s">
        <v>27</v>
      </c>
      <c r="D1559" s="1926" t="s">
        <v>3654</v>
      </c>
      <c r="E1559" s="1926"/>
      <c r="F1559" s="1926"/>
      <c r="G1559" s="152"/>
    </row>
    <row r="1560" spans="1:19" x14ac:dyDescent="0.25">
      <c r="A1560" s="1926" t="s">
        <v>28</v>
      </c>
      <c r="B1560" s="1926"/>
      <c r="C1560" s="152"/>
      <c r="D1560" s="1927" t="s">
        <v>3566</v>
      </c>
      <c r="E1560" s="1927"/>
      <c r="F1560" s="1927"/>
      <c r="G1560" s="152"/>
    </row>
    <row r="1561" spans="1:19" x14ac:dyDescent="0.25">
      <c r="A1561" s="150"/>
      <c r="B1561" s="151"/>
      <c r="C1561" s="152"/>
      <c r="D1561" s="153"/>
      <c r="E1561" s="1770"/>
      <c r="F1561" s="182"/>
      <c r="G1561" s="152"/>
    </row>
    <row r="1562" spans="1:19" x14ac:dyDescent="0.25">
      <c r="A1562" s="150"/>
      <c r="B1562" s="151"/>
      <c r="C1562" s="152"/>
      <c r="D1562" s="153"/>
      <c r="E1562" s="1770"/>
      <c r="F1562" s="182"/>
      <c r="G1562" s="152"/>
    </row>
    <row r="1563" spans="1:19" x14ac:dyDescent="0.25">
      <c r="A1563" s="1926"/>
      <c r="B1563" s="1926"/>
      <c r="C1563" s="152"/>
      <c r="D1563" s="153"/>
      <c r="E1563" s="1926"/>
      <c r="F1563" s="1926"/>
      <c r="G1563" s="152"/>
    </row>
    <row r="1564" spans="1:19" x14ac:dyDescent="0.25">
      <c r="A1564" s="1926" t="s">
        <v>29</v>
      </c>
      <c r="B1564" s="1926"/>
      <c r="C1564" s="152"/>
      <c r="D1564" s="1926" t="s">
        <v>3569</v>
      </c>
      <c r="E1564" s="1926"/>
      <c r="F1564" s="1926"/>
      <c r="G1564" s="152"/>
    </row>
    <row r="1569" spans="6:6" x14ac:dyDescent="0.25">
      <c r="F1569" s="923">
        <f>F1558+F1530+F1503+F1472+F1442+F1402+F1359+F1317+F1273+F1197+F1165+F1135+F1102+F1064+F1028+F981+F934+F893+F848+F795+F763+F735+F708+F676+F639+F601+F567+F526+F492+F455+F418+F374+F333+F304+F98+F63+F20</f>
        <v>7050427587</v>
      </c>
    </row>
    <row r="1570" spans="6:6" x14ac:dyDescent="0.25">
      <c r="F1570" s="68"/>
    </row>
    <row r="1571" spans="6:6" x14ac:dyDescent="0.25">
      <c r="F1571" s="23">
        <f>F1569-F1570</f>
        <v>7050427587</v>
      </c>
    </row>
  </sheetData>
  <mergeCells count="570">
    <mergeCell ref="A898:B898"/>
    <mergeCell ref="E898:F898"/>
    <mergeCell ref="A899:B899"/>
    <mergeCell ref="D899:F899"/>
    <mergeCell ref="A494:B494"/>
    <mergeCell ref="D494:F494"/>
    <mergeCell ref="A497:B497"/>
    <mergeCell ref="E497:F497"/>
    <mergeCell ref="A498:B498"/>
    <mergeCell ref="D498:F498"/>
    <mergeCell ref="A894:B894"/>
    <mergeCell ref="D894:F894"/>
    <mergeCell ref="A895:B895"/>
    <mergeCell ref="D895:F895"/>
    <mergeCell ref="A795:E795"/>
    <mergeCell ref="A798:B798"/>
    <mergeCell ref="D798:F798"/>
    <mergeCell ref="A801:B801"/>
    <mergeCell ref="E801:F801"/>
    <mergeCell ref="A802:B802"/>
    <mergeCell ref="D802:F802"/>
    <mergeCell ref="A797:B797"/>
    <mergeCell ref="D797:F797"/>
    <mergeCell ref="A773:G773"/>
    <mergeCell ref="B1053:E1053"/>
    <mergeCell ref="B1057:E1057"/>
    <mergeCell ref="B1063:E1063"/>
    <mergeCell ref="B1064:E1064"/>
    <mergeCell ref="C1048:D1048"/>
    <mergeCell ref="C1047:D1047"/>
    <mergeCell ref="C916:D916"/>
    <mergeCell ref="C917:D917"/>
    <mergeCell ref="B922:E922"/>
    <mergeCell ref="B926:E926"/>
    <mergeCell ref="B933:E933"/>
    <mergeCell ref="B934:E934"/>
    <mergeCell ref="C1000:D1000"/>
    <mergeCell ref="A1037:G1037"/>
    <mergeCell ref="A1038:G1038"/>
    <mergeCell ref="D987:F987"/>
    <mergeCell ref="A1029:B1029"/>
    <mergeCell ref="D1029:F1029"/>
    <mergeCell ref="A1030:B1030"/>
    <mergeCell ref="D1030:F1030"/>
    <mergeCell ref="A1033:B1033"/>
    <mergeCell ref="E1033:F1033"/>
    <mergeCell ref="A1034:B1034"/>
    <mergeCell ref="D1034:F1034"/>
    <mergeCell ref="A989:G989"/>
    <mergeCell ref="A990:G990"/>
    <mergeCell ref="B1027:E1027"/>
    <mergeCell ref="B1028:E1028"/>
    <mergeCell ref="A1036:G1036"/>
    <mergeCell ref="A935:B935"/>
    <mergeCell ref="D935:F935"/>
    <mergeCell ref="A936:B936"/>
    <mergeCell ref="D936:F936"/>
    <mergeCell ref="A939:B939"/>
    <mergeCell ref="E939:F939"/>
    <mergeCell ref="A940:B940"/>
    <mergeCell ref="D940:F940"/>
    <mergeCell ref="A982:B982"/>
    <mergeCell ref="D982:F982"/>
    <mergeCell ref="A983:B983"/>
    <mergeCell ref="D983:F983"/>
    <mergeCell ref="A986:B986"/>
    <mergeCell ref="E986:F986"/>
    <mergeCell ref="A987:B987"/>
    <mergeCell ref="A1559:B1559"/>
    <mergeCell ref="D1559:F1559"/>
    <mergeCell ref="A1560:B1560"/>
    <mergeCell ref="D1560:F1560"/>
    <mergeCell ref="A1563:B1563"/>
    <mergeCell ref="E1563:F1563"/>
    <mergeCell ref="A1564:B1564"/>
    <mergeCell ref="D1564:F1564"/>
    <mergeCell ref="A1361:B1361"/>
    <mergeCell ref="D1361:F1361"/>
    <mergeCell ref="A1362:B1362"/>
    <mergeCell ref="D1362:F1362"/>
    <mergeCell ref="A1365:B1365"/>
    <mergeCell ref="E1365:F1365"/>
    <mergeCell ref="A1366:B1366"/>
    <mergeCell ref="D1366:F1366"/>
    <mergeCell ref="A1404:B1404"/>
    <mergeCell ref="D1404:F1404"/>
    <mergeCell ref="A1535:B1535"/>
    <mergeCell ref="E1535:F1535"/>
    <mergeCell ref="A1536:B1536"/>
    <mergeCell ref="D1536:F1536"/>
    <mergeCell ref="C1492:D1492"/>
    <mergeCell ref="C1493:D1493"/>
    <mergeCell ref="C814:D814"/>
    <mergeCell ref="C815:D815"/>
    <mergeCell ref="A1074:G1074"/>
    <mergeCell ref="A848:E848"/>
    <mergeCell ref="A1075:G1075"/>
    <mergeCell ref="A1076:G1076"/>
    <mergeCell ref="A1083:B1083"/>
    <mergeCell ref="A849:B849"/>
    <mergeCell ref="A942:G942"/>
    <mergeCell ref="A943:G943"/>
    <mergeCell ref="A944:G944"/>
    <mergeCell ref="C953:D953"/>
    <mergeCell ref="C954:D954"/>
    <mergeCell ref="B959:E959"/>
    <mergeCell ref="B963:E963"/>
    <mergeCell ref="A991:G991"/>
    <mergeCell ref="C1001:D1001"/>
    <mergeCell ref="B1006:E1006"/>
    <mergeCell ref="B1010:E1010"/>
    <mergeCell ref="A905:G905"/>
    <mergeCell ref="A906:G906"/>
    <mergeCell ref="A907:G907"/>
    <mergeCell ref="B980:E980"/>
    <mergeCell ref="B981:E981"/>
    <mergeCell ref="A100:B100"/>
    <mergeCell ref="D100:F100"/>
    <mergeCell ref="A103:B103"/>
    <mergeCell ref="E103:F103"/>
    <mergeCell ref="A104:B104"/>
    <mergeCell ref="D104:F104"/>
    <mergeCell ref="C783:D783"/>
    <mergeCell ref="D850:F850"/>
    <mergeCell ref="A853:B853"/>
    <mergeCell ref="E853:F853"/>
    <mergeCell ref="D849:F849"/>
    <mergeCell ref="A850:B850"/>
    <mergeCell ref="C756:D756"/>
    <mergeCell ref="C757:D757"/>
    <mergeCell ref="A763:E763"/>
    <mergeCell ref="A719:G719"/>
    <mergeCell ref="D725:E725"/>
    <mergeCell ref="C727:D727"/>
    <mergeCell ref="C728:D728"/>
    <mergeCell ref="B735:E735"/>
    <mergeCell ref="A807:G807"/>
    <mergeCell ref="A805:G805"/>
    <mergeCell ref="A806:G806"/>
    <mergeCell ref="C784:D784"/>
    <mergeCell ref="A1512:G1512"/>
    <mergeCell ref="A1513:G1513"/>
    <mergeCell ref="A1531:B1531"/>
    <mergeCell ref="D1531:F1531"/>
    <mergeCell ref="A1532:B1532"/>
    <mergeCell ref="D1532:F1532"/>
    <mergeCell ref="C116:D116"/>
    <mergeCell ref="C117:D117"/>
    <mergeCell ref="A107:G107"/>
    <mergeCell ref="A108:G108"/>
    <mergeCell ref="A109:G109"/>
    <mergeCell ref="A304:E304"/>
    <mergeCell ref="A568:B568"/>
    <mergeCell ref="D568:F568"/>
    <mergeCell ref="A569:B569"/>
    <mergeCell ref="D569:F569"/>
    <mergeCell ref="A572:B572"/>
    <mergeCell ref="E572:F572"/>
    <mergeCell ref="A573:B573"/>
    <mergeCell ref="D573:F573"/>
    <mergeCell ref="A854:B854"/>
    <mergeCell ref="D854:F854"/>
    <mergeCell ref="C1091:E1091"/>
    <mergeCell ref="C1095:E1095"/>
    <mergeCell ref="B1558:E1558"/>
    <mergeCell ref="A1540:G1540"/>
    <mergeCell ref="A1541:G1541"/>
    <mergeCell ref="A1542:G1542"/>
    <mergeCell ref="D1548:E1548"/>
    <mergeCell ref="C1550:D1550"/>
    <mergeCell ref="C1551:D1551"/>
    <mergeCell ref="A1514:G1514"/>
    <mergeCell ref="C1522:D1522"/>
    <mergeCell ref="C1523:D1523"/>
    <mergeCell ref="C1529:D1529"/>
    <mergeCell ref="B1530:E1530"/>
    <mergeCell ref="A1505:B1505"/>
    <mergeCell ref="D1505:F1505"/>
    <mergeCell ref="A1506:B1506"/>
    <mergeCell ref="D1506:F1506"/>
    <mergeCell ref="C1419:D1419"/>
    <mergeCell ref="C1420:D1420"/>
    <mergeCell ref="A602:B602"/>
    <mergeCell ref="D602:F602"/>
    <mergeCell ref="A577:F577"/>
    <mergeCell ref="A578:F578"/>
    <mergeCell ref="A579:F579"/>
    <mergeCell ref="C587:D587"/>
    <mergeCell ref="A765:B765"/>
    <mergeCell ref="D765:F765"/>
    <mergeCell ref="A766:B766"/>
    <mergeCell ref="D766:F766"/>
    <mergeCell ref="A769:B769"/>
    <mergeCell ref="E769:F769"/>
    <mergeCell ref="A770:B770"/>
    <mergeCell ref="D770:F770"/>
    <mergeCell ref="C1085:D1085"/>
    <mergeCell ref="C1086:D1086"/>
    <mergeCell ref="C1100:E1100"/>
    <mergeCell ref="B1102:E1102"/>
    <mergeCell ref="A1509:B1509"/>
    <mergeCell ref="E1509:F1509"/>
    <mergeCell ref="A1510:B1510"/>
    <mergeCell ref="D1510:F1510"/>
    <mergeCell ref="B1472:E1472"/>
    <mergeCell ref="A1451:G1451"/>
    <mergeCell ref="A1452:G1452"/>
    <mergeCell ref="A1453:G1453"/>
    <mergeCell ref="D1459:E1459"/>
    <mergeCell ref="C1461:D1461"/>
    <mergeCell ref="C1462:D1462"/>
    <mergeCell ref="A1474:B1474"/>
    <mergeCell ref="D1474:F1474"/>
    <mergeCell ref="A1475:B1475"/>
    <mergeCell ref="D1475:F1475"/>
    <mergeCell ref="A1478:B1478"/>
    <mergeCell ref="E1478:F1478"/>
    <mergeCell ref="A1479:B1479"/>
    <mergeCell ref="D1479:F1479"/>
    <mergeCell ref="B1503:E1503"/>
    <mergeCell ref="A1482:G1482"/>
    <mergeCell ref="A1483:G1483"/>
    <mergeCell ref="A1484:G1484"/>
    <mergeCell ref="D1490:E1490"/>
    <mergeCell ref="B1442:E1442"/>
    <mergeCell ref="A1443:B1443"/>
    <mergeCell ref="D1443:F1443"/>
    <mergeCell ref="A1444:B1444"/>
    <mergeCell ref="D1444:F1444"/>
    <mergeCell ref="A1447:B1447"/>
    <mergeCell ref="E1447:F1447"/>
    <mergeCell ref="A1448:B1448"/>
    <mergeCell ref="D1448:F1448"/>
    <mergeCell ref="D1418:E1418"/>
    <mergeCell ref="A1410:G1410"/>
    <mergeCell ref="A1411:G1411"/>
    <mergeCell ref="C1381:D1381"/>
    <mergeCell ref="B1402:E1402"/>
    <mergeCell ref="A1405:B1405"/>
    <mergeCell ref="D1405:F1405"/>
    <mergeCell ref="A1408:B1408"/>
    <mergeCell ref="E1408:F1408"/>
    <mergeCell ref="A1409:B1409"/>
    <mergeCell ref="D1409:F1409"/>
    <mergeCell ref="A1372:F1372"/>
    <mergeCell ref="C1380:D1380"/>
    <mergeCell ref="A1327:F1327"/>
    <mergeCell ref="A1328:F1328"/>
    <mergeCell ref="A1329:F1329"/>
    <mergeCell ref="C1337:D1337"/>
    <mergeCell ref="C1338:D1338"/>
    <mergeCell ref="B1359:E1359"/>
    <mergeCell ref="A1412:G1412"/>
    <mergeCell ref="B1317:E1317"/>
    <mergeCell ref="A1284:G1284"/>
    <mergeCell ref="A1285:G1285"/>
    <mergeCell ref="A1319:B1319"/>
    <mergeCell ref="D1319:F1319"/>
    <mergeCell ref="A1320:B1320"/>
    <mergeCell ref="D1320:F1320"/>
    <mergeCell ref="A1370:F1370"/>
    <mergeCell ref="A1371:F1371"/>
    <mergeCell ref="A1237:B1237"/>
    <mergeCell ref="D1237:F1237"/>
    <mergeCell ref="A1323:B1323"/>
    <mergeCell ref="E1323:F1323"/>
    <mergeCell ref="A1324:B1324"/>
    <mergeCell ref="D1324:F1324"/>
    <mergeCell ref="C1255:D1255"/>
    <mergeCell ref="C1256:D1256"/>
    <mergeCell ref="B1273:E1273"/>
    <mergeCell ref="A1245:G1245"/>
    <mergeCell ref="A1246:G1246"/>
    <mergeCell ref="A1247:G1247"/>
    <mergeCell ref="D1253:E1253"/>
    <mergeCell ref="A1275:B1275"/>
    <mergeCell ref="D1275:F1275"/>
    <mergeCell ref="A1276:B1276"/>
    <mergeCell ref="D1276:F1276"/>
    <mergeCell ref="A1279:B1279"/>
    <mergeCell ref="E1279:F1279"/>
    <mergeCell ref="A1280:B1280"/>
    <mergeCell ref="D1280:F1280"/>
    <mergeCell ref="A1286:G1286"/>
    <mergeCell ref="C1294:D1294"/>
    <mergeCell ref="C1295:D1295"/>
    <mergeCell ref="A1240:B1240"/>
    <mergeCell ref="E1240:F1240"/>
    <mergeCell ref="A1241:B1241"/>
    <mergeCell ref="D1241:F1241"/>
    <mergeCell ref="C1185:D1185"/>
    <mergeCell ref="C1186:D1186"/>
    <mergeCell ref="A1206:G1206"/>
    <mergeCell ref="B1197:E1197"/>
    <mergeCell ref="A1199:B1199"/>
    <mergeCell ref="D1199:F1199"/>
    <mergeCell ref="A1200:B1200"/>
    <mergeCell ref="D1200:F1200"/>
    <mergeCell ref="A1203:B1203"/>
    <mergeCell ref="E1203:F1203"/>
    <mergeCell ref="A1204:B1204"/>
    <mergeCell ref="D1204:F1204"/>
    <mergeCell ref="A1207:G1207"/>
    <mergeCell ref="A1208:G1208"/>
    <mergeCell ref="D1214:E1214"/>
    <mergeCell ref="C1216:D1216"/>
    <mergeCell ref="C1217:D1217"/>
    <mergeCell ref="B1234:E1234"/>
    <mergeCell ref="A1236:B1236"/>
    <mergeCell ref="D1236:F1236"/>
    <mergeCell ref="A1177:G1177"/>
    <mergeCell ref="A1178:G1178"/>
    <mergeCell ref="D1184:E1184"/>
    <mergeCell ref="C1153:D1153"/>
    <mergeCell ref="C1154:D1154"/>
    <mergeCell ref="A1176:G1176"/>
    <mergeCell ref="B1165:E1165"/>
    <mergeCell ref="A1166:B1166"/>
    <mergeCell ref="D1166:F1166"/>
    <mergeCell ref="A1167:B1167"/>
    <mergeCell ref="D1167:F1167"/>
    <mergeCell ref="A1170:B1170"/>
    <mergeCell ref="E1170:F1170"/>
    <mergeCell ref="A1171:B1171"/>
    <mergeCell ref="D1171:F1171"/>
    <mergeCell ref="A1144:G1144"/>
    <mergeCell ref="A1145:G1145"/>
    <mergeCell ref="A1146:G1146"/>
    <mergeCell ref="D1152:E1152"/>
    <mergeCell ref="A1110:G1110"/>
    <mergeCell ref="A1111:G1111"/>
    <mergeCell ref="A1112:G1112"/>
    <mergeCell ref="A1119:B1119"/>
    <mergeCell ref="C1121:D1121"/>
    <mergeCell ref="C1122:D1122"/>
    <mergeCell ref="C1132:E1132"/>
    <mergeCell ref="B1135:E1135"/>
    <mergeCell ref="A1141:B1141"/>
    <mergeCell ref="D1141:F1141"/>
    <mergeCell ref="A1136:B1136"/>
    <mergeCell ref="D1136:F1136"/>
    <mergeCell ref="A1137:B1137"/>
    <mergeCell ref="D1137:F1137"/>
    <mergeCell ref="A1140:B1140"/>
    <mergeCell ref="E1140:F1140"/>
    <mergeCell ref="A774:G774"/>
    <mergeCell ref="A775:G775"/>
    <mergeCell ref="A738:B738"/>
    <mergeCell ref="D738:F738"/>
    <mergeCell ref="A741:B741"/>
    <mergeCell ref="E741:F741"/>
    <mergeCell ref="A742:B742"/>
    <mergeCell ref="D742:F742"/>
    <mergeCell ref="A746:G746"/>
    <mergeCell ref="A747:G747"/>
    <mergeCell ref="A748:G748"/>
    <mergeCell ref="A710:B710"/>
    <mergeCell ref="D710:F710"/>
    <mergeCell ref="A717:G717"/>
    <mergeCell ref="A718:G718"/>
    <mergeCell ref="A737:B737"/>
    <mergeCell ref="D737:F737"/>
    <mergeCell ref="A711:B711"/>
    <mergeCell ref="D711:F711"/>
    <mergeCell ref="A714:B714"/>
    <mergeCell ref="E714:F714"/>
    <mergeCell ref="A715:B715"/>
    <mergeCell ref="D715:F715"/>
    <mergeCell ref="A682:B682"/>
    <mergeCell ref="E682:F682"/>
    <mergeCell ref="A683:B683"/>
    <mergeCell ref="D683:F683"/>
    <mergeCell ref="C695:D695"/>
    <mergeCell ref="C696:D696"/>
    <mergeCell ref="B708:E708"/>
    <mergeCell ref="A685:G685"/>
    <mergeCell ref="A645:B645"/>
    <mergeCell ref="D645:F645"/>
    <mergeCell ref="A649:F649"/>
    <mergeCell ref="A650:F650"/>
    <mergeCell ref="A651:F651"/>
    <mergeCell ref="C659:D659"/>
    <mergeCell ref="C660:D660"/>
    <mergeCell ref="B676:E676"/>
    <mergeCell ref="A678:B678"/>
    <mergeCell ref="D678:F678"/>
    <mergeCell ref="A679:B679"/>
    <mergeCell ref="D679:F679"/>
    <mergeCell ref="A686:G686"/>
    <mergeCell ref="A687:G687"/>
    <mergeCell ref="D693:E693"/>
    <mergeCell ref="A611:F611"/>
    <mergeCell ref="A612:F612"/>
    <mergeCell ref="C588:D588"/>
    <mergeCell ref="B601:E601"/>
    <mergeCell ref="A603:B603"/>
    <mergeCell ref="D603:F603"/>
    <mergeCell ref="A606:B606"/>
    <mergeCell ref="E606:F606"/>
    <mergeCell ref="A607:B607"/>
    <mergeCell ref="D607:F607"/>
    <mergeCell ref="A613:F613"/>
    <mergeCell ref="C621:D621"/>
    <mergeCell ref="C622:D622"/>
    <mergeCell ref="B639:E639"/>
    <mergeCell ref="A640:B640"/>
    <mergeCell ref="D640:F640"/>
    <mergeCell ref="A641:B641"/>
    <mergeCell ref="D641:F641"/>
    <mergeCell ref="A644:B644"/>
    <mergeCell ref="E644:F644"/>
    <mergeCell ref="A502:F502"/>
    <mergeCell ref="A503:F503"/>
    <mergeCell ref="A536:F536"/>
    <mergeCell ref="A537:F537"/>
    <mergeCell ref="C545:D545"/>
    <mergeCell ref="C546:D546"/>
    <mergeCell ref="B567:E567"/>
    <mergeCell ref="A504:F504"/>
    <mergeCell ref="C512:D512"/>
    <mergeCell ref="C513:D513"/>
    <mergeCell ref="B526:E526"/>
    <mergeCell ref="A527:B527"/>
    <mergeCell ref="D527:F527"/>
    <mergeCell ref="A528:B528"/>
    <mergeCell ref="D528:F528"/>
    <mergeCell ref="A531:B531"/>
    <mergeCell ref="E531:F531"/>
    <mergeCell ref="A532:B532"/>
    <mergeCell ref="D532:F532"/>
    <mergeCell ref="A535:F535"/>
    <mergeCell ref="B492:E492"/>
    <mergeCell ref="A464:F464"/>
    <mergeCell ref="A465:F465"/>
    <mergeCell ref="A466:F466"/>
    <mergeCell ref="D472:E472"/>
    <mergeCell ref="A493:B493"/>
    <mergeCell ref="D493:F493"/>
    <mergeCell ref="A387:G387"/>
    <mergeCell ref="D393:E393"/>
    <mergeCell ref="C395:D395"/>
    <mergeCell ref="C396:D396"/>
    <mergeCell ref="B418:E418"/>
    <mergeCell ref="B455:E455"/>
    <mergeCell ref="A427:F427"/>
    <mergeCell ref="A428:F428"/>
    <mergeCell ref="A429:F429"/>
    <mergeCell ref="D435:E435"/>
    <mergeCell ref="C437:D437"/>
    <mergeCell ref="C438:D438"/>
    <mergeCell ref="C474:D474"/>
    <mergeCell ref="C475:D475"/>
    <mergeCell ref="A376:B376"/>
    <mergeCell ref="D376:F376"/>
    <mergeCell ref="A379:B379"/>
    <mergeCell ref="E379:F379"/>
    <mergeCell ref="A380:B380"/>
    <mergeCell ref="D380:F380"/>
    <mergeCell ref="A1:G1"/>
    <mergeCell ref="A2:G2"/>
    <mergeCell ref="A3:G3"/>
    <mergeCell ref="A10:G10"/>
    <mergeCell ref="C11:D11"/>
    <mergeCell ref="C12:D12"/>
    <mergeCell ref="C40:D40"/>
    <mergeCell ref="A63:E63"/>
    <mergeCell ref="A30:G30"/>
    <mergeCell ref="A31:G31"/>
    <mergeCell ref="A32:G32"/>
    <mergeCell ref="C39:D39"/>
    <mergeCell ref="A22:B22"/>
    <mergeCell ref="D22:F22"/>
    <mergeCell ref="A23:B23"/>
    <mergeCell ref="D23:F23"/>
    <mergeCell ref="A26:B26"/>
    <mergeCell ref="E26:F26"/>
    <mergeCell ref="A27:B27"/>
    <mergeCell ref="D27:F27"/>
    <mergeCell ref="A20:E20"/>
    <mergeCell ref="A64:B64"/>
    <mergeCell ref="D64:F64"/>
    <mergeCell ref="A65:B65"/>
    <mergeCell ref="D65:F65"/>
    <mergeCell ref="A68:B68"/>
    <mergeCell ref="E68:F68"/>
    <mergeCell ref="A69:B69"/>
    <mergeCell ref="D69:F69"/>
    <mergeCell ref="A99:B99"/>
    <mergeCell ref="D99:F99"/>
    <mergeCell ref="A73:G73"/>
    <mergeCell ref="A74:G74"/>
    <mergeCell ref="A75:G75"/>
    <mergeCell ref="B77:D77"/>
    <mergeCell ref="D81:E81"/>
    <mergeCell ref="C82:D82"/>
    <mergeCell ref="C83:D83"/>
    <mergeCell ref="A98:E98"/>
    <mergeCell ref="A306:B306"/>
    <mergeCell ref="D306:F306"/>
    <mergeCell ref="A307:B307"/>
    <mergeCell ref="D307:F307"/>
    <mergeCell ref="A310:B310"/>
    <mergeCell ref="E310:F310"/>
    <mergeCell ref="A311:B311"/>
    <mergeCell ref="D311:F311"/>
    <mergeCell ref="A375:B375"/>
    <mergeCell ref="D375:F375"/>
    <mergeCell ref="A342:F342"/>
    <mergeCell ref="A343:F343"/>
    <mergeCell ref="A344:F344"/>
    <mergeCell ref="C352:D352"/>
    <mergeCell ref="A312:G312"/>
    <mergeCell ref="A313:G313"/>
    <mergeCell ref="A314:G314"/>
    <mergeCell ref="C321:D321"/>
    <mergeCell ref="C322:D322"/>
    <mergeCell ref="A333:E333"/>
    <mergeCell ref="A335:B335"/>
    <mergeCell ref="D335:F335"/>
    <mergeCell ref="A336:B336"/>
    <mergeCell ref="D336:F336"/>
    <mergeCell ref="A339:B339"/>
    <mergeCell ref="E339:F339"/>
    <mergeCell ref="A340:B340"/>
    <mergeCell ref="D340:F340"/>
    <mergeCell ref="A457:B457"/>
    <mergeCell ref="D457:F457"/>
    <mergeCell ref="A460:B460"/>
    <mergeCell ref="E460:F460"/>
    <mergeCell ref="A461:B461"/>
    <mergeCell ref="D461:F461"/>
    <mergeCell ref="A419:B419"/>
    <mergeCell ref="D419:F419"/>
    <mergeCell ref="A420:B420"/>
    <mergeCell ref="D420:F420"/>
    <mergeCell ref="A423:B423"/>
    <mergeCell ref="E423:F423"/>
    <mergeCell ref="A424:B424"/>
    <mergeCell ref="D424:F424"/>
    <mergeCell ref="A456:B456"/>
    <mergeCell ref="D456:F456"/>
    <mergeCell ref="A385:G385"/>
    <mergeCell ref="A386:G386"/>
    <mergeCell ref="C353:D353"/>
    <mergeCell ref="A374:E374"/>
    <mergeCell ref="A856:G856"/>
    <mergeCell ref="A857:G857"/>
    <mergeCell ref="A858:G858"/>
    <mergeCell ref="C867:D867"/>
    <mergeCell ref="C868:D868"/>
    <mergeCell ref="B873:E873"/>
    <mergeCell ref="B877:E877"/>
    <mergeCell ref="B892:E892"/>
    <mergeCell ref="B893:E893"/>
    <mergeCell ref="A1104:B1104"/>
    <mergeCell ref="D1104:F1104"/>
    <mergeCell ref="A1107:B1107"/>
    <mergeCell ref="E1107:F1107"/>
    <mergeCell ref="A1108:B1108"/>
    <mergeCell ref="D1108:F1108"/>
    <mergeCell ref="A1065:B1065"/>
    <mergeCell ref="D1065:F1065"/>
    <mergeCell ref="A1066:B1066"/>
    <mergeCell ref="D1066:F1066"/>
    <mergeCell ref="A1069:B1069"/>
    <mergeCell ref="E1069:F1069"/>
    <mergeCell ref="A1070:B1070"/>
    <mergeCell ref="D1070:F1070"/>
    <mergeCell ref="A1103:B1103"/>
    <mergeCell ref="D1103:F1103"/>
  </mergeCells>
  <pageMargins left="0.7" right="0.7" top="0.75" bottom="2" header="0.3" footer="0.3"/>
  <pageSetup paperSize="5" scale="85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625"/>
  <sheetViews>
    <sheetView zoomScaleNormal="100" workbookViewId="0">
      <pane ySplit="1455" topLeftCell="A2480" activePane="bottomLeft"/>
      <selection activeCell="K2" sqref="K2"/>
      <selection pane="bottomLeft" activeCell="I2483" sqref="I2483"/>
    </sheetView>
  </sheetViews>
  <sheetFormatPr defaultRowHeight="15" x14ac:dyDescent="0.25"/>
  <cols>
    <col min="1" max="1" width="14.140625" customWidth="1"/>
    <col min="2" max="2" width="24" customWidth="1"/>
    <col min="3" max="3" width="12" customWidth="1"/>
    <col min="4" max="4" width="7.28515625" customWidth="1"/>
    <col min="5" max="5" width="15.85546875" customWidth="1"/>
    <col min="6" max="6" width="18.28515625" customWidth="1"/>
    <col min="7" max="7" width="8.5703125" customWidth="1"/>
    <col min="8" max="8" width="14.7109375" customWidth="1"/>
    <col min="9" max="9" width="15.85546875" customWidth="1"/>
    <col min="10" max="10" width="25" customWidth="1"/>
    <col min="11" max="11" width="31" customWidth="1"/>
    <col min="12" max="12" width="17.85546875" customWidth="1"/>
    <col min="13" max="13" width="19.85546875" customWidth="1"/>
    <col min="14" max="14" width="17.85546875" customWidth="1"/>
    <col min="15" max="15" width="16.140625" customWidth="1"/>
    <col min="16" max="16" width="16" customWidth="1"/>
    <col min="17" max="17" width="18.5703125" customWidth="1"/>
    <col min="18" max="18" width="16.42578125" customWidth="1"/>
    <col min="19" max="19" width="16.5703125" customWidth="1"/>
    <col min="20" max="20" width="17.85546875" customWidth="1"/>
    <col min="21" max="21" width="17" customWidth="1"/>
    <col min="22" max="22" width="16.28515625" customWidth="1"/>
    <col min="23" max="23" width="17.7109375" customWidth="1"/>
    <col min="24" max="24" width="15.42578125" customWidth="1"/>
    <col min="25" max="25" width="13.42578125" customWidth="1"/>
    <col min="26" max="26" width="15.28515625" customWidth="1"/>
    <col min="27" max="27" width="16.7109375" customWidth="1"/>
  </cols>
  <sheetData>
    <row r="1" spans="1:27" ht="30" x14ac:dyDescent="0.25">
      <c r="A1" s="2057" t="s">
        <v>0</v>
      </c>
      <c r="B1" s="1947"/>
      <c r="C1" s="1947"/>
      <c r="D1" s="1947"/>
      <c r="E1" s="1947"/>
      <c r="F1" s="1947"/>
      <c r="G1" s="1947"/>
      <c r="J1" s="105" t="s">
        <v>1410</v>
      </c>
      <c r="K1" s="105" t="s">
        <v>1220</v>
      </c>
      <c r="L1" s="105" t="s">
        <v>1506</v>
      </c>
      <c r="M1" s="105" t="s">
        <v>2177</v>
      </c>
      <c r="N1" s="105" t="s">
        <v>1365</v>
      </c>
      <c r="O1" s="1150" t="s">
        <v>3294</v>
      </c>
      <c r="P1" s="105" t="s">
        <v>3295</v>
      </c>
      <c r="Q1" s="105" t="s">
        <v>1223</v>
      </c>
      <c r="R1" s="105" t="s">
        <v>2178</v>
      </c>
      <c r="S1" s="105" t="s">
        <v>2179</v>
      </c>
      <c r="T1" s="105" t="s">
        <v>1777</v>
      </c>
      <c r="U1" s="105" t="s">
        <v>1775</v>
      </c>
      <c r="V1" s="105" t="s">
        <v>2253</v>
      </c>
      <c r="W1" s="105" t="s">
        <v>3296</v>
      </c>
      <c r="X1" s="1150" t="s">
        <v>3297</v>
      </c>
      <c r="Y1" s="1150" t="s">
        <v>3298</v>
      </c>
      <c r="Z1" s="105" t="s">
        <v>3299</v>
      </c>
      <c r="AA1" s="105" t="s">
        <v>3300</v>
      </c>
    </row>
    <row r="2" spans="1:27" x14ac:dyDescent="0.25">
      <c r="A2" s="1947" t="s">
        <v>1</v>
      </c>
      <c r="B2" s="1947"/>
      <c r="C2" s="1947"/>
      <c r="D2" s="1947"/>
      <c r="E2" s="1947"/>
      <c r="F2" s="1947"/>
      <c r="G2" s="1947"/>
      <c r="J2" s="68">
        <f t="shared" ref="J2:AA2" si="0">SUM(J3:J2621)</f>
        <v>296590000</v>
      </c>
      <c r="K2" s="68">
        <f t="shared" si="0"/>
        <v>608911320</v>
      </c>
      <c r="L2" s="68">
        <f t="shared" si="0"/>
        <v>1203445100</v>
      </c>
      <c r="M2" s="68">
        <f t="shared" si="0"/>
        <v>20011246</v>
      </c>
      <c r="N2" s="68">
        <f t="shared" si="0"/>
        <v>0</v>
      </c>
      <c r="O2" s="68">
        <f t="shared" si="0"/>
        <v>0</v>
      </c>
      <c r="P2" s="68">
        <f t="shared" si="0"/>
        <v>11887000</v>
      </c>
      <c r="Q2" s="68">
        <f t="shared" si="0"/>
        <v>214145000</v>
      </c>
      <c r="R2" s="68">
        <f t="shared" si="0"/>
        <v>83760000</v>
      </c>
      <c r="S2" s="68">
        <f t="shared" si="0"/>
        <v>61418200</v>
      </c>
      <c r="T2" s="68">
        <f t="shared" si="0"/>
        <v>432184843</v>
      </c>
      <c r="U2" s="68">
        <f t="shared" si="0"/>
        <v>22261000</v>
      </c>
      <c r="V2" s="68">
        <f t="shared" si="0"/>
        <v>21845000</v>
      </c>
      <c r="W2" s="68">
        <f t="shared" si="0"/>
        <v>335764515.19999999</v>
      </c>
      <c r="X2" s="68">
        <f t="shared" si="0"/>
        <v>0</v>
      </c>
      <c r="Y2" s="68">
        <f t="shared" si="0"/>
        <v>0</v>
      </c>
      <c r="Z2" s="68">
        <f t="shared" si="0"/>
        <v>0</v>
      </c>
      <c r="AA2" s="68">
        <f t="shared" si="0"/>
        <v>0</v>
      </c>
    </row>
    <row r="3" spans="1:27" x14ac:dyDescent="0.25">
      <c r="A3" s="1947" t="s">
        <v>2398</v>
      </c>
      <c r="B3" s="1947"/>
      <c r="C3" s="1947"/>
      <c r="D3" s="1947"/>
      <c r="E3" s="1947"/>
      <c r="F3" s="1947"/>
      <c r="G3" s="1947"/>
    </row>
    <row r="4" spans="1:27" x14ac:dyDescent="0.25">
      <c r="A4" s="148"/>
      <c r="B4" s="148"/>
      <c r="C4" s="381"/>
      <c r="D4" s="381"/>
      <c r="E4" s="381"/>
      <c r="F4" s="381"/>
      <c r="G4" s="381"/>
    </row>
    <row r="5" spans="1:27" x14ac:dyDescent="0.25">
      <c r="A5" s="150" t="s">
        <v>536</v>
      </c>
      <c r="B5" s="151" t="s">
        <v>537</v>
      </c>
      <c r="C5" s="151"/>
      <c r="D5" s="151"/>
      <c r="E5" s="151"/>
      <c r="F5" s="151"/>
      <c r="G5" s="151"/>
    </row>
    <row r="6" spans="1:27" x14ac:dyDescent="0.25">
      <c r="A6" s="156" t="s">
        <v>538</v>
      </c>
      <c r="B6" s="151" t="s">
        <v>539</v>
      </c>
      <c r="C6" s="151"/>
      <c r="D6" s="151"/>
      <c r="E6" s="151"/>
      <c r="F6" s="191" t="s">
        <v>6</v>
      </c>
      <c r="G6" s="151"/>
    </row>
    <row r="7" spans="1:27" ht="60.75" x14ac:dyDescent="0.25">
      <c r="A7" s="156" t="s">
        <v>339</v>
      </c>
      <c r="B7" s="151" t="s">
        <v>540</v>
      </c>
      <c r="C7" s="151"/>
      <c r="D7" s="151"/>
      <c r="E7" s="151"/>
      <c r="F7" s="159" t="s">
        <v>9</v>
      </c>
      <c r="G7" s="151"/>
    </row>
    <row r="8" spans="1:27" x14ac:dyDescent="0.25">
      <c r="A8" s="156" t="s">
        <v>35</v>
      </c>
      <c r="B8" s="151" t="s">
        <v>62</v>
      </c>
      <c r="C8" s="151"/>
      <c r="D8" s="151"/>
      <c r="E8" s="151"/>
      <c r="F8" s="1464"/>
      <c r="G8" s="151"/>
    </row>
    <row r="9" spans="1:27" x14ac:dyDescent="0.25">
      <c r="A9" s="156" t="s">
        <v>10</v>
      </c>
      <c r="B9" s="151"/>
      <c r="C9" s="151"/>
      <c r="D9" s="151"/>
      <c r="E9" s="151"/>
      <c r="F9" s="1476"/>
      <c r="G9" s="151"/>
    </row>
    <row r="10" spans="1:27" ht="24" x14ac:dyDescent="0.25">
      <c r="A10" s="408" t="s">
        <v>30</v>
      </c>
      <c r="B10" s="408" t="s">
        <v>11</v>
      </c>
      <c r="C10" s="2050" t="s">
        <v>12</v>
      </c>
      <c r="D10" s="2051"/>
      <c r="E10" s="409" t="s">
        <v>13</v>
      </c>
      <c r="F10" s="408" t="s">
        <v>14</v>
      </c>
      <c r="G10" s="164" t="s">
        <v>34</v>
      </c>
      <c r="J10" s="68"/>
    </row>
    <row r="11" spans="1:27" x14ac:dyDescent="0.25">
      <c r="A11" s="161">
        <v>1</v>
      </c>
      <c r="B11" s="161">
        <v>2</v>
      </c>
      <c r="C11" s="1931">
        <v>3</v>
      </c>
      <c r="D11" s="1932"/>
      <c r="E11" s="2">
        <v>4</v>
      </c>
      <c r="F11" s="169">
        <v>5</v>
      </c>
      <c r="G11" s="166">
        <v>6</v>
      </c>
      <c r="L11" s="68"/>
    </row>
    <row r="12" spans="1:27" x14ac:dyDescent="0.25">
      <c r="A12" s="167" t="s">
        <v>542</v>
      </c>
      <c r="B12" s="316" t="s">
        <v>82</v>
      </c>
      <c r="C12" s="162"/>
      <c r="D12" s="162"/>
      <c r="E12" s="162"/>
      <c r="F12" s="162"/>
      <c r="G12" s="162"/>
    </row>
    <row r="13" spans="1:27" x14ac:dyDescent="0.25">
      <c r="A13" s="167" t="s">
        <v>543</v>
      </c>
      <c r="B13" s="386" t="s">
        <v>84</v>
      </c>
      <c r="C13" s="177"/>
      <c r="D13" s="177"/>
      <c r="E13" s="177"/>
      <c r="F13" s="177"/>
      <c r="G13" s="177"/>
    </row>
    <row r="14" spans="1:27" ht="24.75" x14ac:dyDescent="0.25">
      <c r="A14" s="167" t="s">
        <v>544</v>
      </c>
      <c r="B14" s="387" t="s">
        <v>86</v>
      </c>
      <c r="C14" s="177"/>
      <c r="D14" s="177"/>
      <c r="E14" s="177"/>
      <c r="F14" s="177"/>
      <c r="G14" s="177"/>
    </row>
    <row r="15" spans="1:27" x14ac:dyDescent="0.25">
      <c r="A15" s="167"/>
      <c r="B15" s="387" t="s">
        <v>545</v>
      </c>
      <c r="C15" s="177"/>
      <c r="D15" s="177"/>
      <c r="E15" s="177"/>
      <c r="F15" s="375"/>
      <c r="G15" s="177"/>
    </row>
    <row r="16" spans="1:27" ht="24.75" x14ac:dyDescent="0.25">
      <c r="A16" s="176"/>
      <c r="B16" s="177" t="s">
        <v>546</v>
      </c>
      <c r="C16" s="163">
        <v>6</v>
      </c>
      <c r="D16" s="161" t="s">
        <v>171</v>
      </c>
      <c r="E16" s="179">
        <v>28000</v>
      </c>
      <c r="F16" s="179">
        <f t="shared" ref="F16:F32" si="1">E16*C16</f>
        <v>168000</v>
      </c>
      <c r="G16" s="213" t="s">
        <v>2178</v>
      </c>
      <c r="K16" s="27"/>
      <c r="L16" s="27"/>
      <c r="R16" s="27">
        <f>F16</f>
        <v>168000</v>
      </c>
    </row>
    <row r="17" spans="1:18" ht="24.75" x14ac:dyDescent="0.25">
      <c r="A17" s="176"/>
      <c r="B17" s="177" t="s">
        <v>547</v>
      </c>
      <c r="C17" s="163">
        <v>20</v>
      </c>
      <c r="D17" s="161" t="s">
        <v>93</v>
      </c>
      <c r="E17" s="179">
        <v>8000</v>
      </c>
      <c r="F17" s="179">
        <f t="shared" si="1"/>
        <v>160000</v>
      </c>
      <c r="G17" s="213" t="s">
        <v>2178</v>
      </c>
      <c r="K17" s="27"/>
      <c r="L17" s="27"/>
      <c r="R17" s="27">
        <f t="shared" ref="R17:R70" si="2">F17</f>
        <v>160000</v>
      </c>
    </row>
    <row r="18" spans="1:18" ht="24.75" x14ac:dyDescent="0.25">
      <c r="A18" s="176"/>
      <c r="B18" s="177" t="s">
        <v>2622</v>
      </c>
      <c r="C18" s="163">
        <v>3</v>
      </c>
      <c r="D18" s="161" t="s">
        <v>93</v>
      </c>
      <c r="E18" s="179">
        <v>38000</v>
      </c>
      <c r="F18" s="179">
        <f t="shared" si="1"/>
        <v>114000</v>
      </c>
      <c r="G18" s="213" t="s">
        <v>2178</v>
      </c>
      <c r="K18" s="27"/>
      <c r="L18" s="27"/>
      <c r="R18" s="27">
        <f t="shared" si="2"/>
        <v>114000</v>
      </c>
    </row>
    <row r="19" spans="1:18" ht="24.75" x14ac:dyDescent="0.25">
      <c r="A19" s="176"/>
      <c r="B19" s="177" t="s">
        <v>2607</v>
      </c>
      <c r="C19" s="163">
        <v>5</v>
      </c>
      <c r="D19" s="161" t="s">
        <v>87</v>
      </c>
      <c r="E19" s="179">
        <v>61000</v>
      </c>
      <c r="F19" s="179">
        <f t="shared" si="1"/>
        <v>305000</v>
      </c>
      <c r="G19" s="213" t="s">
        <v>2178</v>
      </c>
      <c r="K19" s="27"/>
      <c r="L19" s="27"/>
      <c r="R19" s="27">
        <f t="shared" si="2"/>
        <v>305000</v>
      </c>
    </row>
    <row r="20" spans="1:18" ht="24.75" x14ac:dyDescent="0.25">
      <c r="A20" s="176"/>
      <c r="B20" s="177" t="s">
        <v>2606</v>
      </c>
      <c r="C20" s="163">
        <v>14</v>
      </c>
      <c r="D20" s="161" t="s">
        <v>87</v>
      </c>
      <c r="E20" s="179">
        <v>70000</v>
      </c>
      <c r="F20" s="179">
        <f>E20*C20</f>
        <v>980000</v>
      </c>
      <c r="G20" s="213" t="s">
        <v>2178</v>
      </c>
      <c r="K20" s="27"/>
      <c r="L20" s="27"/>
      <c r="R20" s="27">
        <f t="shared" si="2"/>
        <v>980000</v>
      </c>
    </row>
    <row r="21" spans="1:18" ht="24.75" x14ac:dyDescent="0.25">
      <c r="A21" s="176"/>
      <c r="B21" s="177" t="s">
        <v>2145</v>
      </c>
      <c r="C21" s="163">
        <f>73*2</f>
        <v>146</v>
      </c>
      <c r="D21" s="161" t="s">
        <v>93</v>
      </c>
      <c r="E21" s="179">
        <v>5000</v>
      </c>
      <c r="F21" s="179">
        <f t="shared" si="1"/>
        <v>730000</v>
      </c>
      <c r="G21" s="213" t="s">
        <v>2178</v>
      </c>
      <c r="K21" s="27"/>
      <c r="L21" s="27"/>
      <c r="R21" s="27">
        <f t="shared" si="2"/>
        <v>730000</v>
      </c>
    </row>
    <row r="22" spans="1:18" ht="24.75" x14ac:dyDescent="0.25">
      <c r="A22" s="176"/>
      <c r="B22" s="177" t="s">
        <v>549</v>
      </c>
      <c r="C22" s="163">
        <v>4</v>
      </c>
      <c r="D22" s="161" t="s">
        <v>118</v>
      </c>
      <c r="E22" s="179">
        <v>26000</v>
      </c>
      <c r="F22" s="179">
        <f t="shared" si="1"/>
        <v>104000</v>
      </c>
      <c r="G22" s="213" t="s">
        <v>2178</v>
      </c>
      <c r="K22" s="27"/>
      <c r="L22" s="27"/>
      <c r="R22" s="27">
        <f t="shared" si="2"/>
        <v>104000</v>
      </c>
    </row>
    <row r="23" spans="1:18" ht="24.75" x14ac:dyDescent="0.25">
      <c r="A23" s="176"/>
      <c r="B23" s="177" t="s">
        <v>550</v>
      </c>
      <c r="C23" s="163">
        <v>4</v>
      </c>
      <c r="D23" s="161" t="s">
        <v>93</v>
      </c>
      <c r="E23" s="179">
        <v>50000</v>
      </c>
      <c r="F23" s="179">
        <f t="shared" si="1"/>
        <v>200000</v>
      </c>
      <c r="G23" s="213" t="s">
        <v>2178</v>
      </c>
      <c r="K23" s="27"/>
      <c r="L23" s="27"/>
      <c r="R23" s="27">
        <f t="shared" si="2"/>
        <v>200000</v>
      </c>
    </row>
    <row r="24" spans="1:18" ht="24.75" x14ac:dyDescent="0.25">
      <c r="A24" s="176"/>
      <c r="B24" s="177" t="s">
        <v>2624</v>
      </c>
      <c r="C24" s="163">
        <v>4</v>
      </c>
      <c r="D24" s="161" t="s">
        <v>93</v>
      </c>
      <c r="E24" s="179">
        <v>39000</v>
      </c>
      <c r="F24" s="179">
        <f t="shared" si="1"/>
        <v>156000</v>
      </c>
      <c r="G24" s="213" t="s">
        <v>2178</v>
      </c>
      <c r="K24" s="27"/>
      <c r="L24" s="27"/>
      <c r="R24" s="27">
        <f t="shared" si="2"/>
        <v>156000</v>
      </c>
    </row>
    <row r="25" spans="1:18" ht="24.75" x14ac:dyDescent="0.25">
      <c r="A25" s="176"/>
      <c r="B25" s="177" t="s">
        <v>551</v>
      </c>
      <c r="C25" s="163">
        <v>8</v>
      </c>
      <c r="D25" s="161" t="s">
        <v>93</v>
      </c>
      <c r="E25" s="179">
        <v>118000</v>
      </c>
      <c r="F25" s="179">
        <f t="shared" si="1"/>
        <v>944000</v>
      </c>
      <c r="G25" s="213" t="s">
        <v>2178</v>
      </c>
      <c r="K25" s="27"/>
      <c r="L25" s="27"/>
      <c r="R25" s="27">
        <f t="shared" si="2"/>
        <v>944000</v>
      </c>
    </row>
    <row r="26" spans="1:18" ht="24.75" x14ac:dyDescent="0.25">
      <c r="A26" s="176"/>
      <c r="B26" s="177" t="s">
        <v>552</v>
      </c>
      <c r="C26" s="163">
        <v>6</v>
      </c>
      <c r="D26" s="161" t="s">
        <v>93</v>
      </c>
      <c r="E26" s="179">
        <v>115000</v>
      </c>
      <c r="F26" s="179">
        <f t="shared" si="1"/>
        <v>690000</v>
      </c>
      <c r="G26" s="213" t="s">
        <v>2178</v>
      </c>
      <c r="K26" s="27"/>
      <c r="L26" s="27"/>
      <c r="R26" s="27">
        <f t="shared" si="2"/>
        <v>690000</v>
      </c>
    </row>
    <row r="27" spans="1:18" ht="24.75" x14ac:dyDescent="0.25">
      <c r="A27" s="176"/>
      <c r="B27" s="177" t="s">
        <v>2180</v>
      </c>
      <c r="C27" s="163">
        <v>96</v>
      </c>
      <c r="D27" s="161" t="s">
        <v>93</v>
      </c>
      <c r="E27" s="179">
        <v>14000</v>
      </c>
      <c r="F27" s="179">
        <f t="shared" si="1"/>
        <v>1344000</v>
      </c>
      <c r="G27" s="213" t="s">
        <v>2178</v>
      </c>
      <c r="K27" s="27"/>
      <c r="L27" s="27"/>
      <c r="R27" s="27">
        <f t="shared" si="2"/>
        <v>1344000</v>
      </c>
    </row>
    <row r="28" spans="1:18" ht="24.75" x14ac:dyDescent="0.25">
      <c r="A28" s="176"/>
      <c r="B28" s="177" t="s">
        <v>2181</v>
      </c>
      <c r="C28" s="163">
        <v>2</v>
      </c>
      <c r="D28" s="161" t="s">
        <v>93</v>
      </c>
      <c r="E28" s="179">
        <v>12000</v>
      </c>
      <c r="F28" s="179">
        <f t="shared" si="1"/>
        <v>24000</v>
      </c>
      <c r="G28" s="213" t="s">
        <v>2178</v>
      </c>
      <c r="K28" s="27"/>
      <c r="L28" s="27"/>
      <c r="R28" s="27">
        <f t="shared" si="2"/>
        <v>24000</v>
      </c>
    </row>
    <row r="29" spans="1:18" ht="24.75" x14ac:dyDescent="0.25">
      <c r="A29" s="176"/>
      <c r="B29" s="177" t="s">
        <v>553</v>
      </c>
      <c r="C29" s="163">
        <v>18</v>
      </c>
      <c r="D29" s="161" t="s">
        <v>93</v>
      </c>
      <c r="E29" s="179">
        <v>3000</v>
      </c>
      <c r="F29" s="179">
        <f t="shared" si="1"/>
        <v>54000</v>
      </c>
      <c r="G29" s="213" t="s">
        <v>2178</v>
      </c>
      <c r="K29" s="27"/>
      <c r="L29" s="27"/>
      <c r="R29" s="27">
        <f t="shared" si="2"/>
        <v>54000</v>
      </c>
    </row>
    <row r="30" spans="1:18" ht="24.75" x14ac:dyDescent="0.25">
      <c r="A30" s="176"/>
      <c r="B30" s="177" t="s">
        <v>554</v>
      </c>
      <c r="C30" s="163">
        <v>40</v>
      </c>
      <c r="D30" s="161" t="s">
        <v>93</v>
      </c>
      <c r="E30" s="179">
        <v>4000</v>
      </c>
      <c r="F30" s="179">
        <f t="shared" si="1"/>
        <v>160000</v>
      </c>
      <c r="G30" s="213" t="s">
        <v>2178</v>
      </c>
      <c r="K30" s="27"/>
      <c r="L30" s="27"/>
      <c r="R30" s="27">
        <f t="shared" si="2"/>
        <v>160000</v>
      </c>
    </row>
    <row r="31" spans="1:18" ht="24.75" x14ac:dyDescent="0.25">
      <c r="A31" s="176"/>
      <c r="B31" s="177" t="s">
        <v>555</v>
      </c>
      <c r="C31" s="163">
        <v>2</v>
      </c>
      <c r="D31" s="161" t="s">
        <v>312</v>
      </c>
      <c r="E31" s="179">
        <v>55000</v>
      </c>
      <c r="F31" s="179">
        <f t="shared" si="1"/>
        <v>110000</v>
      </c>
      <c r="G31" s="213" t="s">
        <v>2178</v>
      </c>
      <c r="K31" s="27"/>
      <c r="L31" s="27"/>
      <c r="R31" s="27">
        <f t="shared" si="2"/>
        <v>110000</v>
      </c>
    </row>
    <row r="32" spans="1:18" ht="24.75" x14ac:dyDescent="0.25">
      <c r="A32" s="176"/>
      <c r="B32" s="177" t="s">
        <v>1614</v>
      </c>
      <c r="C32" s="163">
        <v>20</v>
      </c>
      <c r="D32" s="161" t="s">
        <v>312</v>
      </c>
      <c r="E32" s="179">
        <v>76000</v>
      </c>
      <c r="F32" s="179">
        <f t="shared" si="1"/>
        <v>1520000</v>
      </c>
      <c r="G32" s="213" t="s">
        <v>2178</v>
      </c>
      <c r="K32" s="27"/>
      <c r="L32" s="27"/>
      <c r="R32" s="27">
        <f t="shared" si="2"/>
        <v>1520000</v>
      </c>
    </row>
    <row r="33" spans="1:18" ht="24.75" x14ac:dyDescent="0.25">
      <c r="A33" s="176"/>
      <c r="B33" s="177" t="s">
        <v>2182</v>
      </c>
      <c r="C33" s="163">
        <v>10</v>
      </c>
      <c r="D33" s="161" t="s">
        <v>312</v>
      </c>
      <c r="E33" s="179">
        <v>11000</v>
      </c>
      <c r="F33" s="179">
        <f>E33*C33</f>
        <v>110000</v>
      </c>
      <c r="G33" s="213" t="s">
        <v>2178</v>
      </c>
      <c r="K33" s="27"/>
      <c r="L33" s="27"/>
      <c r="R33" s="27">
        <f t="shared" si="2"/>
        <v>110000</v>
      </c>
    </row>
    <row r="34" spans="1:18" ht="24.75" x14ac:dyDescent="0.25">
      <c r="A34" s="176"/>
      <c r="B34" s="177" t="s">
        <v>1615</v>
      </c>
      <c r="C34" s="163">
        <v>20</v>
      </c>
      <c r="D34" s="161" t="s">
        <v>266</v>
      </c>
      <c r="E34" s="179">
        <v>4000</v>
      </c>
      <c r="F34" s="179">
        <f t="shared" ref="F34:F38" si="3">E34*C34</f>
        <v>80000</v>
      </c>
      <c r="G34" s="213" t="s">
        <v>2178</v>
      </c>
      <c r="K34" s="27"/>
      <c r="L34" s="27"/>
      <c r="R34" s="27">
        <f t="shared" si="2"/>
        <v>80000</v>
      </c>
    </row>
    <row r="35" spans="1:18" ht="24.75" x14ac:dyDescent="0.25">
      <c r="A35" s="176"/>
      <c r="B35" s="177" t="s">
        <v>2625</v>
      </c>
      <c r="C35" s="163">
        <v>3</v>
      </c>
      <c r="D35" s="161" t="s">
        <v>93</v>
      </c>
      <c r="E35" s="179">
        <v>18000</v>
      </c>
      <c r="F35" s="179">
        <f t="shared" si="3"/>
        <v>54000</v>
      </c>
      <c r="G35" s="213" t="s">
        <v>2178</v>
      </c>
      <c r="K35" s="27"/>
      <c r="L35" s="27"/>
      <c r="R35" s="27">
        <f t="shared" si="2"/>
        <v>54000</v>
      </c>
    </row>
    <row r="36" spans="1:18" ht="24.75" x14ac:dyDescent="0.25">
      <c r="A36" s="176"/>
      <c r="B36" s="177" t="s">
        <v>2626</v>
      </c>
      <c r="C36" s="163">
        <v>3</v>
      </c>
      <c r="D36" s="161" t="s">
        <v>93</v>
      </c>
      <c r="E36" s="179">
        <v>20000</v>
      </c>
      <c r="F36" s="179">
        <f t="shared" si="3"/>
        <v>60000</v>
      </c>
      <c r="G36" s="213" t="s">
        <v>2178</v>
      </c>
      <c r="K36" s="27"/>
      <c r="L36" s="27"/>
      <c r="R36" s="27">
        <f t="shared" si="2"/>
        <v>60000</v>
      </c>
    </row>
    <row r="37" spans="1:18" ht="24.75" x14ac:dyDescent="0.25">
      <c r="A37" s="176"/>
      <c r="B37" s="177" t="s">
        <v>1616</v>
      </c>
      <c r="C37" s="163">
        <v>4</v>
      </c>
      <c r="D37" s="161" t="s">
        <v>1617</v>
      </c>
      <c r="E37" s="179">
        <v>26000</v>
      </c>
      <c r="F37" s="179">
        <f t="shared" si="3"/>
        <v>104000</v>
      </c>
      <c r="G37" s="213" t="s">
        <v>2178</v>
      </c>
      <c r="K37" s="27"/>
      <c r="L37" s="27"/>
      <c r="R37" s="27">
        <f t="shared" si="2"/>
        <v>104000</v>
      </c>
    </row>
    <row r="38" spans="1:18" ht="24.75" x14ac:dyDescent="0.25">
      <c r="A38" s="176"/>
      <c r="B38" s="201" t="s">
        <v>1613</v>
      </c>
      <c r="C38" s="163">
        <v>4</v>
      </c>
      <c r="D38" s="161" t="s">
        <v>93</v>
      </c>
      <c r="E38" s="202">
        <v>45000</v>
      </c>
      <c r="F38" s="179">
        <f t="shared" si="3"/>
        <v>180000</v>
      </c>
      <c r="G38" s="213" t="s">
        <v>2178</v>
      </c>
      <c r="K38" s="27"/>
      <c r="L38" s="27"/>
      <c r="R38" s="27">
        <f t="shared" si="2"/>
        <v>180000</v>
      </c>
    </row>
    <row r="39" spans="1:18" ht="24.75" x14ac:dyDescent="0.25">
      <c r="A39" s="176"/>
      <c r="B39" s="177" t="s">
        <v>591</v>
      </c>
      <c r="C39" s="163">
        <v>10</v>
      </c>
      <c r="D39" s="161" t="s">
        <v>93</v>
      </c>
      <c r="E39" s="195">
        <v>10000</v>
      </c>
      <c r="F39" s="195">
        <f>C39*E39</f>
        <v>100000</v>
      </c>
      <c r="G39" s="213" t="s">
        <v>2178</v>
      </c>
      <c r="K39" s="27"/>
      <c r="L39" s="27"/>
      <c r="R39" s="27">
        <f t="shared" si="2"/>
        <v>100000</v>
      </c>
    </row>
    <row r="40" spans="1:18" x14ac:dyDescent="0.25">
      <c r="A40" s="167"/>
      <c r="B40" s="317" t="s">
        <v>561</v>
      </c>
      <c r="C40" s="163"/>
      <c r="D40" s="161"/>
      <c r="E40" s="202"/>
      <c r="F40" s="179"/>
      <c r="G40" s="163"/>
      <c r="K40" s="27"/>
      <c r="L40" s="27"/>
      <c r="R40" s="27">
        <f t="shared" si="2"/>
        <v>0</v>
      </c>
    </row>
    <row r="41" spans="1:18" ht="24.75" x14ac:dyDescent="0.25">
      <c r="A41" s="167"/>
      <c r="B41" s="201" t="s">
        <v>562</v>
      </c>
      <c r="C41" s="163">
        <v>70</v>
      </c>
      <c r="D41" s="161" t="s">
        <v>90</v>
      </c>
      <c r="E41" s="202">
        <v>5500</v>
      </c>
      <c r="F41" s="179">
        <f>E41*C41</f>
        <v>385000</v>
      </c>
      <c r="G41" s="213" t="s">
        <v>2178</v>
      </c>
      <c r="K41" s="27"/>
      <c r="L41" s="27"/>
      <c r="R41" s="27">
        <f t="shared" si="2"/>
        <v>385000</v>
      </c>
    </row>
    <row r="42" spans="1:18" ht="24.75" x14ac:dyDescent="0.25">
      <c r="A42" s="176"/>
      <c r="B42" s="177" t="s">
        <v>593</v>
      </c>
      <c r="C42" s="163">
        <v>2</v>
      </c>
      <c r="D42" s="161" t="s">
        <v>93</v>
      </c>
      <c r="E42" s="195">
        <v>19000</v>
      </c>
      <c r="F42" s="179">
        <f>C42*E42</f>
        <v>38000</v>
      </c>
      <c r="G42" s="213" t="s">
        <v>2178</v>
      </c>
      <c r="K42" s="27"/>
      <c r="L42" s="27"/>
      <c r="R42" s="27">
        <f t="shared" si="2"/>
        <v>38000</v>
      </c>
    </row>
    <row r="43" spans="1:18" ht="24.75" x14ac:dyDescent="0.25">
      <c r="A43" s="176"/>
      <c r="B43" s="177" t="s">
        <v>594</v>
      </c>
      <c r="C43" s="163">
        <v>3</v>
      </c>
      <c r="D43" s="161" t="s">
        <v>450</v>
      </c>
      <c r="E43" s="195">
        <v>35000</v>
      </c>
      <c r="F43" s="179">
        <f>C43*E43</f>
        <v>105000</v>
      </c>
      <c r="G43" s="213" t="s">
        <v>2178</v>
      </c>
      <c r="K43" s="27"/>
      <c r="L43" s="27"/>
      <c r="R43" s="27">
        <f t="shared" si="2"/>
        <v>105000</v>
      </c>
    </row>
    <row r="44" spans="1:18" ht="24.75" x14ac:dyDescent="0.25">
      <c r="A44" s="167"/>
      <c r="B44" s="201" t="s">
        <v>563</v>
      </c>
      <c r="C44" s="163">
        <v>300</v>
      </c>
      <c r="D44" s="161" t="s">
        <v>93</v>
      </c>
      <c r="E44" s="179">
        <v>5200</v>
      </c>
      <c r="F44" s="179">
        <f t="shared" ref="F44:F60" si="4">E44*C44</f>
        <v>1560000</v>
      </c>
      <c r="G44" s="213" t="s">
        <v>2178</v>
      </c>
      <c r="K44" s="27"/>
      <c r="L44" s="27"/>
      <c r="R44" s="27">
        <f t="shared" si="2"/>
        <v>1560000</v>
      </c>
    </row>
    <row r="45" spans="1:18" ht="24.75" x14ac:dyDescent="0.25">
      <c r="A45" s="167"/>
      <c r="B45" s="201" t="s">
        <v>2627</v>
      </c>
      <c r="C45" s="163">
        <v>420</v>
      </c>
      <c r="D45" s="161" t="s">
        <v>93</v>
      </c>
      <c r="E45" s="202">
        <v>12000</v>
      </c>
      <c r="F45" s="179">
        <f t="shared" si="4"/>
        <v>5040000</v>
      </c>
      <c r="G45" s="213" t="s">
        <v>2178</v>
      </c>
      <c r="K45" s="27"/>
      <c r="L45" s="27"/>
      <c r="R45" s="27">
        <f t="shared" si="2"/>
        <v>5040000</v>
      </c>
    </row>
    <row r="46" spans="1:18" ht="24.75" x14ac:dyDescent="0.25">
      <c r="A46" s="167"/>
      <c r="B46" s="201" t="s">
        <v>1618</v>
      </c>
      <c r="C46" s="163">
        <v>140</v>
      </c>
      <c r="D46" s="161" t="s">
        <v>474</v>
      </c>
      <c r="E46" s="202">
        <v>29000</v>
      </c>
      <c r="F46" s="179">
        <f t="shared" si="4"/>
        <v>4060000</v>
      </c>
      <c r="G46" s="213" t="s">
        <v>2178</v>
      </c>
      <c r="K46" s="27"/>
      <c r="L46" s="27"/>
      <c r="R46" s="27">
        <f t="shared" si="2"/>
        <v>4060000</v>
      </c>
    </row>
    <row r="47" spans="1:18" ht="24.75" x14ac:dyDescent="0.25">
      <c r="A47" s="167"/>
      <c r="B47" s="201" t="s">
        <v>1619</v>
      </c>
      <c r="C47" s="163">
        <v>300</v>
      </c>
      <c r="D47" s="161" t="s">
        <v>93</v>
      </c>
      <c r="E47" s="202">
        <v>8000</v>
      </c>
      <c r="F47" s="179">
        <f t="shared" si="4"/>
        <v>2400000</v>
      </c>
      <c r="G47" s="213" t="s">
        <v>2178</v>
      </c>
      <c r="K47" s="27"/>
      <c r="L47" s="27"/>
      <c r="R47" s="27">
        <f t="shared" si="2"/>
        <v>2400000</v>
      </c>
    </row>
    <row r="48" spans="1:18" ht="24.75" x14ac:dyDescent="0.25">
      <c r="A48" s="167"/>
      <c r="B48" s="201" t="s">
        <v>2628</v>
      </c>
      <c r="C48" s="163">
        <v>300</v>
      </c>
      <c r="D48" s="161" t="s">
        <v>93</v>
      </c>
      <c r="E48" s="202">
        <v>9000</v>
      </c>
      <c r="F48" s="179">
        <f t="shared" si="4"/>
        <v>2700000</v>
      </c>
      <c r="G48" s="213" t="s">
        <v>2178</v>
      </c>
      <c r="K48" s="27"/>
      <c r="L48" s="27"/>
      <c r="R48" s="27">
        <f t="shared" si="2"/>
        <v>2700000</v>
      </c>
    </row>
    <row r="49" spans="1:20" ht="24.75" x14ac:dyDescent="0.25">
      <c r="A49" s="167"/>
      <c r="B49" s="201" t="s">
        <v>2629</v>
      </c>
      <c r="C49" s="163">
        <v>140</v>
      </c>
      <c r="D49" s="161" t="s">
        <v>93</v>
      </c>
      <c r="E49" s="202">
        <v>4000</v>
      </c>
      <c r="F49" s="179">
        <f t="shared" si="4"/>
        <v>560000</v>
      </c>
      <c r="G49" s="213" t="s">
        <v>2178</v>
      </c>
      <c r="K49" s="27"/>
      <c r="L49" s="27"/>
      <c r="R49" s="27">
        <f t="shared" si="2"/>
        <v>560000</v>
      </c>
    </row>
    <row r="50" spans="1:20" ht="24.75" x14ac:dyDescent="0.25">
      <c r="A50" s="167"/>
      <c r="B50" s="201" t="s">
        <v>1620</v>
      </c>
      <c r="C50" s="163">
        <v>70</v>
      </c>
      <c r="D50" s="161" t="s">
        <v>93</v>
      </c>
      <c r="E50" s="202">
        <v>11000</v>
      </c>
      <c r="F50" s="179">
        <f t="shared" si="4"/>
        <v>770000</v>
      </c>
      <c r="G50" s="213" t="s">
        <v>2178</v>
      </c>
      <c r="K50" s="27"/>
      <c r="L50" s="27"/>
      <c r="R50" s="27">
        <f t="shared" si="2"/>
        <v>770000</v>
      </c>
    </row>
    <row r="51" spans="1:20" ht="24.75" x14ac:dyDescent="0.25">
      <c r="A51" s="167"/>
      <c r="B51" s="201" t="s">
        <v>1621</v>
      </c>
      <c r="C51" s="163">
        <v>7</v>
      </c>
      <c r="D51" s="161" t="s">
        <v>87</v>
      </c>
      <c r="E51" s="202">
        <v>11000</v>
      </c>
      <c r="F51" s="179">
        <f t="shared" si="4"/>
        <v>77000</v>
      </c>
      <c r="G51" s="213" t="s">
        <v>2178</v>
      </c>
      <c r="K51" s="27"/>
      <c r="L51" s="27"/>
      <c r="R51" s="27">
        <f t="shared" si="2"/>
        <v>77000</v>
      </c>
    </row>
    <row r="52" spans="1:20" ht="24.75" x14ac:dyDescent="0.25">
      <c r="A52" s="167"/>
      <c r="B52" s="201" t="s">
        <v>565</v>
      </c>
      <c r="C52" s="163">
        <v>70</v>
      </c>
      <c r="D52" s="161" t="s">
        <v>566</v>
      </c>
      <c r="E52" s="202">
        <v>220000</v>
      </c>
      <c r="F52" s="179">
        <f t="shared" si="4"/>
        <v>15400000</v>
      </c>
      <c r="G52" s="213" t="s">
        <v>2178</v>
      </c>
      <c r="K52" s="27"/>
      <c r="L52" s="27"/>
      <c r="R52" s="27">
        <f t="shared" si="2"/>
        <v>15400000</v>
      </c>
    </row>
    <row r="53" spans="1:20" ht="24.75" x14ac:dyDescent="0.25">
      <c r="A53" s="167"/>
      <c r="B53" s="201" t="s">
        <v>2630</v>
      </c>
      <c r="C53" s="163">
        <v>10</v>
      </c>
      <c r="D53" s="161" t="s">
        <v>474</v>
      </c>
      <c r="E53" s="202">
        <v>39000</v>
      </c>
      <c r="F53" s="179">
        <f t="shared" si="4"/>
        <v>390000</v>
      </c>
      <c r="G53" s="213" t="s">
        <v>2178</v>
      </c>
      <c r="K53" s="27"/>
      <c r="L53" s="27"/>
      <c r="R53" s="27">
        <f t="shared" si="2"/>
        <v>390000</v>
      </c>
    </row>
    <row r="54" spans="1:20" ht="24.75" x14ac:dyDescent="0.25">
      <c r="A54" s="167"/>
      <c r="B54" s="201" t="s">
        <v>2631</v>
      </c>
      <c r="C54" s="163">
        <v>70</v>
      </c>
      <c r="D54" s="161" t="s">
        <v>93</v>
      </c>
      <c r="E54" s="202">
        <v>13000</v>
      </c>
      <c r="F54" s="179">
        <f t="shared" si="4"/>
        <v>910000</v>
      </c>
      <c r="G54" s="213" t="s">
        <v>2178</v>
      </c>
      <c r="K54" s="27"/>
      <c r="L54" s="27"/>
      <c r="R54" s="27">
        <f t="shared" si="2"/>
        <v>910000</v>
      </c>
    </row>
    <row r="55" spans="1:20" ht="24.75" x14ac:dyDescent="0.25">
      <c r="A55" s="167"/>
      <c r="B55" s="201" t="s">
        <v>1231</v>
      </c>
      <c r="C55" s="163">
        <v>30</v>
      </c>
      <c r="D55" s="161" t="s">
        <v>474</v>
      </c>
      <c r="E55" s="202">
        <v>53000</v>
      </c>
      <c r="F55" s="179">
        <f t="shared" si="4"/>
        <v>1590000</v>
      </c>
      <c r="G55" s="213" t="s">
        <v>2178</v>
      </c>
      <c r="K55" s="27"/>
      <c r="L55" s="27"/>
      <c r="R55" s="27">
        <f t="shared" si="2"/>
        <v>1590000</v>
      </c>
    </row>
    <row r="56" spans="1:20" ht="24.75" x14ac:dyDescent="0.25">
      <c r="A56" s="167"/>
      <c r="B56" s="201" t="s">
        <v>567</v>
      </c>
      <c r="C56" s="163">
        <v>70</v>
      </c>
      <c r="D56" s="161" t="s">
        <v>93</v>
      </c>
      <c r="E56" s="202">
        <v>22000</v>
      </c>
      <c r="F56" s="179">
        <f t="shared" si="4"/>
        <v>1540000</v>
      </c>
      <c r="G56" s="213" t="s">
        <v>2178</v>
      </c>
      <c r="K56" s="27"/>
      <c r="L56" s="27"/>
      <c r="R56" s="27">
        <f t="shared" si="2"/>
        <v>1540000</v>
      </c>
    </row>
    <row r="57" spans="1:20" ht="24.75" x14ac:dyDescent="0.25">
      <c r="A57" s="167"/>
      <c r="B57" s="201" t="s">
        <v>1622</v>
      </c>
      <c r="C57" s="163">
        <v>72</v>
      </c>
      <c r="D57" s="161" t="s">
        <v>106</v>
      </c>
      <c r="E57" s="202">
        <v>12000</v>
      </c>
      <c r="F57" s="179">
        <f t="shared" si="4"/>
        <v>864000</v>
      </c>
      <c r="G57" s="213" t="s">
        <v>2178</v>
      </c>
      <c r="K57" s="27"/>
      <c r="L57" s="27"/>
      <c r="R57" s="27">
        <f t="shared" si="2"/>
        <v>864000</v>
      </c>
    </row>
    <row r="58" spans="1:20" ht="24.75" x14ac:dyDescent="0.25">
      <c r="A58" s="167"/>
      <c r="B58" s="201" t="s">
        <v>568</v>
      </c>
      <c r="C58" s="163">
        <v>4</v>
      </c>
      <c r="D58" s="161" t="s">
        <v>451</v>
      </c>
      <c r="E58" s="202">
        <v>15000</v>
      </c>
      <c r="F58" s="179">
        <f t="shared" si="4"/>
        <v>60000</v>
      </c>
      <c r="G58" s="213" t="s">
        <v>2178</v>
      </c>
      <c r="K58" s="27"/>
      <c r="L58" s="27"/>
      <c r="R58" s="27">
        <f t="shared" si="2"/>
        <v>60000</v>
      </c>
    </row>
    <row r="59" spans="1:20" ht="24.75" x14ac:dyDescent="0.25">
      <c r="A59" s="167"/>
      <c r="B59" s="201" t="s">
        <v>569</v>
      </c>
      <c r="C59" s="163">
        <v>5</v>
      </c>
      <c r="D59" s="161" t="s">
        <v>450</v>
      </c>
      <c r="E59" s="202">
        <v>58000</v>
      </c>
      <c r="F59" s="179">
        <f t="shared" si="4"/>
        <v>290000</v>
      </c>
      <c r="G59" s="213" t="s">
        <v>2178</v>
      </c>
      <c r="K59" s="27"/>
      <c r="L59" s="27"/>
      <c r="R59" s="27">
        <f t="shared" si="2"/>
        <v>290000</v>
      </c>
    </row>
    <row r="60" spans="1:20" ht="24.75" x14ac:dyDescent="0.25">
      <c r="A60" s="167"/>
      <c r="B60" s="201" t="s">
        <v>570</v>
      </c>
      <c r="C60" s="163">
        <v>15</v>
      </c>
      <c r="D60" s="161" t="s">
        <v>93</v>
      </c>
      <c r="E60" s="388">
        <v>15000</v>
      </c>
      <c r="F60" s="389">
        <f t="shared" si="4"/>
        <v>225000</v>
      </c>
      <c r="G60" s="213" t="s">
        <v>2178</v>
      </c>
      <c r="K60" s="27"/>
      <c r="L60" s="27"/>
      <c r="R60" s="27">
        <f t="shared" si="2"/>
        <v>225000</v>
      </c>
    </row>
    <row r="61" spans="1:20" ht="24.75" x14ac:dyDescent="0.25">
      <c r="A61" s="167"/>
      <c r="B61" s="201" t="s">
        <v>571</v>
      </c>
      <c r="C61" s="163">
        <v>2</v>
      </c>
      <c r="D61" s="161" t="s">
        <v>450</v>
      </c>
      <c r="E61" s="388">
        <v>50000</v>
      </c>
      <c r="F61" s="389">
        <f>E61*C61</f>
        <v>100000</v>
      </c>
      <c r="G61" s="213" t="s">
        <v>2178</v>
      </c>
      <c r="K61" s="27"/>
      <c r="L61" s="27"/>
      <c r="R61" s="27">
        <f t="shared" si="2"/>
        <v>100000</v>
      </c>
    </row>
    <row r="62" spans="1:20" x14ac:dyDescent="0.25">
      <c r="A62" s="167" t="s">
        <v>2336</v>
      </c>
      <c r="B62" s="317" t="s">
        <v>2337</v>
      </c>
      <c r="C62" s="163"/>
      <c r="D62" s="161"/>
      <c r="E62" s="388"/>
      <c r="F62" s="389"/>
      <c r="G62" s="163"/>
      <c r="K62" s="27"/>
      <c r="L62" s="27"/>
      <c r="R62" s="27">
        <f t="shared" si="2"/>
        <v>0</v>
      </c>
    </row>
    <row r="63" spans="1:20" ht="24.75" x14ac:dyDescent="0.25">
      <c r="A63" s="167"/>
      <c r="B63" s="177" t="s">
        <v>557</v>
      </c>
      <c r="C63" s="163">
        <v>1</v>
      </c>
      <c r="D63" s="161" t="s">
        <v>93</v>
      </c>
      <c r="E63" s="195">
        <v>24000</v>
      </c>
      <c r="F63" s="179">
        <f t="shared" ref="F63:F68" si="5">E63*C63</f>
        <v>24000</v>
      </c>
      <c r="G63" s="213" t="s">
        <v>2178</v>
      </c>
      <c r="K63" s="27"/>
      <c r="L63" s="27"/>
      <c r="R63" s="27">
        <f t="shared" si="2"/>
        <v>24000</v>
      </c>
      <c r="T63" s="27"/>
    </row>
    <row r="64" spans="1:20" ht="24.75" x14ac:dyDescent="0.25">
      <c r="A64" s="167"/>
      <c r="B64" s="177" t="s">
        <v>558</v>
      </c>
      <c r="C64" s="163">
        <v>70</v>
      </c>
      <c r="D64" s="161" t="s">
        <v>93</v>
      </c>
      <c r="E64" s="195">
        <v>5000</v>
      </c>
      <c r="F64" s="179">
        <f t="shared" si="5"/>
        <v>350000</v>
      </c>
      <c r="G64" s="213" t="s">
        <v>2178</v>
      </c>
      <c r="K64" s="27"/>
      <c r="L64" s="27"/>
      <c r="R64" s="27">
        <f t="shared" si="2"/>
        <v>350000</v>
      </c>
      <c r="T64" s="27"/>
    </row>
    <row r="65" spans="1:20" ht="24.75" x14ac:dyDescent="0.25">
      <c r="A65" s="167"/>
      <c r="B65" s="177" t="s">
        <v>2601</v>
      </c>
      <c r="C65" s="163">
        <v>70</v>
      </c>
      <c r="D65" s="161" t="s">
        <v>93</v>
      </c>
      <c r="E65" s="195">
        <v>6500</v>
      </c>
      <c r="F65" s="179">
        <f t="shared" si="5"/>
        <v>455000</v>
      </c>
      <c r="G65" s="213" t="s">
        <v>2178</v>
      </c>
      <c r="K65" s="27"/>
      <c r="L65" s="27"/>
      <c r="R65" s="27">
        <f t="shared" si="2"/>
        <v>455000</v>
      </c>
      <c r="T65" s="27"/>
    </row>
    <row r="66" spans="1:20" ht="24.75" x14ac:dyDescent="0.25">
      <c r="A66" s="167"/>
      <c r="B66" s="177" t="s">
        <v>2602</v>
      </c>
      <c r="C66" s="163">
        <v>70</v>
      </c>
      <c r="D66" s="161" t="s">
        <v>93</v>
      </c>
      <c r="E66" s="195">
        <v>16000</v>
      </c>
      <c r="F66" s="179">
        <f t="shared" si="5"/>
        <v>1120000</v>
      </c>
      <c r="G66" s="213" t="s">
        <v>2178</v>
      </c>
      <c r="K66" s="27"/>
      <c r="L66" s="27"/>
      <c r="R66" s="27">
        <f t="shared" si="2"/>
        <v>1120000</v>
      </c>
      <c r="T66" s="27"/>
    </row>
    <row r="67" spans="1:20" ht="24.75" x14ac:dyDescent="0.25">
      <c r="A67" s="167"/>
      <c r="B67" s="177" t="s">
        <v>2603</v>
      </c>
      <c r="C67" s="163">
        <v>70</v>
      </c>
      <c r="D67" s="161" t="s">
        <v>93</v>
      </c>
      <c r="E67" s="195">
        <v>41000</v>
      </c>
      <c r="F67" s="179">
        <f t="shared" si="5"/>
        <v>2870000</v>
      </c>
      <c r="G67" s="213" t="s">
        <v>2178</v>
      </c>
      <c r="K67" s="27"/>
      <c r="L67" s="27"/>
      <c r="R67" s="27">
        <f t="shared" si="2"/>
        <v>2870000</v>
      </c>
      <c r="T67" s="27"/>
    </row>
    <row r="68" spans="1:20" ht="24.75" x14ac:dyDescent="0.25">
      <c r="A68" s="167"/>
      <c r="B68" s="201" t="s">
        <v>559</v>
      </c>
      <c r="C68" s="163">
        <v>70</v>
      </c>
      <c r="D68" s="161" t="s">
        <v>93</v>
      </c>
      <c r="E68" s="202">
        <v>50000</v>
      </c>
      <c r="F68" s="179">
        <f t="shared" si="5"/>
        <v>3500000</v>
      </c>
      <c r="G68" s="213" t="s">
        <v>2178</v>
      </c>
      <c r="K68" s="27"/>
      <c r="L68" s="27"/>
      <c r="R68" s="27">
        <f t="shared" si="2"/>
        <v>3500000</v>
      </c>
      <c r="T68" s="27"/>
    </row>
    <row r="69" spans="1:20" ht="24.75" x14ac:dyDescent="0.25">
      <c r="A69" s="167" t="s">
        <v>572</v>
      </c>
      <c r="B69" s="386" t="s">
        <v>573</v>
      </c>
      <c r="C69" s="163"/>
      <c r="D69" s="161"/>
      <c r="E69" s="195"/>
      <c r="F69" s="195"/>
      <c r="G69" s="163"/>
      <c r="L69" s="27"/>
      <c r="R69" s="27">
        <f t="shared" si="2"/>
        <v>0</v>
      </c>
      <c r="T69" s="27"/>
    </row>
    <row r="70" spans="1:20" ht="24.75" x14ac:dyDescent="0.25">
      <c r="A70" s="167"/>
      <c r="B70" s="177" t="s">
        <v>2616</v>
      </c>
      <c r="C70" s="178">
        <v>10</v>
      </c>
      <c r="D70" s="170" t="s">
        <v>93</v>
      </c>
      <c r="E70" s="204">
        <v>163000</v>
      </c>
      <c r="F70" s="195">
        <f>C70*E70</f>
        <v>1630000</v>
      </c>
      <c r="G70" s="213" t="s">
        <v>2178</v>
      </c>
      <c r="L70" s="23"/>
      <c r="R70" s="27">
        <f t="shared" si="2"/>
        <v>1630000</v>
      </c>
      <c r="T70" s="27"/>
    </row>
    <row r="71" spans="1:20" x14ac:dyDescent="0.25">
      <c r="A71" s="167"/>
      <c r="B71" s="201"/>
      <c r="C71" s="181"/>
      <c r="D71" s="161"/>
      <c r="E71" s="163"/>
      <c r="F71" s="326"/>
      <c r="G71" s="181"/>
    </row>
    <row r="72" spans="1:20" ht="36.75" x14ac:dyDescent="0.25">
      <c r="A72" s="167" t="s">
        <v>574</v>
      </c>
      <c r="B72" s="386" t="s">
        <v>112</v>
      </c>
      <c r="C72" s="163"/>
      <c r="D72" s="161"/>
      <c r="E72" s="195"/>
      <c r="F72" s="195"/>
      <c r="G72" s="163"/>
    </row>
    <row r="73" spans="1:20" ht="24.75" x14ac:dyDescent="0.25">
      <c r="A73" s="176"/>
      <c r="B73" s="177" t="s">
        <v>575</v>
      </c>
      <c r="C73" s="163">
        <v>6</v>
      </c>
      <c r="D73" s="161" t="s">
        <v>93</v>
      </c>
      <c r="E73" s="195">
        <v>30000</v>
      </c>
      <c r="F73" s="195">
        <f t="shared" ref="F73:F89" si="6">C73*E73</f>
        <v>180000</v>
      </c>
      <c r="G73" s="213" t="s">
        <v>2178</v>
      </c>
      <c r="L73" s="23"/>
      <c r="Q73" s="23"/>
      <c r="R73" s="23">
        <f>F73</f>
        <v>180000</v>
      </c>
    </row>
    <row r="74" spans="1:20" ht="24.75" x14ac:dyDescent="0.25">
      <c r="A74" s="176"/>
      <c r="B74" s="177" t="s">
        <v>576</v>
      </c>
      <c r="C74" s="163">
        <v>14</v>
      </c>
      <c r="D74" s="161" t="s">
        <v>93</v>
      </c>
      <c r="E74" s="195">
        <v>38000</v>
      </c>
      <c r="F74" s="195">
        <f t="shared" si="6"/>
        <v>532000</v>
      </c>
      <c r="G74" s="213" t="s">
        <v>2178</v>
      </c>
      <c r="L74" s="23"/>
      <c r="Q74" s="23"/>
      <c r="R74" s="23">
        <f t="shared" ref="R74:R89" si="7">F74</f>
        <v>532000</v>
      </c>
    </row>
    <row r="75" spans="1:20" ht="24.75" x14ac:dyDescent="0.25">
      <c r="A75" s="176"/>
      <c r="B75" s="177" t="s">
        <v>577</v>
      </c>
      <c r="C75" s="163">
        <v>7</v>
      </c>
      <c r="D75" s="161" t="s">
        <v>93</v>
      </c>
      <c r="E75" s="195">
        <v>52000</v>
      </c>
      <c r="F75" s="195">
        <f>C75*E75</f>
        <v>364000</v>
      </c>
      <c r="G75" s="213" t="s">
        <v>2178</v>
      </c>
      <c r="L75" s="23"/>
      <c r="Q75" s="23"/>
      <c r="R75" s="23">
        <f t="shared" si="7"/>
        <v>364000</v>
      </c>
    </row>
    <row r="76" spans="1:20" ht="24.75" x14ac:dyDescent="0.25">
      <c r="A76" s="176"/>
      <c r="B76" s="177" t="s">
        <v>579</v>
      </c>
      <c r="C76" s="163">
        <v>8</v>
      </c>
      <c r="D76" s="161" t="s">
        <v>93</v>
      </c>
      <c r="E76" s="195">
        <v>36000</v>
      </c>
      <c r="F76" s="195">
        <f t="shared" si="6"/>
        <v>288000</v>
      </c>
      <c r="G76" s="213" t="s">
        <v>2178</v>
      </c>
      <c r="L76" s="23"/>
      <c r="Q76" s="23"/>
      <c r="R76" s="23">
        <f t="shared" si="7"/>
        <v>288000</v>
      </c>
    </row>
    <row r="77" spans="1:20" ht="24.75" x14ac:dyDescent="0.25">
      <c r="A77" s="176"/>
      <c r="B77" s="203" t="s">
        <v>580</v>
      </c>
      <c r="C77" s="163">
        <v>10</v>
      </c>
      <c r="D77" s="161" t="s">
        <v>93</v>
      </c>
      <c r="E77" s="195">
        <v>30000</v>
      </c>
      <c r="F77" s="195">
        <f t="shared" si="6"/>
        <v>300000</v>
      </c>
      <c r="G77" s="213" t="s">
        <v>2178</v>
      </c>
      <c r="L77" s="23"/>
      <c r="Q77" s="23"/>
      <c r="R77" s="23">
        <f t="shared" si="7"/>
        <v>300000</v>
      </c>
    </row>
    <row r="78" spans="1:20" ht="24.75" x14ac:dyDescent="0.25">
      <c r="A78" s="176"/>
      <c r="B78" s="203" t="s">
        <v>581</v>
      </c>
      <c r="C78" s="163">
        <v>3</v>
      </c>
      <c r="D78" s="161" t="s">
        <v>93</v>
      </c>
      <c r="E78" s="390">
        <v>54000</v>
      </c>
      <c r="F78" s="195">
        <f t="shared" si="6"/>
        <v>162000</v>
      </c>
      <c r="G78" s="213" t="s">
        <v>2178</v>
      </c>
      <c r="L78" s="23"/>
      <c r="Q78" s="23"/>
      <c r="R78" s="23">
        <f t="shared" si="7"/>
        <v>162000</v>
      </c>
    </row>
    <row r="79" spans="1:20" ht="24.75" x14ac:dyDescent="0.25">
      <c r="A79" s="176"/>
      <c r="B79" s="203" t="s">
        <v>114</v>
      </c>
      <c r="C79" s="163">
        <v>3</v>
      </c>
      <c r="D79" s="161" t="s">
        <v>93</v>
      </c>
      <c r="E79" s="390">
        <v>9000</v>
      </c>
      <c r="F79" s="195">
        <f t="shared" si="6"/>
        <v>27000</v>
      </c>
      <c r="G79" s="213" t="s">
        <v>2178</v>
      </c>
      <c r="L79" s="23"/>
      <c r="Q79" s="23"/>
      <c r="R79" s="23">
        <f t="shared" si="7"/>
        <v>27000</v>
      </c>
    </row>
    <row r="80" spans="1:20" ht="24.75" x14ac:dyDescent="0.25">
      <c r="A80" s="176"/>
      <c r="B80" s="177" t="s">
        <v>582</v>
      </c>
      <c r="C80" s="163">
        <v>3</v>
      </c>
      <c r="D80" s="161" t="s">
        <v>93</v>
      </c>
      <c r="E80" s="390">
        <v>35000</v>
      </c>
      <c r="F80" s="195">
        <f t="shared" si="6"/>
        <v>105000</v>
      </c>
      <c r="G80" s="213" t="s">
        <v>2178</v>
      </c>
      <c r="L80" s="23"/>
      <c r="Q80" s="23"/>
      <c r="R80" s="23">
        <f t="shared" si="7"/>
        <v>105000</v>
      </c>
    </row>
    <row r="81" spans="1:18" ht="24.75" x14ac:dyDescent="0.25">
      <c r="A81" s="176"/>
      <c r="B81" s="177" t="s">
        <v>583</v>
      </c>
      <c r="C81" s="163">
        <v>1</v>
      </c>
      <c r="D81" s="161" t="s">
        <v>93</v>
      </c>
      <c r="E81" s="391">
        <v>536000</v>
      </c>
      <c r="F81" s="195">
        <f t="shared" si="6"/>
        <v>536000</v>
      </c>
      <c r="G81" s="213" t="s">
        <v>2178</v>
      </c>
      <c r="L81" s="23"/>
      <c r="Q81" s="23"/>
      <c r="R81" s="23">
        <f t="shared" si="7"/>
        <v>536000</v>
      </c>
    </row>
    <row r="82" spans="1:18" ht="24.75" x14ac:dyDescent="0.25">
      <c r="A82" s="176"/>
      <c r="B82" s="177" t="s">
        <v>584</v>
      </c>
      <c r="C82" s="163">
        <v>3</v>
      </c>
      <c r="D82" s="161" t="s">
        <v>93</v>
      </c>
      <c r="E82" s="195">
        <v>21000</v>
      </c>
      <c r="F82" s="195">
        <f t="shared" si="6"/>
        <v>63000</v>
      </c>
      <c r="G82" s="213" t="s">
        <v>2178</v>
      </c>
      <c r="L82" s="23"/>
      <c r="Q82" s="23"/>
      <c r="R82" s="23">
        <f t="shared" si="7"/>
        <v>63000</v>
      </c>
    </row>
    <row r="83" spans="1:18" ht="24.75" x14ac:dyDescent="0.25">
      <c r="A83" s="176"/>
      <c r="B83" s="177" t="s">
        <v>585</v>
      </c>
      <c r="C83" s="163">
        <v>2</v>
      </c>
      <c r="D83" s="161" t="s">
        <v>93</v>
      </c>
      <c r="E83" s="195">
        <v>103000</v>
      </c>
      <c r="F83" s="195">
        <f t="shared" si="6"/>
        <v>206000</v>
      </c>
      <c r="G83" s="213" t="s">
        <v>2178</v>
      </c>
      <c r="L83" s="23"/>
      <c r="Q83" s="23"/>
      <c r="R83" s="23">
        <f t="shared" si="7"/>
        <v>206000</v>
      </c>
    </row>
    <row r="84" spans="1:18" ht="24.75" x14ac:dyDescent="0.25">
      <c r="A84" s="176"/>
      <c r="B84" s="177" t="s">
        <v>586</v>
      </c>
      <c r="C84" s="163">
        <v>6</v>
      </c>
      <c r="D84" s="161" t="s">
        <v>93</v>
      </c>
      <c r="E84" s="195">
        <v>52000</v>
      </c>
      <c r="F84" s="195">
        <f t="shared" si="6"/>
        <v>312000</v>
      </c>
      <c r="G84" s="213" t="s">
        <v>2178</v>
      </c>
      <c r="L84" s="23"/>
      <c r="Q84" s="23"/>
      <c r="R84" s="23">
        <f t="shared" si="7"/>
        <v>312000</v>
      </c>
    </row>
    <row r="85" spans="1:18" ht="24.75" x14ac:dyDescent="0.25">
      <c r="A85" s="176"/>
      <c r="B85" s="177" t="s">
        <v>587</v>
      </c>
      <c r="C85" s="163">
        <v>4</v>
      </c>
      <c r="D85" s="161" t="s">
        <v>93</v>
      </c>
      <c r="E85" s="195">
        <v>27000</v>
      </c>
      <c r="F85" s="195">
        <f t="shared" si="6"/>
        <v>108000</v>
      </c>
      <c r="G85" s="213" t="s">
        <v>2178</v>
      </c>
      <c r="L85" s="23"/>
      <c r="Q85" s="23"/>
      <c r="R85" s="23">
        <f t="shared" si="7"/>
        <v>108000</v>
      </c>
    </row>
    <row r="86" spans="1:18" ht="24.75" x14ac:dyDescent="0.25">
      <c r="A86" s="176"/>
      <c r="B86" s="177" t="s">
        <v>588</v>
      </c>
      <c r="C86" s="163">
        <v>3</v>
      </c>
      <c r="D86" s="161" t="s">
        <v>93</v>
      </c>
      <c r="E86" s="195">
        <v>90000</v>
      </c>
      <c r="F86" s="195">
        <f t="shared" si="6"/>
        <v>270000</v>
      </c>
      <c r="G86" s="213" t="s">
        <v>2178</v>
      </c>
      <c r="L86" s="23"/>
      <c r="Q86" s="23"/>
      <c r="R86" s="23">
        <f t="shared" si="7"/>
        <v>270000</v>
      </c>
    </row>
    <row r="87" spans="1:18" ht="24.75" x14ac:dyDescent="0.25">
      <c r="A87" s="176"/>
      <c r="B87" s="177" t="s">
        <v>589</v>
      </c>
      <c r="C87" s="163">
        <v>4</v>
      </c>
      <c r="D87" s="161" t="s">
        <v>93</v>
      </c>
      <c r="E87" s="195">
        <v>95000</v>
      </c>
      <c r="F87" s="195">
        <f t="shared" si="6"/>
        <v>380000</v>
      </c>
      <c r="G87" s="213" t="s">
        <v>2178</v>
      </c>
      <c r="L87" s="23"/>
      <c r="Q87" s="23"/>
      <c r="R87" s="23">
        <f t="shared" si="7"/>
        <v>380000</v>
      </c>
    </row>
    <row r="88" spans="1:18" ht="24.75" x14ac:dyDescent="0.25">
      <c r="A88" s="176"/>
      <c r="B88" s="177" t="s">
        <v>590</v>
      </c>
      <c r="C88" s="163">
        <v>5</v>
      </c>
      <c r="D88" s="161" t="s">
        <v>93</v>
      </c>
      <c r="E88" s="195">
        <v>57000</v>
      </c>
      <c r="F88" s="195">
        <f t="shared" si="6"/>
        <v>285000</v>
      </c>
      <c r="G88" s="213" t="s">
        <v>2178</v>
      </c>
      <c r="L88" s="23"/>
      <c r="Q88" s="23"/>
      <c r="R88" s="23">
        <f t="shared" si="7"/>
        <v>285000</v>
      </c>
    </row>
    <row r="89" spans="1:18" ht="24.75" x14ac:dyDescent="0.25">
      <c r="A89" s="176"/>
      <c r="B89" s="177" t="s">
        <v>592</v>
      </c>
      <c r="C89" s="163">
        <v>8</v>
      </c>
      <c r="D89" s="161" t="s">
        <v>93</v>
      </c>
      <c r="E89" s="195">
        <v>26000</v>
      </c>
      <c r="F89" s="195">
        <f t="shared" si="6"/>
        <v>208000</v>
      </c>
      <c r="G89" s="213" t="s">
        <v>2178</v>
      </c>
      <c r="L89" s="23"/>
      <c r="Q89" s="23"/>
      <c r="R89" s="23">
        <f t="shared" si="7"/>
        <v>208000</v>
      </c>
    </row>
    <row r="90" spans="1:18" ht="36.75" x14ac:dyDescent="0.25">
      <c r="A90" s="167" t="s">
        <v>595</v>
      </c>
      <c r="B90" s="387" t="s">
        <v>146</v>
      </c>
      <c r="C90" s="163"/>
      <c r="D90" s="161"/>
      <c r="E90" s="195"/>
      <c r="F90" s="179"/>
      <c r="G90" s="163"/>
      <c r="J90" s="23"/>
      <c r="R90" s="23"/>
    </row>
    <row r="91" spans="1:18" ht="24.75" x14ac:dyDescent="0.25">
      <c r="A91" s="167"/>
      <c r="B91" s="177" t="s">
        <v>149</v>
      </c>
      <c r="C91" s="163">
        <v>30</v>
      </c>
      <c r="D91" s="161" t="s">
        <v>150</v>
      </c>
      <c r="E91" s="195">
        <v>6000</v>
      </c>
      <c r="F91" s="179">
        <f>E91*C91</f>
        <v>180000</v>
      </c>
      <c r="G91" s="213" t="s">
        <v>2178</v>
      </c>
      <c r="L91" s="27"/>
      <c r="M91" s="27"/>
      <c r="Q91" s="27"/>
      <c r="R91" s="27">
        <f>F91</f>
        <v>180000</v>
      </c>
    </row>
    <row r="92" spans="1:18" x14ac:dyDescent="0.25">
      <c r="A92" s="167"/>
      <c r="B92" s="177"/>
      <c r="C92" s="163"/>
      <c r="D92" s="161"/>
      <c r="E92" s="195"/>
      <c r="F92" s="179"/>
      <c r="G92" s="163"/>
    </row>
    <row r="93" spans="1:18" x14ac:dyDescent="0.25">
      <c r="A93" s="167" t="s">
        <v>596</v>
      </c>
      <c r="B93" s="386" t="s">
        <v>597</v>
      </c>
      <c r="C93" s="163"/>
      <c r="D93" s="161"/>
      <c r="E93" s="195"/>
      <c r="F93" s="179"/>
      <c r="G93" s="163"/>
    </row>
    <row r="94" spans="1:18" ht="24.75" x14ac:dyDescent="0.25">
      <c r="A94" s="167"/>
      <c r="B94" s="177" t="s">
        <v>598</v>
      </c>
      <c r="C94" s="163">
        <v>5</v>
      </c>
      <c r="D94" s="161" t="s">
        <v>106</v>
      </c>
      <c r="E94" s="195">
        <v>150000</v>
      </c>
      <c r="F94" s="179">
        <f>E94*C94</f>
        <v>750000</v>
      </c>
      <c r="G94" s="213" t="s">
        <v>2178</v>
      </c>
      <c r="L94" s="27"/>
      <c r="Q94" s="27"/>
      <c r="R94" s="27">
        <f>F94</f>
        <v>750000</v>
      </c>
    </row>
    <row r="95" spans="1:18" ht="24.75" x14ac:dyDescent="0.25">
      <c r="A95" s="167"/>
      <c r="B95" s="177" t="s">
        <v>599</v>
      </c>
      <c r="C95" s="163">
        <v>10</v>
      </c>
      <c r="D95" s="161" t="s">
        <v>106</v>
      </c>
      <c r="E95" s="195">
        <v>350000</v>
      </c>
      <c r="F95" s="179">
        <f>E95*C95</f>
        <v>3500000</v>
      </c>
      <c r="G95" s="213" t="s">
        <v>2178</v>
      </c>
      <c r="L95" s="27"/>
      <c r="Q95" s="27"/>
      <c r="R95" s="27">
        <f>F95</f>
        <v>3500000</v>
      </c>
    </row>
    <row r="96" spans="1:18" x14ac:dyDescent="0.25">
      <c r="A96" s="167"/>
      <c r="B96" s="177"/>
      <c r="C96" s="163"/>
      <c r="D96" s="161"/>
      <c r="E96" s="195"/>
      <c r="F96" s="179"/>
      <c r="G96" s="163"/>
    </row>
    <row r="97" spans="1:18" ht="24.75" x14ac:dyDescent="0.25">
      <c r="A97" s="167" t="s">
        <v>600</v>
      </c>
      <c r="B97" s="386" t="s">
        <v>160</v>
      </c>
      <c r="C97" s="163"/>
      <c r="D97" s="161"/>
      <c r="E97" s="179"/>
      <c r="F97" s="179"/>
      <c r="G97" s="163"/>
    </row>
    <row r="98" spans="1:18" ht="24.75" x14ac:dyDescent="0.25">
      <c r="A98" s="176"/>
      <c r="B98" s="177" t="s">
        <v>601</v>
      </c>
      <c r="C98" s="163">
        <v>3</v>
      </c>
      <c r="D98" s="161" t="s">
        <v>93</v>
      </c>
      <c r="E98" s="195">
        <v>100000</v>
      </c>
      <c r="F98" s="195">
        <f>E98*C98</f>
        <v>300000</v>
      </c>
      <c r="G98" s="213" t="s">
        <v>2178</v>
      </c>
      <c r="L98" s="23"/>
      <c r="M98" s="23"/>
      <c r="R98" s="23">
        <f>F98</f>
        <v>300000</v>
      </c>
    </row>
    <row r="99" spans="1:18" x14ac:dyDescent="0.25">
      <c r="A99" s="167"/>
      <c r="B99" s="177"/>
      <c r="C99" s="163"/>
      <c r="D99" s="161"/>
      <c r="E99" s="195"/>
      <c r="F99" s="195"/>
      <c r="G99" s="163"/>
    </row>
    <row r="100" spans="1:18" x14ac:dyDescent="0.25">
      <c r="A100" s="167" t="s">
        <v>2338</v>
      </c>
      <c r="B100" s="386" t="s">
        <v>2339</v>
      </c>
      <c r="C100" s="163"/>
      <c r="D100" s="161"/>
      <c r="E100" s="195"/>
      <c r="F100" s="195"/>
      <c r="G100" s="163"/>
    </row>
    <row r="101" spans="1:18" ht="24.75" x14ac:dyDescent="0.25">
      <c r="A101" s="176"/>
      <c r="B101" s="177" t="s">
        <v>578</v>
      </c>
      <c r="C101" s="163">
        <v>1</v>
      </c>
      <c r="D101" s="161" t="s">
        <v>312</v>
      </c>
      <c r="E101" s="195">
        <v>309000</v>
      </c>
      <c r="F101" s="195">
        <f>C101*E101</f>
        <v>309000</v>
      </c>
      <c r="G101" s="213" t="s">
        <v>2178</v>
      </c>
      <c r="L101" s="23"/>
      <c r="Q101" s="23"/>
      <c r="R101" s="23">
        <f>F101</f>
        <v>309000</v>
      </c>
    </row>
    <row r="102" spans="1:18" x14ac:dyDescent="0.25">
      <c r="A102" s="167"/>
      <c r="B102" s="177"/>
      <c r="C102" s="163"/>
      <c r="D102" s="161"/>
      <c r="E102" s="195"/>
      <c r="F102" s="195"/>
      <c r="G102" s="163"/>
    </row>
    <row r="103" spans="1:18" ht="24.75" x14ac:dyDescent="0.25">
      <c r="A103" s="167" t="s">
        <v>602</v>
      </c>
      <c r="B103" s="386" t="s">
        <v>603</v>
      </c>
      <c r="C103" s="163"/>
      <c r="D103" s="161"/>
      <c r="E103" s="179"/>
      <c r="F103" s="179"/>
      <c r="G103" s="163"/>
    </row>
    <row r="104" spans="1:18" ht="24.75" x14ac:dyDescent="0.25">
      <c r="A104" s="176"/>
      <c r="B104" s="177" t="s">
        <v>3539</v>
      </c>
      <c r="C104" s="163">
        <v>6</v>
      </c>
      <c r="D104" s="161" t="s">
        <v>93</v>
      </c>
      <c r="E104" s="195">
        <v>750000</v>
      </c>
      <c r="F104" s="195">
        <f>C104*E104</f>
        <v>4500000</v>
      </c>
      <c r="G104" s="163" t="s">
        <v>1223</v>
      </c>
      <c r="L104" s="23"/>
      <c r="M104" s="23"/>
      <c r="Q104" s="23">
        <f>F104</f>
        <v>4500000</v>
      </c>
    </row>
    <row r="105" spans="1:18" x14ac:dyDescent="0.25">
      <c r="A105" s="176"/>
      <c r="B105" s="177"/>
      <c r="C105" s="163"/>
      <c r="D105" s="161"/>
      <c r="E105" s="195"/>
      <c r="F105" s="195"/>
      <c r="G105" s="163"/>
    </row>
    <row r="106" spans="1:18" ht="24.75" x14ac:dyDescent="0.25">
      <c r="A106" s="167" t="s">
        <v>604</v>
      </c>
      <c r="B106" s="386" t="s">
        <v>273</v>
      </c>
      <c r="C106" s="163"/>
      <c r="D106" s="161"/>
      <c r="E106" s="195"/>
      <c r="F106" s="179"/>
      <c r="G106" s="163"/>
      <c r="L106" s="23"/>
    </row>
    <row r="107" spans="1:18" ht="24.75" x14ac:dyDescent="0.25">
      <c r="A107" s="167"/>
      <c r="B107" s="177" t="s">
        <v>605</v>
      </c>
      <c r="C107" s="163">
        <v>5832</v>
      </c>
      <c r="D107" s="163" t="s">
        <v>606</v>
      </c>
      <c r="E107" s="195">
        <v>1000</v>
      </c>
      <c r="F107" s="195">
        <f t="shared" ref="F107:F116" si="8">C107*E107</f>
        <v>5832000</v>
      </c>
      <c r="G107" s="197" t="s">
        <v>2178</v>
      </c>
      <c r="L107" s="23"/>
      <c r="R107" s="23">
        <f>F107</f>
        <v>5832000</v>
      </c>
    </row>
    <row r="108" spans="1:18" ht="24.75" x14ac:dyDescent="0.25">
      <c r="A108" s="167"/>
      <c r="B108" s="177" t="s">
        <v>1623</v>
      </c>
      <c r="C108" s="163">
        <v>1</v>
      </c>
      <c r="D108" s="163" t="s">
        <v>566</v>
      </c>
      <c r="E108" s="195">
        <v>150000</v>
      </c>
      <c r="F108" s="195">
        <f>E108*C108</f>
        <v>150000</v>
      </c>
      <c r="G108" s="197" t="s">
        <v>2178</v>
      </c>
      <c r="L108" s="23"/>
      <c r="R108" s="23">
        <f t="shared" ref="R108:R116" si="9">F108</f>
        <v>150000</v>
      </c>
    </row>
    <row r="109" spans="1:18" ht="24.75" x14ac:dyDescent="0.25">
      <c r="A109" s="167"/>
      <c r="B109" s="177" t="s">
        <v>1624</v>
      </c>
      <c r="C109" s="163">
        <v>2</v>
      </c>
      <c r="D109" s="163" t="s">
        <v>566</v>
      </c>
      <c r="E109" s="195">
        <v>150000</v>
      </c>
      <c r="F109" s="195">
        <f>E109*C109</f>
        <v>300000</v>
      </c>
      <c r="G109" s="197" t="s">
        <v>2178</v>
      </c>
      <c r="L109" s="23"/>
      <c r="R109" s="23">
        <f t="shared" si="9"/>
        <v>300000</v>
      </c>
    </row>
    <row r="110" spans="1:18" ht="24.75" x14ac:dyDescent="0.25">
      <c r="A110" s="167"/>
      <c r="B110" s="177" t="s">
        <v>607</v>
      </c>
      <c r="C110" s="163">
        <v>12</v>
      </c>
      <c r="D110" s="163" t="s">
        <v>175</v>
      </c>
      <c r="E110" s="195">
        <v>150000</v>
      </c>
      <c r="F110" s="195">
        <f t="shared" si="8"/>
        <v>1800000</v>
      </c>
      <c r="G110" s="197" t="s">
        <v>2178</v>
      </c>
      <c r="L110" s="23"/>
      <c r="R110" s="23">
        <f t="shared" si="9"/>
        <v>1800000</v>
      </c>
    </row>
    <row r="111" spans="1:18" ht="24.75" x14ac:dyDescent="0.25">
      <c r="A111" s="167"/>
      <c r="B111" s="177" t="s">
        <v>608</v>
      </c>
      <c r="C111" s="163">
        <v>12</v>
      </c>
      <c r="D111" s="163" t="s">
        <v>175</v>
      </c>
      <c r="E111" s="195">
        <v>110000</v>
      </c>
      <c r="F111" s="195">
        <f t="shared" si="8"/>
        <v>1320000</v>
      </c>
      <c r="G111" s="197" t="s">
        <v>2178</v>
      </c>
      <c r="L111" s="23"/>
      <c r="R111" s="23">
        <f t="shared" si="9"/>
        <v>1320000</v>
      </c>
    </row>
    <row r="112" spans="1:18" ht="24.75" x14ac:dyDescent="0.25">
      <c r="A112" s="167"/>
      <c r="B112" s="177" t="s">
        <v>609</v>
      </c>
      <c r="C112" s="163">
        <v>14</v>
      </c>
      <c r="D112" s="163" t="s">
        <v>126</v>
      </c>
      <c r="E112" s="195">
        <v>30000</v>
      </c>
      <c r="F112" s="195">
        <f t="shared" si="8"/>
        <v>420000</v>
      </c>
      <c r="G112" s="197" t="s">
        <v>2178</v>
      </c>
      <c r="L112" s="23"/>
      <c r="R112" s="23">
        <f t="shared" si="9"/>
        <v>420000</v>
      </c>
    </row>
    <row r="113" spans="1:23" ht="24.75" x14ac:dyDescent="0.25">
      <c r="A113" s="167"/>
      <c r="B113" s="177" t="s">
        <v>610</v>
      </c>
      <c r="C113" s="163">
        <v>2</v>
      </c>
      <c r="D113" s="163" t="s">
        <v>126</v>
      </c>
      <c r="E113" s="195">
        <v>2500000</v>
      </c>
      <c r="F113" s="195">
        <f t="shared" si="8"/>
        <v>5000000</v>
      </c>
      <c r="G113" s="197" t="s">
        <v>2178</v>
      </c>
      <c r="L113" s="23"/>
      <c r="R113" s="23">
        <f t="shared" si="9"/>
        <v>5000000</v>
      </c>
    </row>
    <row r="114" spans="1:23" ht="24.75" x14ac:dyDescent="0.25">
      <c r="A114" s="167"/>
      <c r="B114" s="177" t="s">
        <v>611</v>
      </c>
      <c r="C114" s="163">
        <v>1</v>
      </c>
      <c r="D114" s="163" t="s">
        <v>287</v>
      </c>
      <c r="E114" s="195">
        <v>50000</v>
      </c>
      <c r="F114" s="195">
        <f t="shared" si="8"/>
        <v>50000</v>
      </c>
      <c r="G114" s="197" t="s">
        <v>2178</v>
      </c>
      <c r="L114" s="23"/>
      <c r="R114" s="23">
        <f t="shared" si="9"/>
        <v>50000</v>
      </c>
    </row>
    <row r="115" spans="1:23" ht="24.75" x14ac:dyDescent="0.25">
      <c r="A115" s="167"/>
      <c r="B115" s="177" t="s">
        <v>612</v>
      </c>
      <c r="C115" s="163">
        <v>1</v>
      </c>
      <c r="D115" s="163" t="s">
        <v>287</v>
      </c>
      <c r="E115" s="195">
        <v>50000</v>
      </c>
      <c r="F115" s="195">
        <f t="shared" si="8"/>
        <v>50000</v>
      </c>
      <c r="G115" s="197" t="s">
        <v>2178</v>
      </c>
      <c r="L115" s="23"/>
      <c r="R115" s="23">
        <f t="shared" si="9"/>
        <v>50000</v>
      </c>
    </row>
    <row r="116" spans="1:23" ht="24.75" x14ac:dyDescent="0.25">
      <c r="A116" s="167"/>
      <c r="B116" s="177" t="s">
        <v>613</v>
      </c>
      <c r="C116" s="163">
        <v>1</v>
      </c>
      <c r="D116" s="163" t="s">
        <v>287</v>
      </c>
      <c r="E116" s="195">
        <v>50000</v>
      </c>
      <c r="F116" s="195">
        <f t="shared" si="8"/>
        <v>50000</v>
      </c>
      <c r="G116" s="197" t="s">
        <v>2178</v>
      </c>
      <c r="L116" s="23"/>
      <c r="R116" s="23">
        <f t="shared" si="9"/>
        <v>50000</v>
      </c>
    </row>
    <row r="117" spans="1:23" x14ac:dyDescent="0.25">
      <c r="A117" s="167"/>
      <c r="B117" s="177"/>
      <c r="C117" s="163"/>
      <c r="D117" s="163"/>
      <c r="E117" s="195"/>
      <c r="F117" s="195"/>
      <c r="G117" s="163"/>
      <c r="R117" s="23"/>
    </row>
    <row r="118" spans="1:23" x14ac:dyDescent="0.25">
      <c r="A118" s="167" t="s">
        <v>614</v>
      </c>
      <c r="B118" s="386" t="s">
        <v>173</v>
      </c>
      <c r="C118" s="163"/>
      <c r="D118" s="161"/>
      <c r="E118" s="195"/>
      <c r="F118" s="179"/>
      <c r="G118" s="163"/>
    </row>
    <row r="119" spans="1:23" ht="36.75" x14ac:dyDescent="0.25">
      <c r="A119" s="212" t="s">
        <v>615</v>
      </c>
      <c r="B119" s="386" t="s">
        <v>616</v>
      </c>
      <c r="C119" s="163"/>
      <c r="D119" s="161"/>
      <c r="E119" s="195"/>
      <c r="F119" s="179"/>
      <c r="G119" s="163"/>
      <c r="W119" s="27"/>
    </row>
    <row r="120" spans="1:23" x14ac:dyDescent="0.25">
      <c r="A120" s="167"/>
      <c r="B120" s="177" t="s">
        <v>617</v>
      </c>
      <c r="C120" s="163">
        <v>12</v>
      </c>
      <c r="D120" s="161" t="s">
        <v>21</v>
      </c>
      <c r="E120" s="195">
        <v>2100000</v>
      </c>
      <c r="F120" s="179">
        <f t="shared" ref="F120:F126" si="10">E120*C120</f>
        <v>25200000</v>
      </c>
      <c r="G120" s="163" t="s">
        <v>1777</v>
      </c>
      <c r="T120" s="27">
        <f>F120</f>
        <v>25200000</v>
      </c>
      <c r="W120" s="27"/>
    </row>
    <row r="121" spans="1:23" x14ac:dyDescent="0.25">
      <c r="A121" s="167"/>
      <c r="B121" s="177" t="s">
        <v>618</v>
      </c>
      <c r="C121" s="163">
        <v>12</v>
      </c>
      <c r="D121" s="161" t="s">
        <v>21</v>
      </c>
      <c r="E121" s="195">
        <v>1950000</v>
      </c>
      <c r="F121" s="179">
        <f t="shared" si="10"/>
        <v>23400000</v>
      </c>
      <c r="G121" s="163" t="s">
        <v>1777</v>
      </c>
      <c r="T121" s="27">
        <f t="shared" ref="T121:T129" si="11">F121</f>
        <v>23400000</v>
      </c>
      <c r="W121" s="27"/>
    </row>
    <row r="122" spans="1:23" x14ac:dyDescent="0.25">
      <c r="A122" s="167"/>
      <c r="B122" s="177" t="s">
        <v>619</v>
      </c>
      <c r="C122" s="163">
        <v>12</v>
      </c>
      <c r="D122" s="161" t="s">
        <v>21</v>
      </c>
      <c r="E122" s="195">
        <v>1800000</v>
      </c>
      <c r="F122" s="179">
        <f t="shared" si="10"/>
        <v>21600000</v>
      </c>
      <c r="G122" s="163" t="s">
        <v>1777</v>
      </c>
      <c r="T122" s="27">
        <f t="shared" si="11"/>
        <v>21600000</v>
      </c>
      <c r="W122" s="27"/>
    </row>
    <row r="123" spans="1:23" x14ac:dyDescent="0.25">
      <c r="A123" s="167"/>
      <c r="B123" s="177" t="s">
        <v>620</v>
      </c>
      <c r="C123" s="163">
        <v>12</v>
      </c>
      <c r="D123" s="161" t="s">
        <v>21</v>
      </c>
      <c r="E123" s="195">
        <v>1700000</v>
      </c>
      <c r="F123" s="179">
        <f t="shared" si="10"/>
        <v>20400000</v>
      </c>
      <c r="G123" s="163" t="s">
        <v>1777</v>
      </c>
      <c r="T123" s="27">
        <f t="shared" si="11"/>
        <v>20400000</v>
      </c>
      <c r="W123" s="27"/>
    </row>
    <row r="124" spans="1:23" x14ac:dyDescent="0.25">
      <c r="A124" s="167"/>
      <c r="B124" s="177" t="s">
        <v>621</v>
      </c>
      <c r="C124" s="163">
        <v>12</v>
      </c>
      <c r="D124" s="161" t="s">
        <v>21</v>
      </c>
      <c r="E124" s="195">
        <v>1700000</v>
      </c>
      <c r="F124" s="179">
        <f t="shared" si="10"/>
        <v>20400000</v>
      </c>
      <c r="G124" s="163" t="s">
        <v>1777</v>
      </c>
      <c r="T124" s="27">
        <f t="shared" si="11"/>
        <v>20400000</v>
      </c>
      <c r="W124" s="27"/>
    </row>
    <row r="125" spans="1:23" x14ac:dyDescent="0.25">
      <c r="A125" s="167"/>
      <c r="B125" s="177" t="s">
        <v>622</v>
      </c>
      <c r="C125" s="163">
        <v>24</v>
      </c>
      <c r="D125" s="161" t="s">
        <v>21</v>
      </c>
      <c r="E125" s="195">
        <v>500000</v>
      </c>
      <c r="F125" s="179">
        <f t="shared" si="10"/>
        <v>12000000</v>
      </c>
      <c r="G125" s="163" t="s">
        <v>1777</v>
      </c>
      <c r="T125" s="27">
        <f t="shared" si="11"/>
        <v>12000000</v>
      </c>
      <c r="W125" s="27"/>
    </row>
    <row r="126" spans="1:23" x14ac:dyDescent="0.25">
      <c r="A126" s="167"/>
      <c r="B126" s="177" t="s">
        <v>623</v>
      </c>
      <c r="C126" s="163">
        <v>12</v>
      </c>
      <c r="D126" s="161" t="s">
        <v>21</v>
      </c>
      <c r="E126" s="195">
        <v>1200000</v>
      </c>
      <c r="F126" s="179">
        <f t="shared" si="10"/>
        <v>14400000</v>
      </c>
      <c r="G126" s="163" t="s">
        <v>1777</v>
      </c>
      <c r="T126" s="27">
        <f t="shared" si="11"/>
        <v>14400000</v>
      </c>
      <c r="W126" s="27"/>
    </row>
    <row r="127" spans="1:23" x14ac:dyDescent="0.25">
      <c r="A127" s="167"/>
      <c r="B127" s="177" t="s">
        <v>624</v>
      </c>
      <c r="C127" s="163"/>
      <c r="D127" s="161"/>
      <c r="E127" s="195"/>
      <c r="F127" s="179"/>
      <c r="G127" s="163"/>
      <c r="T127" s="27"/>
      <c r="W127" s="27"/>
    </row>
    <row r="128" spans="1:23" x14ac:dyDescent="0.25">
      <c r="A128" s="167"/>
      <c r="B128" s="177" t="s">
        <v>625</v>
      </c>
      <c r="C128" s="163">
        <v>12</v>
      </c>
      <c r="D128" s="161" t="s">
        <v>21</v>
      </c>
      <c r="E128" s="195">
        <v>250000</v>
      </c>
      <c r="F128" s="179">
        <f>E128*C128</f>
        <v>3000000</v>
      </c>
      <c r="G128" s="163" t="s">
        <v>1777</v>
      </c>
      <c r="T128" s="27">
        <f t="shared" si="11"/>
        <v>3000000</v>
      </c>
      <c r="W128" s="27"/>
    </row>
    <row r="129" spans="1:23" x14ac:dyDescent="0.25">
      <c r="A129" s="167"/>
      <c r="B129" s="177" t="s">
        <v>626</v>
      </c>
      <c r="C129" s="163">
        <v>12</v>
      </c>
      <c r="D129" s="161" t="s">
        <v>21</v>
      </c>
      <c r="E129" s="195">
        <v>200000</v>
      </c>
      <c r="F129" s="179">
        <f>E129*C129</f>
        <v>2400000</v>
      </c>
      <c r="G129" s="163" t="s">
        <v>1777</v>
      </c>
      <c r="T129" s="27">
        <f t="shared" si="11"/>
        <v>2400000</v>
      </c>
      <c r="W129" s="27"/>
    </row>
    <row r="130" spans="1:23" x14ac:dyDescent="0.25">
      <c r="A130" s="167"/>
      <c r="B130" s="177"/>
      <c r="C130" s="163"/>
      <c r="D130" s="161"/>
      <c r="E130" s="195"/>
      <c r="F130" s="179"/>
      <c r="G130" s="163"/>
      <c r="W130" s="27"/>
    </row>
    <row r="131" spans="1:23" ht="24.75" x14ac:dyDescent="0.25">
      <c r="A131" s="167" t="s">
        <v>627</v>
      </c>
      <c r="B131" s="386" t="s">
        <v>628</v>
      </c>
      <c r="C131" s="163"/>
      <c r="D131" s="161"/>
      <c r="E131" s="195"/>
      <c r="F131" s="179"/>
      <c r="G131" s="163"/>
      <c r="W131" s="27"/>
    </row>
    <row r="132" spans="1:23" x14ac:dyDescent="0.25">
      <c r="A132" s="167" t="s">
        <v>629</v>
      </c>
      <c r="B132" s="177" t="s">
        <v>630</v>
      </c>
      <c r="C132" s="163">
        <v>12</v>
      </c>
      <c r="D132" s="161" t="s">
        <v>175</v>
      </c>
      <c r="E132" s="195">
        <v>2000000</v>
      </c>
      <c r="F132" s="179">
        <f>E132*C132</f>
        <v>24000000</v>
      </c>
      <c r="G132" s="163" t="s">
        <v>1506</v>
      </c>
      <c r="L132" s="27">
        <f>F132</f>
        <v>24000000</v>
      </c>
      <c r="Q132" s="27"/>
    </row>
    <row r="133" spans="1:23" x14ac:dyDescent="0.25">
      <c r="A133" s="167" t="s">
        <v>631</v>
      </c>
      <c r="B133" s="177" t="s">
        <v>632</v>
      </c>
      <c r="C133" s="163">
        <v>12</v>
      </c>
      <c r="D133" s="161" t="s">
        <v>175</v>
      </c>
      <c r="E133" s="195">
        <v>250000</v>
      </c>
      <c r="F133" s="179">
        <f>E133*C133</f>
        <v>3000000</v>
      </c>
      <c r="G133" s="163" t="s">
        <v>1506</v>
      </c>
      <c r="L133" s="27">
        <f t="shared" ref="L133:L134" si="12">F133</f>
        <v>3000000</v>
      </c>
      <c r="Q133" s="27"/>
    </row>
    <row r="134" spans="1:23" x14ac:dyDescent="0.25">
      <c r="A134" s="167" t="s">
        <v>633</v>
      </c>
      <c r="B134" s="177" t="s">
        <v>196</v>
      </c>
      <c r="C134" s="163">
        <v>12</v>
      </c>
      <c r="D134" s="161" t="s">
        <v>175</v>
      </c>
      <c r="E134" s="195">
        <v>300000</v>
      </c>
      <c r="F134" s="179">
        <f>E134*C134</f>
        <v>3600000</v>
      </c>
      <c r="G134" s="163" t="s">
        <v>1506</v>
      </c>
      <c r="L134" s="27">
        <f t="shared" si="12"/>
        <v>3600000</v>
      </c>
      <c r="Q134" s="27"/>
    </row>
    <row r="135" spans="1:23" x14ac:dyDescent="0.25">
      <c r="A135" s="167" t="s">
        <v>1625</v>
      </c>
      <c r="B135" s="386" t="s">
        <v>206</v>
      </c>
      <c r="C135" s="163"/>
      <c r="D135" s="161"/>
      <c r="E135" s="195"/>
      <c r="F135" s="179"/>
      <c r="G135" s="163"/>
    </row>
    <row r="136" spans="1:23" x14ac:dyDescent="0.25">
      <c r="A136" s="167" t="s">
        <v>1626</v>
      </c>
      <c r="B136" s="386" t="s">
        <v>1627</v>
      </c>
      <c r="C136" s="163"/>
      <c r="D136" s="161"/>
      <c r="E136" s="195"/>
      <c r="F136" s="179"/>
      <c r="G136" s="163"/>
    </row>
    <row r="137" spans="1:23" ht="24.75" x14ac:dyDescent="0.25">
      <c r="A137" s="167"/>
      <c r="B137" s="177" t="s">
        <v>2604</v>
      </c>
      <c r="C137" s="163">
        <v>1</v>
      </c>
      <c r="D137" s="161" t="s">
        <v>171</v>
      </c>
      <c r="E137" s="195">
        <v>3000000</v>
      </c>
      <c r="F137" s="179">
        <f>E137*C137</f>
        <v>3000000</v>
      </c>
      <c r="G137" s="163" t="s">
        <v>1223</v>
      </c>
      <c r="L137" s="27"/>
      <c r="Q137" s="27">
        <f>F137</f>
        <v>3000000</v>
      </c>
    </row>
    <row r="138" spans="1:23" x14ac:dyDescent="0.25">
      <c r="A138" s="167"/>
      <c r="B138" s="201" t="s">
        <v>2183</v>
      </c>
      <c r="C138" s="163">
        <v>6</v>
      </c>
      <c r="D138" s="161" t="s">
        <v>110</v>
      </c>
      <c r="E138" s="202">
        <v>1000000</v>
      </c>
      <c r="F138" s="179">
        <f t="shared" ref="F138:F139" si="13">E138*C138</f>
        <v>6000000</v>
      </c>
      <c r="G138" s="163" t="s">
        <v>1223</v>
      </c>
      <c r="L138" s="27"/>
      <c r="Q138" s="27">
        <f>F138</f>
        <v>6000000</v>
      </c>
    </row>
    <row r="139" spans="1:23" x14ac:dyDescent="0.25">
      <c r="A139" s="167"/>
      <c r="B139" s="201" t="s">
        <v>560</v>
      </c>
      <c r="C139" s="163">
        <v>1</v>
      </c>
      <c r="D139" s="161" t="s">
        <v>110</v>
      </c>
      <c r="E139" s="202">
        <v>1000000</v>
      </c>
      <c r="F139" s="179">
        <f t="shared" si="13"/>
        <v>1000000</v>
      </c>
      <c r="G139" s="163" t="s">
        <v>1223</v>
      </c>
      <c r="L139" s="27"/>
      <c r="Q139" s="27">
        <f>F139</f>
        <v>1000000</v>
      </c>
    </row>
    <row r="140" spans="1:23" x14ac:dyDescent="0.25">
      <c r="A140" s="167" t="s">
        <v>1628</v>
      </c>
      <c r="B140" s="386" t="s">
        <v>1629</v>
      </c>
      <c r="C140" s="163"/>
      <c r="D140" s="161"/>
      <c r="E140" s="195"/>
      <c r="F140" s="179"/>
      <c r="G140" s="163"/>
      <c r="L140" s="27"/>
    </row>
    <row r="141" spans="1:23" ht="24.75" x14ac:dyDescent="0.25">
      <c r="A141" s="167"/>
      <c r="B141" s="177" t="s">
        <v>1630</v>
      </c>
      <c r="C141" s="163">
        <v>1</v>
      </c>
      <c r="D141" s="161" t="s">
        <v>110</v>
      </c>
      <c r="E141" s="179">
        <v>1959000</v>
      </c>
      <c r="F141" s="179">
        <f>E141*C141</f>
        <v>1959000</v>
      </c>
      <c r="G141" s="197" t="s">
        <v>2178</v>
      </c>
      <c r="L141" s="27"/>
      <c r="P141" s="27"/>
      <c r="Q141" s="27"/>
      <c r="R141" s="27">
        <f>F141</f>
        <v>1959000</v>
      </c>
    </row>
    <row r="142" spans="1:23" x14ac:dyDescent="0.25">
      <c r="A142" s="167" t="s">
        <v>1631</v>
      </c>
      <c r="B142" s="386" t="s">
        <v>397</v>
      </c>
      <c r="C142" s="163"/>
      <c r="D142" s="161"/>
      <c r="E142" s="195"/>
      <c r="F142" s="179"/>
      <c r="G142" s="163"/>
    </row>
    <row r="143" spans="1:23" x14ac:dyDescent="0.25">
      <c r="A143" s="167" t="s">
        <v>1632</v>
      </c>
      <c r="B143" s="386" t="s">
        <v>1633</v>
      </c>
      <c r="C143" s="163"/>
      <c r="D143" s="161"/>
      <c r="E143" s="195"/>
      <c r="F143" s="179"/>
      <c r="G143" s="163"/>
    </row>
    <row r="144" spans="1:23" ht="46.5" customHeight="1" x14ac:dyDescent="0.25">
      <c r="A144" s="167" t="s">
        <v>1634</v>
      </c>
      <c r="B144" s="386" t="s">
        <v>1635</v>
      </c>
      <c r="C144" s="163"/>
      <c r="D144" s="161"/>
      <c r="E144" s="195"/>
      <c r="F144" s="179"/>
      <c r="G144" s="163"/>
    </row>
    <row r="145" spans="1:17" x14ac:dyDescent="0.25">
      <c r="A145" s="167"/>
      <c r="B145" s="177" t="s">
        <v>2605</v>
      </c>
      <c r="C145" s="163">
        <v>25</v>
      </c>
      <c r="D145" s="161" t="s">
        <v>1275</v>
      </c>
      <c r="E145" s="195">
        <v>200000</v>
      </c>
      <c r="F145" s="179">
        <f>E145*C145</f>
        <v>5000000</v>
      </c>
      <c r="G145" s="197" t="s">
        <v>1223</v>
      </c>
      <c r="L145" s="27"/>
      <c r="P145" s="27"/>
      <c r="Q145" s="27">
        <f>F145</f>
        <v>5000000</v>
      </c>
    </row>
    <row r="146" spans="1:17" x14ac:dyDescent="0.25">
      <c r="A146" s="167"/>
      <c r="B146" s="177"/>
      <c r="C146" s="177"/>
      <c r="D146" s="177"/>
      <c r="E146" s="195"/>
      <c r="F146" s="179"/>
      <c r="G146" s="177"/>
    </row>
    <row r="147" spans="1:17" x14ac:dyDescent="0.25">
      <c r="A147" s="1944" t="s">
        <v>26</v>
      </c>
      <c r="B147" s="1945"/>
      <c r="C147" s="177"/>
      <c r="D147" s="177"/>
      <c r="E147" s="177"/>
      <c r="F147" s="392">
        <f>SUM(F12:F146)</f>
        <v>276660000</v>
      </c>
      <c r="G147" s="177"/>
      <c r="K147" s="139"/>
    </row>
    <row r="148" spans="1:17" x14ac:dyDescent="0.25">
      <c r="A148" s="1926" t="s">
        <v>516</v>
      </c>
      <c r="B148" s="1926"/>
      <c r="C148" s="152" t="s">
        <v>27</v>
      </c>
      <c r="D148" s="1926" t="s">
        <v>3654</v>
      </c>
      <c r="E148" s="1926"/>
      <c r="F148" s="1926"/>
      <c r="G148" s="152"/>
    </row>
    <row r="149" spans="1:17" x14ac:dyDescent="0.25">
      <c r="A149" s="1926" t="s">
        <v>28</v>
      </c>
      <c r="B149" s="1926"/>
      <c r="C149" s="152"/>
      <c r="D149" s="1927" t="s">
        <v>3570</v>
      </c>
      <c r="E149" s="1927"/>
      <c r="F149" s="1927"/>
      <c r="G149" s="152"/>
    </row>
    <row r="150" spans="1:17" x14ac:dyDescent="0.25">
      <c r="A150" s="150"/>
      <c r="B150" s="151"/>
      <c r="C150" s="152"/>
      <c r="D150" s="153"/>
      <c r="E150" s="182"/>
      <c r="F150" s="1208"/>
      <c r="G150" s="152"/>
    </row>
    <row r="151" spans="1:17" x14ac:dyDescent="0.25">
      <c r="A151" s="150"/>
      <c r="B151" s="151"/>
      <c r="C151" s="152"/>
      <c r="D151" s="153"/>
      <c r="E151" s="182"/>
      <c r="F151" s="1208"/>
      <c r="G151" s="152"/>
    </row>
    <row r="152" spans="1:17" x14ac:dyDescent="0.25">
      <c r="A152" s="1926"/>
      <c r="B152" s="1926"/>
      <c r="C152" s="152"/>
      <c r="D152" s="153"/>
      <c r="E152" s="2003"/>
      <c r="F152" s="2003"/>
      <c r="G152" s="152"/>
    </row>
    <row r="153" spans="1:17" x14ac:dyDescent="0.25">
      <c r="A153" s="1926" t="s">
        <v>29</v>
      </c>
      <c r="B153" s="1926"/>
      <c r="C153" s="152"/>
      <c r="D153" s="1926" t="s">
        <v>3548</v>
      </c>
      <c r="E153" s="1926"/>
      <c r="F153" s="1926"/>
      <c r="G153" s="152"/>
    </row>
    <row r="154" spans="1:17" s="393" customFormat="1" ht="12" x14ac:dyDescent="0.2">
      <c r="A154" s="1926" t="s">
        <v>0</v>
      </c>
      <c r="B154" s="1926"/>
      <c r="C154" s="1926"/>
      <c r="D154" s="1926"/>
      <c r="E154" s="1926"/>
      <c r="F154" s="1926"/>
      <c r="G154" s="149"/>
    </row>
    <row r="155" spans="1:17" s="393" customFormat="1" ht="12" x14ac:dyDescent="0.2">
      <c r="A155" s="1926" t="s">
        <v>1</v>
      </c>
      <c r="B155" s="1926"/>
      <c r="C155" s="1926"/>
      <c r="D155" s="1926"/>
      <c r="E155" s="1926"/>
      <c r="F155" s="1926"/>
      <c r="G155" s="149"/>
    </row>
    <row r="156" spans="1:17" s="393" customFormat="1" ht="12" x14ac:dyDescent="0.2">
      <c r="A156" s="1926" t="s">
        <v>2398</v>
      </c>
      <c r="B156" s="1926"/>
      <c r="C156" s="1926"/>
      <c r="D156" s="1926"/>
      <c r="E156" s="1926"/>
      <c r="F156" s="1926"/>
      <c r="G156" s="149"/>
    </row>
    <row r="157" spans="1:17" s="393" customFormat="1" ht="12" x14ac:dyDescent="0.2">
      <c r="A157" s="152"/>
      <c r="B157" s="152"/>
      <c r="C157" s="152"/>
      <c r="D157" s="182"/>
      <c r="E157" s="191"/>
      <c r="F157" s="152"/>
      <c r="G157" s="149"/>
    </row>
    <row r="158" spans="1:17" s="393" customFormat="1" ht="12" x14ac:dyDescent="0.2">
      <c r="A158" s="182" t="s">
        <v>1386</v>
      </c>
      <c r="B158" s="182" t="s">
        <v>827</v>
      </c>
      <c r="C158" s="182"/>
      <c r="D158" s="182"/>
      <c r="E158" s="191" t="s">
        <v>6</v>
      </c>
      <c r="F158" s="191" t="s">
        <v>432</v>
      </c>
      <c r="G158" s="149"/>
    </row>
    <row r="159" spans="1:17" s="393" customFormat="1" ht="12" x14ac:dyDescent="0.2">
      <c r="A159" s="182" t="s">
        <v>837</v>
      </c>
      <c r="B159" s="182" t="s">
        <v>1387</v>
      </c>
      <c r="C159" s="182"/>
      <c r="D159" s="182"/>
      <c r="E159" s="394"/>
      <c r="F159" s="182"/>
      <c r="G159" s="149"/>
    </row>
    <row r="160" spans="1:17" s="393" customFormat="1" ht="75" customHeight="1" x14ac:dyDescent="0.2">
      <c r="A160" s="184" t="s">
        <v>1388</v>
      </c>
      <c r="B160" s="217" t="s">
        <v>3116</v>
      </c>
      <c r="C160" s="217"/>
      <c r="D160" s="182"/>
      <c r="E160" s="157" t="s">
        <v>482</v>
      </c>
      <c r="F160" s="157"/>
      <c r="G160" s="149"/>
    </row>
    <row r="161" spans="1:7" s="393" customFormat="1" ht="12" x14ac:dyDescent="0.2">
      <c r="A161" s="152" t="s">
        <v>886</v>
      </c>
      <c r="B161" s="152" t="s">
        <v>60</v>
      </c>
      <c r="C161" s="152"/>
      <c r="D161" s="152"/>
      <c r="E161" s="152"/>
      <c r="F161" s="152"/>
      <c r="G161" s="149"/>
    </row>
    <row r="162" spans="1:7" s="393" customFormat="1" ht="12" x14ac:dyDescent="0.2">
      <c r="A162" s="152" t="s">
        <v>61</v>
      </c>
      <c r="B162" s="152" t="s">
        <v>62</v>
      </c>
      <c r="C162" s="152"/>
      <c r="D162" s="182"/>
      <c r="E162" s="191"/>
      <c r="F162" s="152"/>
      <c r="G162" s="149"/>
    </row>
    <row r="163" spans="1:7" s="393" customFormat="1" ht="9" customHeight="1" x14ac:dyDescent="0.2">
      <c r="A163" s="182"/>
      <c r="B163" s="182"/>
      <c r="C163" s="152"/>
      <c r="D163" s="182"/>
      <c r="E163" s="191"/>
      <c r="F163" s="152"/>
      <c r="G163" s="149"/>
    </row>
    <row r="164" spans="1:7" s="393" customFormat="1" ht="24" x14ac:dyDescent="0.2">
      <c r="A164" s="162" t="s">
        <v>30</v>
      </c>
      <c r="B164" s="162" t="s">
        <v>11</v>
      </c>
      <c r="C164" s="1959" t="s">
        <v>12</v>
      </c>
      <c r="D164" s="1960"/>
      <c r="E164" s="395" t="s">
        <v>13</v>
      </c>
      <c r="F164" s="231" t="s">
        <v>14</v>
      </c>
      <c r="G164" s="164" t="s">
        <v>341</v>
      </c>
    </row>
    <row r="165" spans="1:7" s="393" customFormat="1" ht="12" x14ac:dyDescent="0.2">
      <c r="A165" s="161">
        <v>1</v>
      </c>
      <c r="B165" s="161">
        <v>2</v>
      </c>
      <c r="C165" s="1931">
        <v>3</v>
      </c>
      <c r="D165" s="1932"/>
      <c r="E165" s="396">
        <v>4</v>
      </c>
      <c r="F165" s="169">
        <v>5</v>
      </c>
      <c r="G165" s="166">
        <v>6</v>
      </c>
    </row>
    <row r="166" spans="1:7" s="393" customFormat="1" ht="12" x14ac:dyDescent="0.2">
      <c r="A166" s="161"/>
      <c r="B166" s="343" t="s">
        <v>1389</v>
      </c>
      <c r="C166" s="169"/>
      <c r="D166" s="170"/>
      <c r="E166" s="396"/>
      <c r="F166" s="169"/>
      <c r="G166" s="397"/>
    </row>
    <row r="167" spans="1:7" s="393" customFormat="1" ht="12" x14ac:dyDescent="0.2">
      <c r="A167" s="176" t="s">
        <v>1390</v>
      </c>
      <c r="B167" s="386" t="s">
        <v>277</v>
      </c>
      <c r="C167" s="206"/>
      <c r="D167" s="362"/>
      <c r="E167" s="194"/>
      <c r="F167" s="398"/>
      <c r="G167" s="325"/>
    </row>
    <row r="168" spans="1:7" s="393" customFormat="1" ht="12" x14ac:dyDescent="0.2">
      <c r="A168" s="193" t="s">
        <v>1391</v>
      </c>
      <c r="B168" s="386" t="s">
        <v>84</v>
      </c>
      <c r="C168" s="206"/>
      <c r="D168" s="362"/>
      <c r="E168" s="194"/>
      <c r="F168" s="398"/>
      <c r="G168" s="325"/>
    </row>
    <row r="169" spans="1:7" s="393" customFormat="1" ht="24" x14ac:dyDescent="0.2">
      <c r="A169" s="193" t="s">
        <v>1392</v>
      </c>
      <c r="B169" s="386" t="s">
        <v>679</v>
      </c>
      <c r="C169" s="206"/>
      <c r="D169" s="362"/>
      <c r="E169" s="194"/>
      <c r="F169" s="398"/>
      <c r="G169" s="325"/>
    </row>
    <row r="170" spans="1:7" s="393" customFormat="1" ht="12" x14ac:dyDescent="0.2">
      <c r="A170" s="193"/>
      <c r="B170" s="177" t="s">
        <v>2184</v>
      </c>
      <c r="C170" s="178">
        <v>20</v>
      </c>
      <c r="D170" s="207" t="s">
        <v>106</v>
      </c>
      <c r="E170" s="194">
        <v>73000</v>
      </c>
      <c r="F170" s="398">
        <f>E170*C170</f>
        <v>1460000</v>
      </c>
      <c r="G170" s="325"/>
    </row>
    <row r="171" spans="1:7" s="393" customFormat="1" ht="12" x14ac:dyDescent="0.2">
      <c r="A171" s="193"/>
      <c r="B171" s="177" t="s">
        <v>1571</v>
      </c>
      <c r="C171" s="169">
        <v>20</v>
      </c>
      <c r="D171" s="170" t="s">
        <v>391</v>
      </c>
      <c r="E171" s="388">
        <v>6000</v>
      </c>
      <c r="F171" s="398">
        <f t="shared" ref="F171:F175" si="14">E171*C171</f>
        <v>120000</v>
      </c>
      <c r="G171" s="325"/>
    </row>
    <row r="172" spans="1:7" s="393" customFormat="1" ht="12" x14ac:dyDescent="0.2">
      <c r="A172" s="193"/>
      <c r="B172" s="177" t="s">
        <v>564</v>
      </c>
      <c r="C172" s="169">
        <v>20</v>
      </c>
      <c r="D172" s="170" t="s">
        <v>391</v>
      </c>
      <c r="E172" s="388">
        <v>8000</v>
      </c>
      <c r="F172" s="398">
        <f t="shared" si="14"/>
        <v>160000</v>
      </c>
      <c r="G172" s="325"/>
    </row>
    <row r="173" spans="1:7" s="393" customFormat="1" ht="12" x14ac:dyDescent="0.2">
      <c r="A173" s="193"/>
      <c r="B173" s="177" t="s">
        <v>2632</v>
      </c>
      <c r="C173" s="169">
        <v>20</v>
      </c>
      <c r="D173" s="170" t="s">
        <v>391</v>
      </c>
      <c r="E173" s="388">
        <v>6000</v>
      </c>
      <c r="F173" s="398">
        <f t="shared" si="14"/>
        <v>120000</v>
      </c>
      <c r="G173" s="325"/>
    </row>
    <row r="174" spans="1:7" s="393" customFormat="1" ht="12" x14ac:dyDescent="0.2">
      <c r="A174" s="193"/>
      <c r="B174" s="177" t="s">
        <v>1393</v>
      </c>
      <c r="C174" s="178">
        <v>40</v>
      </c>
      <c r="D174" s="170" t="s">
        <v>1532</v>
      </c>
      <c r="E174" s="388">
        <v>11000</v>
      </c>
      <c r="F174" s="398">
        <f t="shared" si="14"/>
        <v>440000</v>
      </c>
      <c r="G174" s="325"/>
    </row>
    <row r="175" spans="1:7" s="393" customFormat="1" ht="12" x14ac:dyDescent="0.2">
      <c r="A175" s="257"/>
      <c r="B175" s="177" t="s">
        <v>2633</v>
      </c>
      <c r="C175" s="178">
        <v>10</v>
      </c>
      <c r="D175" s="170" t="s">
        <v>106</v>
      </c>
      <c r="E175" s="388">
        <v>9000</v>
      </c>
      <c r="F175" s="398">
        <f t="shared" si="14"/>
        <v>90000</v>
      </c>
      <c r="G175" s="325"/>
    </row>
    <row r="176" spans="1:7" s="393" customFormat="1" ht="24" x14ac:dyDescent="0.2">
      <c r="A176" s="257" t="s">
        <v>1394</v>
      </c>
      <c r="B176" s="386" t="s">
        <v>1395</v>
      </c>
      <c r="C176" s="178"/>
      <c r="D176" s="362"/>
      <c r="E176" s="194"/>
      <c r="F176" s="398"/>
      <c r="G176" s="325"/>
    </row>
    <row r="177" spans="1:20" s="393" customFormat="1" ht="24" x14ac:dyDescent="0.2">
      <c r="A177" s="257"/>
      <c r="B177" s="177" t="s">
        <v>2185</v>
      </c>
      <c r="C177" s="178">
        <f>22*21</f>
        <v>462</v>
      </c>
      <c r="D177" s="170" t="s">
        <v>269</v>
      </c>
      <c r="E177" s="194">
        <v>20000</v>
      </c>
      <c r="F177" s="398">
        <f>E177*C177</f>
        <v>9240000</v>
      </c>
      <c r="G177" s="325"/>
    </row>
    <row r="178" spans="1:20" s="393" customFormat="1" ht="24" x14ac:dyDescent="0.2">
      <c r="A178" s="193" t="s">
        <v>1396</v>
      </c>
      <c r="B178" s="386" t="s">
        <v>325</v>
      </c>
      <c r="C178" s="178"/>
      <c r="D178" s="170"/>
      <c r="E178" s="179"/>
      <c r="F178" s="398"/>
      <c r="G178" s="325"/>
    </row>
    <row r="179" spans="1:20" s="393" customFormat="1" ht="12" x14ac:dyDescent="0.2">
      <c r="A179" s="193"/>
      <c r="B179" s="177" t="s">
        <v>326</v>
      </c>
      <c r="C179" s="178">
        <v>1</v>
      </c>
      <c r="D179" s="170" t="s">
        <v>391</v>
      </c>
      <c r="E179" s="179">
        <v>90000</v>
      </c>
      <c r="F179" s="398">
        <f>E179*C179</f>
        <v>90000</v>
      </c>
      <c r="G179" s="325"/>
    </row>
    <row r="180" spans="1:20" s="393" customFormat="1" ht="12" x14ac:dyDescent="0.2">
      <c r="A180" s="193" t="s">
        <v>1375</v>
      </c>
      <c r="B180" s="386" t="s">
        <v>478</v>
      </c>
      <c r="C180" s="178"/>
      <c r="D180" s="170"/>
      <c r="E180" s="194"/>
      <c r="F180" s="398"/>
      <c r="G180" s="325"/>
    </row>
    <row r="181" spans="1:20" s="393" customFormat="1" ht="36" x14ac:dyDescent="0.2">
      <c r="A181" s="193" t="s">
        <v>1397</v>
      </c>
      <c r="B181" s="386" t="s">
        <v>484</v>
      </c>
      <c r="C181" s="178"/>
      <c r="D181" s="170"/>
      <c r="E181" s="194"/>
      <c r="F181" s="398"/>
      <c r="G181" s="325"/>
    </row>
    <row r="182" spans="1:20" s="393" customFormat="1" ht="12" x14ac:dyDescent="0.2">
      <c r="A182" s="181"/>
      <c r="B182" s="177" t="s">
        <v>2186</v>
      </c>
      <c r="C182" s="178">
        <f>21*2</f>
        <v>42</v>
      </c>
      <c r="D182" s="170" t="s">
        <v>2187</v>
      </c>
      <c r="E182" s="194">
        <v>100000</v>
      </c>
      <c r="F182" s="398">
        <f>E182*C182</f>
        <v>4200000</v>
      </c>
      <c r="G182" s="325"/>
    </row>
    <row r="183" spans="1:20" s="393" customFormat="1" ht="12" x14ac:dyDescent="0.2">
      <c r="A183" s="181"/>
      <c r="B183" s="320"/>
      <c r="C183" s="198"/>
      <c r="D183" s="199"/>
      <c r="E183" s="322"/>
      <c r="F183" s="323"/>
      <c r="G183" s="325"/>
    </row>
    <row r="184" spans="1:20" s="393" customFormat="1" ht="24" x14ac:dyDescent="0.2">
      <c r="A184" s="193" t="s">
        <v>2232</v>
      </c>
      <c r="B184" s="320" t="s">
        <v>2230</v>
      </c>
      <c r="C184" s="198"/>
      <c r="D184" s="199"/>
      <c r="E184" s="322"/>
      <c r="F184" s="323"/>
      <c r="G184" s="325"/>
    </row>
    <row r="185" spans="1:20" s="393" customFormat="1" ht="24" x14ac:dyDescent="0.2">
      <c r="A185" s="193" t="s">
        <v>2233</v>
      </c>
      <c r="B185" s="320" t="s">
        <v>2231</v>
      </c>
      <c r="C185" s="198"/>
      <c r="D185" s="199"/>
      <c r="E185" s="322"/>
      <c r="F185" s="323"/>
      <c r="G185" s="325"/>
    </row>
    <row r="186" spans="1:20" s="393" customFormat="1" ht="12" x14ac:dyDescent="0.2">
      <c r="A186" s="181"/>
      <c r="B186" s="177" t="s">
        <v>1571</v>
      </c>
      <c r="C186" s="169">
        <v>144</v>
      </c>
      <c r="D186" s="170" t="s">
        <v>391</v>
      </c>
      <c r="E186" s="388">
        <v>6000</v>
      </c>
      <c r="F186" s="398">
        <f t="shared" ref="F186:F188" si="15">E186*C186</f>
        <v>864000</v>
      </c>
      <c r="G186" s="325"/>
    </row>
    <row r="187" spans="1:20" s="393" customFormat="1" ht="12" x14ac:dyDescent="0.2">
      <c r="A187" s="181"/>
      <c r="B187" s="177" t="s">
        <v>564</v>
      </c>
      <c r="C187" s="169">
        <v>144</v>
      </c>
      <c r="D187" s="170" t="s">
        <v>391</v>
      </c>
      <c r="E187" s="388">
        <v>8000</v>
      </c>
      <c r="F187" s="398">
        <f t="shared" si="15"/>
        <v>1152000</v>
      </c>
      <c r="G187" s="325"/>
    </row>
    <row r="188" spans="1:20" s="393" customFormat="1" ht="12" x14ac:dyDescent="0.2">
      <c r="A188" s="181"/>
      <c r="B188" s="177" t="s">
        <v>1530</v>
      </c>
      <c r="C188" s="169">
        <v>12</v>
      </c>
      <c r="D188" s="170" t="s">
        <v>1531</v>
      </c>
      <c r="E188" s="388">
        <v>6000</v>
      </c>
      <c r="F188" s="398">
        <f t="shared" si="15"/>
        <v>72000</v>
      </c>
      <c r="G188" s="325"/>
    </row>
    <row r="189" spans="1:20" s="393" customFormat="1" ht="12" x14ac:dyDescent="0.2">
      <c r="A189" s="181"/>
      <c r="B189" s="320"/>
      <c r="C189" s="198"/>
      <c r="D189" s="199"/>
      <c r="E189" s="322"/>
      <c r="F189" s="323"/>
      <c r="G189" s="325"/>
    </row>
    <row r="190" spans="1:20" s="393" customFormat="1" ht="12" x14ac:dyDescent="0.2">
      <c r="A190" s="181"/>
      <c r="B190" s="320"/>
      <c r="C190" s="399"/>
      <c r="D190" s="400"/>
      <c r="E190" s="322"/>
      <c r="F190" s="323"/>
      <c r="G190" s="325"/>
    </row>
    <row r="191" spans="1:20" s="393" customFormat="1" ht="12" x14ac:dyDescent="0.2">
      <c r="A191" s="206"/>
      <c r="B191" s="2054" t="s">
        <v>26</v>
      </c>
      <c r="C191" s="2055"/>
      <c r="D191" s="2055"/>
      <c r="E191" s="2056"/>
      <c r="F191" s="401">
        <f>SUM(F170:F188)</f>
        <v>18008000</v>
      </c>
      <c r="G191" s="325" t="s">
        <v>1506</v>
      </c>
      <c r="L191" s="1066">
        <f>F191</f>
        <v>18008000</v>
      </c>
      <c r="T191" s="1066"/>
    </row>
    <row r="192" spans="1:20" x14ac:dyDescent="0.25">
      <c r="A192" s="1926" t="s">
        <v>516</v>
      </c>
      <c r="B192" s="1926"/>
      <c r="C192" s="152" t="s">
        <v>27</v>
      </c>
      <c r="D192" s="1926" t="s">
        <v>3654</v>
      </c>
      <c r="E192" s="1926"/>
      <c r="F192" s="1926"/>
      <c r="G192" s="152"/>
    </row>
    <row r="193" spans="1:7" x14ac:dyDescent="0.25">
      <c r="A193" s="1926" t="s">
        <v>28</v>
      </c>
      <c r="B193" s="1926"/>
      <c r="C193" s="152"/>
      <c r="D193" s="1927" t="s">
        <v>3570</v>
      </c>
      <c r="E193" s="1927"/>
      <c r="F193" s="1927"/>
      <c r="G193" s="152"/>
    </row>
    <row r="194" spans="1:7" x14ac:dyDescent="0.25">
      <c r="A194" s="150"/>
      <c r="B194" s="151"/>
      <c r="C194" s="152"/>
      <c r="D194" s="153"/>
      <c r="E194" s="182"/>
      <c r="F194" s="1208"/>
      <c r="G194" s="152"/>
    </row>
    <row r="195" spans="1:7" x14ac:dyDescent="0.25">
      <c r="A195" s="150"/>
      <c r="B195" s="151"/>
      <c r="C195" s="152"/>
      <c r="D195" s="153"/>
      <c r="E195" s="182"/>
      <c r="F195" s="1208"/>
      <c r="G195" s="152"/>
    </row>
    <row r="196" spans="1:7" x14ac:dyDescent="0.25">
      <c r="A196" s="1926"/>
      <c r="B196" s="1926"/>
      <c r="C196" s="152"/>
      <c r="D196" s="153"/>
      <c r="E196" s="2003"/>
      <c r="F196" s="2003"/>
      <c r="G196" s="152"/>
    </row>
    <row r="197" spans="1:7" x14ac:dyDescent="0.25">
      <c r="A197" s="1926" t="s">
        <v>29</v>
      </c>
      <c r="B197" s="1926"/>
      <c r="C197" s="152"/>
      <c r="D197" s="1926" t="s">
        <v>3548</v>
      </c>
      <c r="E197" s="1926"/>
      <c r="F197" s="1926"/>
      <c r="G197" s="152"/>
    </row>
    <row r="198" spans="1:7" s="393" customFormat="1" ht="12" x14ac:dyDescent="0.2">
      <c r="A198" s="1926" t="s">
        <v>0</v>
      </c>
      <c r="B198" s="1926"/>
      <c r="C198" s="1926"/>
      <c r="D198" s="1926"/>
      <c r="E198" s="1926"/>
      <c r="F198" s="1926"/>
      <c r="G198" s="149"/>
    </row>
    <row r="199" spans="1:7" s="393" customFormat="1" ht="12" x14ac:dyDescent="0.2">
      <c r="A199" s="1926" t="s">
        <v>1</v>
      </c>
      <c r="B199" s="1926"/>
      <c r="C199" s="1926"/>
      <c r="D199" s="1926"/>
      <c r="E199" s="1926"/>
      <c r="F199" s="1926"/>
      <c r="G199" s="149"/>
    </row>
    <row r="200" spans="1:7" s="393" customFormat="1" ht="12" x14ac:dyDescent="0.2">
      <c r="A200" s="1926" t="s">
        <v>2398</v>
      </c>
      <c r="B200" s="1926"/>
      <c r="C200" s="1926"/>
      <c r="D200" s="1926"/>
      <c r="E200" s="1926"/>
      <c r="F200" s="1926"/>
      <c r="G200" s="149"/>
    </row>
    <row r="201" spans="1:7" s="393" customFormat="1" ht="12" x14ac:dyDescent="0.2">
      <c r="A201" s="152"/>
      <c r="B201" s="152"/>
      <c r="C201" s="152"/>
      <c r="D201" s="182"/>
      <c r="E201" s="191"/>
      <c r="F201" s="152"/>
      <c r="G201" s="149"/>
    </row>
    <row r="202" spans="1:7" s="393" customFormat="1" ht="12" x14ac:dyDescent="0.2">
      <c r="A202" s="182" t="s">
        <v>1386</v>
      </c>
      <c r="B202" s="182" t="s">
        <v>827</v>
      </c>
      <c r="C202" s="182"/>
      <c r="D202" s="182"/>
      <c r="E202" s="191" t="s">
        <v>6</v>
      </c>
      <c r="F202" s="191" t="s">
        <v>432</v>
      </c>
      <c r="G202" s="149"/>
    </row>
    <row r="203" spans="1:7" s="393" customFormat="1" ht="12" x14ac:dyDescent="0.2">
      <c r="A203" s="182" t="s">
        <v>837</v>
      </c>
      <c r="B203" s="182" t="s">
        <v>1387</v>
      </c>
      <c r="C203" s="182"/>
      <c r="D203" s="182"/>
      <c r="E203" s="394"/>
      <c r="F203" s="182"/>
      <c r="G203" s="149"/>
    </row>
    <row r="204" spans="1:7" s="393" customFormat="1" ht="84.75" customHeight="1" x14ac:dyDescent="0.2">
      <c r="A204" s="184" t="s">
        <v>1388</v>
      </c>
      <c r="B204" s="404" t="s">
        <v>1400</v>
      </c>
      <c r="C204" s="182"/>
      <c r="D204" s="182"/>
      <c r="E204" s="157" t="s">
        <v>482</v>
      </c>
      <c r="F204" s="157"/>
      <c r="G204" s="149"/>
    </row>
    <row r="205" spans="1:7" s="393" customFormat="1" ht="12" x14ac:dyDescent="0.2">
      <c r="A205" s="152" t="s">
        <v>886</v>
      </c>
      <c r="B205" s="152" t="s">
        <v>60</v>
      </c>
      <c r="C205" s="152"/>
      <c r="D205" s="152"/>
      <c r="E205" s="152"/>
      <c r="F205" s="152"/>
      <c r="G205" s="149"/>
    </row>
    <row r="206" spans="1:7" s="393" customFormat="1" ht="12" x14ac:dyDescent="0.2">
      <c r="A206" s="152" t="s">
        <v>61</v>
      </c>
      <c r="B206" s="152" t="s">
        <v>62</v>
      </c>
      <c r="C206" s="152"/>
      <c r="D206" s="182"/>
      <c r="E206" s="191"/>
      <c r="F206" s="152"/>
      <c r="G206" s="149"/>
    </row>
    <row r="207" spans="1:7" s="393" customFormat="1" ht="9" customHeight="1" x14ac:dyDescent="0.2">
      <c r="A207" s="182"/>
      <c r="B207" s="182"/>
      <c r="C207" s="152"/>
      <c r="D207" s="182"/>
      <c r="E207" s="191"/>
      <c r="F207" s="152"/>
      <c r="G207" s="149"/>
    </row>
    <row r="208" spans="1:7" s="393" customFormat="1" ht="24" x14ac:dyDescent="0.2">
      <c r="A208" s="162" t="s">
        <v>30</v>
      </c>
      <c r="B208" s="162" t="s">
        <v>11</v>
      </c>
      <c r="C208" s="1959" t="s">
        <v>12</v>
      </c>
      <c r="D208" s="1960"/>
      <c r="E208" s="395" t="s">
        <v>13</v>
      </c>
      <c r="F208" s="231" t="s">
        <v>14</v>
      </c>
      <c r="G208" s="164" t="s">
        <v>341</v>
      </c>
    </row>
    <row r="209" spans="1:18" s="393" customFormat="1" ht="12" x14ac:dyDescent="0.2">
      <c r="A209" s="161">
        <v>1</v>
      </c>
      <c r="B209" s="161">
        <v>2</v>
      </c>
      <c r="C209" s="1931">
        <v>3</v>
      </c>
      <c r="D209" s="1932"/>
      <c r="E209" s="396">
        <v>4</v>
      </c>
      <c r="F209" s="169">
        <v>5</v>
      </c>
      <c r="G209" s="166">
        <v>6</v>
      </c>
    </row>
    <row r="210" spans="1:18" s="393" customFormat="1" ht="12" x14ac:dyDescent="0.2">
      <c r="A210" s="161"/>
      <c r="B210" s="343" t="s">
        <v>1389</v>
      </c>
      <c r="C210" s="169"/>
      <c r="D210" s="170"/>
      <c r="E210" s="396"/>
      <c r="F210" s="169"/>
      <c r="G210" s="397"/>
    </row>
    <row r="211" spans="1:18" s="393" customFormat="1" ht="12" x14ac:dyDescent="0.2">
      <c r="A211" s="176" t="s">
        <v>1401</v>
      </c>
      <c r="B211" s="386" t="s">
        <v>277</v>
      </c>
      <c r="C211" s="206"/>
      <c r="D211" s="362"/>
      <c r="E211" s="194"/>
      <c r="F211" s="398"/>
      <c r="G211" s="325"/>
    </row>
    <row r="212" spans="1:18" s="393" customFormat="1" ht="12" x14ac:dyDescent="0.2">
      <c r="A212" s="193" t="s">
        <v>1402</v>
      </c>
      <c r="B212" s="386" t="s">
        <v>84</v>
      </c>
      <c r="C212" s="206"/>
      <c r="D212" s="362"/>
      <c r="E212" s="194"/>
      <c r="F212" s="398"/>
      <c r="G212" s="325"/>
    </row>
    <row r="213" spans="1:18" s="393" customFormat="1" ht="24" x14ac:dyDescent="0.2">
      <c r="A213" s="193" t="s">
        <v>1403</v>
      </c>
      <c r="B213" s="386" t="s">
        <v>1404</v>
      </c>
      <c r="C213" s="206"/>
      <c r="D213" s="362"/>
      <c r="E213" s="194"/>
      <c r="F213" s="398"/>
      <c r="G213" s="325"/>
    </row>
    <row r="214" spans="1:18" s="393" customFormat="1" ht="24" x14ac:dyDescent="0.2">
      <c r="A214" s="193"/>
      <c r="B214" s="177" t="s">
        <v>1405</v>
      </c>
      <c r="C214" s="178">
        <v>1</v>
      </c>
      <c r="D214" s="362" t="s">
        <v>186</v>
      </c>
      <c r="E214" s="179">
        <v>4000000</v>
      </c>
      <c r="F214" s="398">
        <f>E214*C214</f>
        <v>4000000</v>
      </c>
      <c r="G214" s="325"/>
    </row>
    <row r="215" spans="1:18" s="393" customFormat="1" ht="12" x14ac:dyDescent="0.2">
      <c r="A215" s="193" t="s">
        <v>1406</v>
      </c>
      <c r="B215" s="386" t="s">
        <v>206</v>
      </c>
      <c r="C215" s="206"/>
      <c r="D215" s="362"/>
      <c r="E215" s="194"/>
      <c r="F215" s="398"/>
      <c r="G215" s="325"/>
    </row>
    <row r="216" spans="1:18" s="393" customFormat="1" ht="24" x14ac:dyDescent="0.2">
      <c r="A216" s="193" t="s">
        <v>1407</v>
      </c>
      <c r="B216" s="386" t="s">
        <v>208</v>
      </c>
      <c r="C216" s="178"/>
      <c r="D216" s="362"/>
      <c r="E216" s="179"/>
      <c r="F216" s="398"/>
      <c r="G216" s="325"/>
    </row>
    <row r="217" spans="1:18" s="393" customFormat="1" ht="24" x14ac:dyDescent="0.2">
      <c r="A217" s="193"/>
      <c r="B217" s="177" t="s">
        <v>1408</v>
      </c>
      <c r="C217" s="178">
        <v>1</v>
      </c>
      <c r="D217" s="362" t="s">
        <v>846</v>
      </c>
      <c r="E217" s="179">
        <v>2979246</v>
      </c>
      <c r="F217" s="398">
        <f>E217*C217</f>
        <v>2979246</v>
      </c>
      <c r="G217" s="325"/>
      <c r="H217" s="1066"/>
    </row>
    <row r="218" spans="1:18" s="393" customFormat="1" ht="12" x14ac:dyDescent="0.2">
      <c r="A218" s="206"/>
      <c r="B218" s="1944" t="s">
        <v>26</v>
      </c>
      <c r="C218" s="1945"/>
      <c r="D218" s="1945"/>
      <c r="E218" s="1946"/>
      <c r="F218" s="324">
        <f>SUM(F213:F217)</f>
        <v>6979246</v>
      </c>
      <c r="G218" s="325" t="s">
        <v>2177</v>
      </c>
      <c r="L218" s="1066"/>
      <c r="M218" s="1066">
        <f>F218</f>
        <v>6979246</v>
      </c>
      <c r="R218" s="1066"/>
    </row>
    <row r="219" spans="1:18" x14ac:dyDescent="0.25">
      <c r="A219" s="1926" t="s">
        <v>516</v>
      </c>
      <c r="B219" s="1926"/>
      <c r="C219" s="152" t="s">
        <v>27</v>
      </c>
      <c r="D219" s="1926" t="s">
        <v>3654</v>
      </c>
      <c r="E219" s="1926"/>
      <c r="F219" s="1926"/>
      <c r="G219" s="152"/>
    </row>
    <row r="220" spans="1:18" x14ac:dyDescent="0.25">
      <c r="A220" s="1926" t="s">
        <v>28</v>
      </c>
      <c r="B220" s="1926"/>
      <c r="C220" s="152"/>
      <c r="D220" s="1927" t="s">
        <v>3382</v>
      </c>
      <c r="E220" s="1927"/>
      <c r="F220" s="1927"/>
      <c r="G220" s="152"/>
    </row>
    <row r="221" spans="1:18" x14ac:dyDescent="0.25">
      <c r="A221" s="150"/>
      <c r="B221" s="151"/>
      <c r="C221" s="152"/>
      <c r="D221" s="153"/>
      <c r="E221" s="1770"/>
      <c r="F221" s="182"/>
      <c r="G221" s="152"/>
    </row>
    <row r="222" spans="1:18" x14ac:dyDescent="0.25">
      <c r="A222" s="150"/>
      <c r="B222" s="151"/>
      <c r="C222" s="152"/>
      <c r="D222" s="153"/>
      <c r="E222" s="1770"/>
      <c r="F222" s="182"/>
      <c r="G222" s="152"/>
    </row>
    <row r="223" spans="1:18" x14ac:dyDescent="0.25">
      <c r="A223" s="1926"/>
      <c r="B223" s="1926"/>
      <c r="C223" s="152"/>
      <c r="D223" s="153"/>
      <c r="E223" s="1926"/>
      <c r="F223" s="1926"/>
      <c r="G223" s="152"/>
    </row>
    <row r="224" spans="1:18" x14ac:dyDescent="0.25">
      <c r="A224" s="1926" t="s">
        <v>29</v>
      </c>
      <c r="B224" s="1926"/>
      <c r="C224" s="152"/>
      <c r="D224" s="1926" t="s">
        <v>3383</v>
      </c>
      <c r="E224" s="1926"/>
      <c r="F224" s="1926"/>
      <c r="G224" s="152"/>
    </row>
    <row r="225" spans="1:19" x14ac:dyDescent="0.25">
      <c r="A225" s="1947" t="s">
        <v>0</v>
      </c>
      <c r="B225" s="1947"/>
      <c r="C225" s="1947"/>
      <c r="D225" s="1947"/>
      <c r="E225" s="1947"/>
      <c r="F225" s="1947"/>
      <c r="G225" s="393"/>
    </row>
    <row r="226" spans="1:19" x14ac:dyDescent="0.25">
      <c r="A226" s="1947" t="s">
        <v>1</v>
      </c>
      <c r="B226" s="1947"/>
      <c r="C226" s="1947"/>
      <c r="D226" s="1947"/>
      <c r="E226" s="1947"/>
      <c r="F226" s="1947"/>
      <c r="G226" s="393"/>
    </row>
    <row r="227" spans="1:19" x14ac:dyDescent="0.25">
      <c r="A227" s="1947" t="s">
        <v>2398</v>
      </c>
      <c r="B227" s="1947"/>
      <c r="C227" s="1947"/>
      <c r="D227" s="1947"/>
      <c r="E227" s="1947"/>
      <c r="F227" s="1947"/>
      <c r="G227" s="393"/>
    </row>
    <row r="228" spans="1:19" x14ac:dyDescent="0.25">
      <c r="A228" s="149" t="s">
        <v>649</v>
      </c>
      <c r="B228" s="149" t="s">
        <v>648</v>
      </c>
      <c r="C228" s="149"/>
      <c r="D228" s="149"/>
      <c r="E228" s="149"/>
      <c r="F228" s="406" t="s">
        <v>6</v>
      </c>
      <c r="G228" s="393"/>
    </row>
    <row r="229" spans="1:19" x14ac:dyDescent="0.25">
      <c r="A229" s="340" t="s">
        <v>237</v>
      </c>
      <c r="B229" s="340" t="s">
        <v>647</v>
      </c>
      <c r="C229" s="149"/>
      <c r="D229" s="149"/>
      <c r="E229" s="149"/>
      <c r="F229" s="407" t="s">
        <v>482</v>
      </c>
      <c r="G229" s="393"/>
    </row>
    <row r="230" spans="1:19" x14ac:dyDescent="0.25">
      <c r="A230" s="340" t="s">
        <v>646</v>
      </c>
      <c r="B230" s="340" t="s">
        <v>1854</v>
      </c>
      <c r="C230" s="149"/>
      <c r="D230" s="149"/>
      <c r="E230" s="149"/>
      <c r="F230" s="149"/>
      <c r="G230" s="393"/>
    </row>
    <row r="231" spans="1:19" x14ac:dyDescent="0.25">
      <c r="A231" s="149" t="s">
        <v>488</v>
      </c>
      <c r="B231" s="149" t="s">
        <v>513</v>
      </c>
      <c r="C231" s="149"/>
      <c r="D231" s="149"/>
      <c r="E231" s="149"/>
      <c r="F231" s="149"/>
      <c r="G231" s="393"/>
    </row>
    <row r="232" spans="1:19" x14ac:dyDescent="0.25">
      <c r="A232" s="2036" t="s">
        <v>470</v>
      </c>
      <c r="B232" s="2036"/>
      <c r="C232" s="149"/>
      <c r="D232" s="149"/>
      <c r="E232" s="149"/>
      <c r="F232" s="149"/>
      <c r="G232" s="393"/>
    </row>
    <row r="233" spans="1:19" ht="24" x14ac:dyDescent="0.25">
      <c r="A233" s="408" t="s">
        <v>30</v>
      </c>
      <c r="B233" s="408" t="s">
        <v>11</v>
      </c>
      <c r="C233" s="2050" t="s">
        <v>12</v>
      </c>
      <c r="D233" s="2051"/>
      <c r="E233" s="409" t="s">
        <v>13</v>
      </c>
      <c r="F233" s="408" t="s">
        <v>14</v>
      </c>
      <c r="G233" s="164" t="s">
        <v>34</v>
      </c>
    </row>
    <row r="234" spans="1:19" x14ac:dyDescent="0.25">
      <c r="A234" s="161">
        <v>1</v>
      </c>
      <c r="B234" s="161">
        <v>2</v>
      </c>
      <c r="C234" s="1931">
        <v>3</v>
      </c>
      <c r="D234" s="1932"/>
      <c r="E234" s="2">
        <v>4</v>
      </c>
      <c r="F234" s="169">
        <v>5</v>
      </c>
      <c r="G234" s="166">
        <v>6</v>
      </c>
    </row>
    <row r="235" spans="1:19" x14ac:dyDescent="0.25">
      <c r="A235" s="346" t="s">
        <v>644</v>
      </c>
      <c r="B235" s="346" t="s">
        <v>304</v>
      </c>
      <c r="C235" s="371"/>
      <c r="D235" s="372"/>
      <c r="E235" s="164"/>
      <c r="F235" s="164"/>
      <c r="G235" s="205"/>
    </row>
    <row r="236" spans="1:19" x14ac:dyDescent="0.25">
      <c r="A236" s="346" t="s">
        <v>643</v>
      </c>
      <c r="B236" s="346" t="s">
        <v>642</v>
      </c>
      <c r="C236" s="371"/>
      <c r="D236" s="372"/>
      <c r="E236" s="164"/>
      <c r="F236" s="164"/>
      <c r="G236" s="205"/>
    </row>
    <row r="237" spans="1:19" ht="24.75" x14ac:dyDescent="0.25">
      <c r="A237" s="346" t="s">
        <v>641</v>
      </c>
      <c r="B237" s="325" t="s">
        <v>640</v>
      </c>
      <c r="C237" s="371"/>
      <c r="D237" s="372"/>
      <c r="E237" s="164"/>
      <c r="F237" s="164"/>
      <c r="G237" s="205"/>
    </row>
    <row r="238" spans="1:19" x14ac:dyDescent="0.25">
      <c r="A238" s="220"/>
      <c r="B238" s="325" t="s">
        <v>1462</v>
      </c>
      <c r="C238" s="371">
        <v>165</v>
      </c>
      <c r="D238" s="372" t="s">
        <v>106</v>
      </c>
      <c r="E238" s="411">
        <v>8000</v>
      </c>
      <c r="F238" s="373">
        <f>E238*C238</f>
        <v>1320000</v>
      </c>
      <c r="G238" s="205" t="s">
        <v>2179</v>
      </c>
      <c r="J238" s="23"/>
      <c r="L238" s="23"/>
      <c r="S238" s="23">
        <f t="shared" ref="S238:S241" si="16">F238</f>
        <v>1320000</v>
      </c>
    </row>
    <row r="239" spans="1:19" x14ac:dyDescent="0.25">
      <c r="A239" s="164"/>
      <c r="B239" s="205" t="s">
        <v>1752</v>
      </c>
      <c r="C239" s="169">
        <f>167*3</f>
        <v>501</v>
      </c>
      <c r="D239" s="170" t="s">
        <v>106</v>
      </c>
      <c r="E239" s="141">
        <v>5000</v>
      </c>
      <c r="F239" s="373">
        <f>E239*C239</f>
        <v>2505000</v>
      </c>
      <c r="G239" s="205" t="s">
        <v>2179</v>
      </c>
      <c r="J239" s="23"/>
      <c r="L239" s="23"/>
      <c r="S239" s="23">
        <f t="shared" si="16"/>
        <v>2505000</v>
      </c>
    </row>
    <row r="240" spans="1:19" x14ac:dyDescent="0.25">
      <c r="A240" s="164"/>
      <c r="B240" s="889" t="s">
        <v>1853</v>
      </c>
      <c r="C240" s="169">
        <v>26</v>
      </c>
      <c r="D240" s="170" t="s">
        <v>106</v>
      </c>
      <c r="E240" s="141">
        <v>19000</v>
      </c>
      <c r="F240" s="373">
        <f>E240*C240</f>
        <v>494000</v>
      </c>
      <c r="G240" s="205" t="s">
        <v>2179</v>
      </c>
      <c r="J240" s="23"/>
      <c r="L240" s="23"/>
      <c r="S240" s="23">
        <f t="shared" si="16"/>
        <v>494000</v>
      </c>
    </row>
    <row r="241" spans="1:20" x14ac:dyDescent="0.25">
      <c r="A241" s="164"/>
      <c r="B241" s="889" t="s">
        <v>556</v>
      </c>
      <c r="C241" s="169">
        <v>13</v>
      </c>
      <c r="D241" s="170" t="s">
        <v>106</v>
      </c>
      <c r="E241" s="141">
        <v>18000</v>
      </c>
      <c r="F241" s="373">
        <f>E241*C241</f>
        <v>234000</v>
      </c>
      <c r="G241" s="205" t="s">
        <v>2179</v>
      </c>
      <c r="J241" s="23"/>
      <c r="L241" s="23"/>
      <c r="S241" s="23">
        <f t="shared" si="16"/>
        <v>234000</v>
      </c>
    </row>
    <row r="242" spans="1:20" ht="24" x14ac:dyDescent="0.25">
      <c r="A242" s="346" t="s">
        <v>639</v>
      </c>
      <c r="B242" s="412" t="s">
        <v>307</v>
      </c>
      <c r="C242" s="169"/>
      <c r="D242" s="170"/>
      <c r="E242" s="141"/>
      <c r="F242" s="373"/>
      <c r="G242" s="205"/>
    </row>
    <row r="243" spans="1:20" x14ac:dyDescent="0.25">
      <c r="A243" s="186"/>
      <c r="B243" s="181" t="s">
        <v>638</v>
      </c>
      <c r="C243" s="178"/>
      <c r="D243" s="362"/>
      <c r="E243" s="194"/>
      <c r="F243" s="373"/>
      <c r="G243" s="205"/>
    </row>
    <row r="244" spans="1:20" x14ac:dyDescent="0.25">
      <c r="A244" s="186"/>
      <c r="B244" s="181" t="s">
        <v>1844</v>
      </c>
      <c r="C244" s="178">
        <f>167*12</f>
        <v>2004</v>
      </c>
      <c r="D244" s="362" t="s">
        <v>269</v>
      </c>
      <c r="E244" s="179">
        <v>20000</v>
      </c>
      <c r="F244" s="373">
        <f>E244*C244</f>
        <v>40080000</v>
      </c>
      <c r="G244" s="205" t="s">
        <v>1410</v>
      </c>
      <c r="J244" s="23">
        <f>F244</f>
        <v>40080000</v>
      </c>
      <c r="K244" s="23"/>
      <c r="T244" s="23"/>
    </row>
    <row r="245" spans="1:20" ht="24.75" x14ac:dyDescent="0.25">
      <c r="A245" s="186"/>
      <c r="B245" s="177" t="s">
        <v>1837</v>
      </c>
      <c r="C245" s="178"/>
      <c r="D245" s="362"/>
      <c r="E245" s="179"/>
      <c r="F245" s="373"/>
      <c r="G245" s="205"/>
    </row>
    <row r="246" spans="1:20" x14ac:dyDescent="0.25">
      <c r="A246" s="186"/>
      <c r="B246" s="181" t="s">
        <v>1842</v>
      </c>
      <c r="C246" s="178">
        <v>7584</v>
      </c>
      <c r="D246" s="362" t="s">
        <v>269</v>
      </c>
      <c r="E246" s="179">
        <v>25000</v>
      </c>
      <c r="F246" s="373">
        <f>E246*C246</f>
        <v>189600000</v>
      </c>
      <c r="G246" s="205" t="s">
        <v>1410</v>
      </c>
      <c r="J246" s="23">
        <f>F246</f>
        <v>189600000</v>
      </c>
    </row>
    <row r="247" spans="1:20" x14ac:dyDescent="0.25">
      <c r="A247" s="186"/>
      <c r="B247" s="177" t="s">
        <v>3549</v>
      </c>
      <c r="C247" s="178">
        <f>13*30*6</f>
        <v>2340</v>
      </c>
      <c r="D247" s="362" t="s">
        <v>269</v>
      </c>
      <c r="E247" s="179">
        <v>25000</v>
      </c>
      <c r="F247" s="373">
        <f>E247*C247</f>
        <v>58500000</v>
      </c>
      <c r="G247" s="205" t="s">
        <v>1777</v>
      </c>
      <c r="J247" s="23"/>
      <c r="K247" s="23"/>
      <c r="T247" s="23">
        <f>F247</f>
        <v>58500000</v>
      </c>
    </row>
    <row r="248" spans="1:20" x14ac:dyDescent="0.25">
      <c r="A248" s="186"/>
      <c r="B248" s="177" t="s">
        <v>3549</v>
      </c>
      <c r="C248" s="178">
        <f>13*30*6</f>
        <v>2340</v>
      </c>
      <c r="D248" s="362"/>
      <c r="E248" s="179">
        <v>25000</v>
      </c>
      <c r="F248" s="373">
        <f>E248*C248</f>
        <v>58500000</v>
      </c>
      <c r="G248" s="205" t="s">
        <v>1410</v>
      </c>
      <c r="J248" s="23">
        <f>F248</f>
        <v>58500000</v>
      </c>
      <c r="T248" s="23"/>
    </row>
    <row r="249" spans="1:20" ht="24.75" x14ac:dyDescent="0.25">
      <c r="A249" s="186"/>
      <c r="B249" s="177" t="s">
        <v>1843</v>
      </c>
      <c r="C249" s="178">
        <f>13*30*12</f>
        <v>4680</v>
      </c>
      <c r="D249" s="362" t="s">
        <v>269</v>
      </c>
      <c r="E249" s="179">
        <v>25000</v>
      </c>
      <c r="F249" s="373">
        <f>E249*C249</f>
        <v>117000000</v>
      </c>
      <c r="G249" s="205" t="s">
        <v>1777</v>
      </c>
      <c r="J249" s="23"/>
      <c r="T249" s="23">
        <f>F249</f>
        <v>117000000</v>
      </c>
    </row>
    <row r="250" spans="1:20" x14ac:dyDescent="0.25">
      <c r="A250" s="186"/>
      <c r="B250" s="181"/>
      <c r="C250" s="178"/>
      <c r="D250" s="362"/>
      <c r="E250" s="179"/>
      <c r="F250" s="373"/>
      <c r="G250" s="205"/>
    </row>
    <row r="251" spans="1:20" x14ac:dyDescent="0.25">
      <c r="A251" s="346" t="s">
        <v>653</v>
      </c>
      <c r="B251" s="181" t="s">
        <v>483</v>
      </c>
      <c r="C251" s="178"/>
      <c r="D251" s="362"/>
      <c r="E251" s="179"/>
      <c r="F251" s="373"/>
      <c r="G251" s="205"/>
    </row>
    <row r="252" spans="1:20" x14ac:dyDescent="0.25">
      <c r="A252" s="346"/>
      <c r="B252" s="181" t="s">
        <v>1838</v>
      </c>
      <c r="C252" s="178">
        <v>102</v>
      </c>
      <c r="D252" s="362" t="s">
        <v>106</v>
      </c>
      <c r="E252" s="179">
        <v>20000</v>
      </c>
      <c r="F252" s="373">
        <f t="shared" ref="F252:F258" si="17">E252*C252</f>
        <v>2040000</v>
      </c>
      <c r="G252" s="205" t="s">
        <v>1506</v>
      </c>
      <c r="I252" s="23"/>
      <c r="J252" s="23"/>
      <c r="L252" s="23">
        <f>F252</f>
        <v>2040000</v>
      </c>
    </row>
    <row r="253" spans="1:20" ht="24.75" x14ac:dyDescent="0.25">
      <c r="A253" s="186"/>
      <c r="B253" s="177" t="s">
        <v>652</v>
      </c>
      <c r="C253" s="178">
        <v>39</v>
      </c>
      <c r="D253" s="362" t="s">
        <v>213</v>
      </c>
      <c r="E253" s="179">
        <v>100000</v>
      </c>
      <c r="F253" s="373">
        <f t="shared" si="17"/>
        <v>3900000</v>
      </c>
      <c r="G253" s="205" t="s">
        <v>1506</v>
      </c>
      <c r="J253" s="23"/>
      <c r="L253" s="23">
        <f t="shared" ref="L253:L258" si="18">F253</f>
        <v>3900000</v>
      </c>
    </row>
    <row r="254" spans="1:20" s="96" customFormat="1" x14ac:dyDescent="0.25">
      <c r="A254" s="1286"/>
      <c r="B254" s="911" t="s">
        <v>1848</v>
      </c>
      <c r="C254" s="912">
        <v>11</v>
      </c>
      <c r="D254" s="1730" t="s">
        <v>220</v>
      </c>
      <c r="E254" s="945">
        <v>2003000</v>
      </c>
      <c r="F254" s="1729">
        <f t="shared" si="17"/>
        <v>22033000</v>
      </c>
      <c r="G254" s="1727" t="s">
        <v>1506</v>
      </c>
      <c r="J254" s="923"/>
      <c r="L254" s="923">
        <f t="shared" si="18"/>
        <v>22033000</v>
      </c>
    </row>
    <row r="255" spans="1:20" x14ac:dyDescent="0.25">
      <c r="A255" s="186"/>
      <c r="B255" s="177" t="s">
        <v>1849</v>
      </c>
      <c r="C255" s="178">
        <v>100</v>
      </c>
      <c r="D255" s="362" t="s">
        <v>312</v>
      </c>
      <c r="E255" s="179">
        <v>208800</v>
      </c>
      <c r="F255" s="373">
        <f t="shared" si="17"/>
        <v>20880000</v>
      </c>
      <c r="G255" s="205" t="s">
        <v>1506</v>
      </c>
      <c r="J255" s="23"/>
      <c r="L255" s="23">
        <f t="shared" si="18"/>
        <v>20880000</v>
      </c>
    </row>
    <row r="256" spans="1:20" x14ac:dyDescent="0.25">
      <c r="A256" s="186"/>
      <c r="B256" s="177" t="s">
        <v>1850</v>
      </c>
      <c r="C256" s="178">
        <v>13</v>
      </c>
      <c r="D256" s="362" t="s">
        <v>89</v>
      </c>
      <c r="E256" s="179">
        <v>286700</v>
      </c>
      <c r="F256" s="373">
        <f t="shared" si="17"/>
        <v>3727100</v>
      </c>
      <c r="G256" s="205" t="s">
        <v>1506</v>
      </c>
      <c r="J256" s="23"/>
      <c r="L256" s="23">
        <f t="shared" si="18"/>
        <v>3727100</v>
      </c>
    </row>
    <row r="257" spans="1:18" x14ac:dyDescent="0.25">
      <c r="A257" s="186"/>
      <c r="B257" s="177" t="s">
        <v>1851</v>
      </c>
      <c r="C257" s="178">
        <v>100</v>
      </c>
      <c r="D257" s="362" t="s">
        <v>312</v>
      </c>
      <c r="E257" s="179">
        <v>221000</v>
      </c>
      <c r="F257" s="373">
        <f t="shared" si="17"/>
        <v>22100000</v>
      </c>
      <c r="G257" s="205" t="s">
        <v>1506</v>
      </c>
      <c r="J257" s="23"/>
      <c r="L257" s="23">
        <f t="shared" si="18"/>
        <v>22100000</v>
      </c>
    </row>
    <row r="258" spans="1:18" x14ac:dyDescent="0.25">
      <c r="A258" s="186"/>
      <c r="B258" s="177" t="s">
        <v>1852</v>
      </c>
      <c r="C258" s="178">
        <v>13</v>
      </c>
      <c r="D258" s="362" t="s">
        <v>106</v>
      </c>
      <c r="E258" s="179">
        <v>60000</v>
      </c>
      <c r="F258" s="373">
        <f t="shared" si="17"/>
        <v>780000</v>
      </c>
      <c r="G258" s="205" t="s">
        <v>1506</v>
      </c>
      <c r="J258" s="23"/>
      <c r="L258" s="23">
        <f t="shared" si="18"/>
        <v>780000</v>
      </c>
    </row>
    <row r="259" spans="1:18" x14ac:dyDescent="0.25">
      <c r="A259" s="346" t="s">
        <v>1845</v>
      </c>
      <c r="B259" s="177" t="s">
        <v>1846</v>
      </c>
      <c r="C259" s="384"/>
      <c r="D259" s="413"/>
      <c r="E259" s="186"/>
      <c r="F259" s="373"/>
      <c r="G259" s="205"/>
      <c r="L259" s="23"/>
    </row>
    <row r="260" spans="1:18" s="96" customFormat="1" x14ac:dyDescent="0.25">
      <c r="A260" s="1233"/>
      <c r="B260" s="911" t="s">
        <v>1847</v>
      </c>
      <c r="C260" s="1732">
        <v>0</v>
      </c>
      <c r="D260" s="1733" t="s">
        <v>106</v>
      </c>
      <c r="E260" s="1734">
        <v>199000</v>
      </c>
      <c r="F260" s="1729">
        <f>E260*C260</f>
        <v>0</v>
      </c>
      <c r="G260" s="1345" t="s">
        <v>1506</v>
      </c>
      <c r="J260" s="923"/>
      <c r="K260" s="923"/>
      <c r="L260" s="923">
        <f>F260</f>
        <v>0</v>
      </c>
      <c r="R260" s="923"/>
    </row>
    <row r="261" spans="1:18" x14ac:dyDescent="0.25">
      <c r="A261" s="346" t="s">
        <v>651</v>
      </c>
      <c r="B261" s="177" t="s">
        <v>1839</v>
      </c>
      <c r="C261" s="384"/>
      <c r="D261" s="413"/>
      <c r="E261" s="186"/>
      <c r="F261" s="373"/>
      <c r="G261" s="205"/>
      <c r="L261" s="23"/>
    </row>
    <row r="262" spans="1:18" ht="24.75" x14ac:dyDescent="0.25">
      <c r="A262" s="346"/>
      <c r="B262" s="177" t="s">
        <v>1840</v>
      </c>
      <c r="C262" s="367">
        <f>10*13*12</f>
        <v>1560</v>
      </c>
      <c r="D262" s="413" t="s">
        <v>606</v>
      </c>
      <c r="E262" s="888">
        <v>3000</v>
      </c>
      <c r="F262" s="373">
        <f>E262*C262</f>
        <v>4680000</v>
      </c>
      <c r="G262" s="410" t="s">
        <v>1506</v>
      </c>
      <c r="J262" s="23"/>
      <c r="L262" s="23">
        <f>F262</f>
        <v>4680000</v>
      </c>
      <c r="R262" s="23"/>
    </row>
    <row r="263" spans="1:18" x14ac:dyDescent="0.25">
      <c r="A263" s="186"/>
      <c r="B263" s="177" t="s">
        <v>1841</v>
      </c>
      <c r="C263" s="178">
        <f>1*13*12</f>
        <v>156</v>
      </c>
      <c r="D263" s="362" t="s">
        <v>116</v>
      </c>
      <c r="E263" s="179">
        <v>10000</v>
      </c>
      <c r="F263" s="373">
        <f>E263*C263</f>
        <v>1560000</v>
      </c>
      <c r="G263" s="410"/>
      <c r="J263" s="23"/>
      <c r="L263" s="23">
        <f>F263</f>
        <v>1560000</v>
      </c>
      <c r="R263" s="23"/>
    </row>
    <row r="264" spans="1:18" x14ac:dyDescent="0.25">
      <c r="A264" s="186" t="s">
        <v>635</v>
      </c>
      <c r="B264" s="177" t="s">
        <v>294</v>
      </c>
      <c r="C264" s="178"/>
      <c r="D264" s="362"/>
      <c r="E264" s="179"/>
      <c r="F264" s="373"/>
      <c r="G264" s="205"/>
    </row>
    <row r="265" spans="1:18" ht="24.75" x14ac:dyDescent="0.25">
      <c r="A265" s="384" t="s">
        <v>650</v>
      </c>
      <c r="B265" s="177" t="s">
        <v>333</v>
      </c>
      <c r="C265" s="178"/>
      <c r="D265" s="362"/>
      <c r="E265" s="179"/>
      <c r="F265" s="373"/>
      <c r="G265" s="205"/>
    </row>
    <row r="266" spans="1:18" s="96" customFormat="1" ht="24.75" x14ac:dyDescent="0.25">
      <c r="A266" s="1732"/>
      <c r="B266" s="911" t="s">
        <v>3655</v>
      </c>
      <c r="C266" s="912">
        <v>1670</v>
      </c>
      <c r="D266" s="1730" t="s">
        <v>3480</v>
      </c>
      <c r="E266" s="945">
        <v>200000</v>
      </c>
      <c r="F266" s="1735">
        <f>E266*C266</f>
        <v>334000000</v>
      </c>
      <c r="G266" s="1727" t="s">
        <v>1506</v>
      </c>
      <c r="H266" s="962"/>
      <c r="J266" s="923"/>
      <c r="L266" s="923">
        <f>F266</f>
        <v>334000000</v>
      </c>
    </row>
    <row r="267" spans="1:18" x14ac:dyDescent="0.25">
      <c r="A267" s="384"/>
      <c r="B267" s="397" t="s">
        <v>26</v>
      </c>
      <c r="C267" s="384"/>
      <c r="D267" s="413"/>
      <c r="E267" s="186"/>
      <c r="F267" s="363">
        <f>SUM(F238:F266)</f>
        <v>883933100</v>
      </c>
      <c r="G267" s="205"/>
      <c r="K267" s="23"/>
    </row>
    <row r="268" spans="1:18" x14ac:dyDescent="0.25">
      <c r="A268" s="393"/>
      <c r="B268" s="393"/>
      <c r="C268" s="393"/>
      <c r="D268" s="393"/>
      <c r="E268" s="393"/>
      <c r="F268" s="393"/>
      <c r="G268" s="393"/>
    </row>
    <row r="269" spans="1:18" x14ac:dyDescent="0.25">
      <c r="A269" s="1926" t="s">
        <v>516</v>
      </c>
      <c r="B269" s="1926"/>
      <c r="C269" s="152" t="s">
        <v>27</v>
      </c>
      <c r="D269" s="1926" t="s">
        <v>3654</v>
      </c>
      <c r="E269" s="1926"/>
      <c r="F269" s="1926"/>
      <c r="G269" s="152"/>
    </row>
    <row r="270" spans="1:18" x14ac:dyDescent="0.25">
      <c r="A270" s="1926" t="s">
        <v>28</v>
      </c>
      <c r="B270" s="1926"/>
      <c r="C270" s="152"/>
      <c r="D270" s="1927" t="s">
        <v>3565</v>
      </c>
      <c r="E270" s="1927"/>
      <c r="F270" s="1927"/>
      <c r="G270" s="152"/>
    </row>
    <row r="271" spans="1:18" x14ac:dyDescent="0.25">
      <c r="A271" s="150"/>
      <c r="B271" s="151"/>
      <c r="C271" s="152"/>
      <c r="D271" s="153"/>
      <c r="E271" s="1770"/>
      <c r="F271" s="182"/>
      <c r="G271" s="152"/>
    </row>
    <row r="272" spans="1:18" x14ac:dyDescent="0.25">
      <c r="A272" s="150"/>
      <c r="B272" s="151"/>
      <c r="C272" s="152"/>
      <c r="D272" s="153"/>
      <c r="E272" s="1770"/>
      <c r="F272" s="182"/>
      <c r="G272" s="152"/>
    </row>
    <row r="273" spans="1:7" x14ac:dyDescent="0.25">
      <c r="A273" s="1926"/>
      <c r="B273" s="1926"/>
      <c r="C273" s="152"/>
      <c r="D273" s="153"/>
      <c r="E273" s="1926"/>
      <c r="F273" s="1926"/>
      <c r="G273" s="152"/>
    </row>
    <row r="274" spans="1:7" x14ac:dyDescent="0.25">
      <c r="A274" s="1926" t="s">
        <v>29</v>
      </c>
      <c r="B274" s="1926"/>
      <c r="C274" s="152"/>
      <c r="D274" s="1926" t="s">
        <v>3564</v>
      </c>
      <c r="E274" s="1926"/>
      <c r="F274" s="1926"/>
      <c r="G274" s="152"/>
    </row>
    <row r="276" spans="1:7" x14ac:dyDescent="0.25">
      <c r="A276" s="1947" t="s">
        <v>0</v>
      </c>
      <c r="B276" s="1947"/>
      <c r="C276" s="1947"/>
      <c r="D276" s="1947"/>
      <c r="E276" s="1947"/>
      <c r="F276" s="1947"/>
      <c r="G276" s="149"/>
    </row>
    <row r="277" spans="1:7" x14ac:dyDescent="0.25">
      <c r="A277" s="1947" t="s">
        <v>1</v>
      </c>
      <c r="B277" s="1947"/>
      <c r="C277" s="1947"/>
      <c r="D277" s="1947"/>
      <c r="E277" s="1947"/>
      <c r="F277" s="1947"/>
      <c r="G277" s="149"/>
    </row>
    <row r="278" spans="1:7" x14ac:dyDescent="0.25">
      <c r="A278" s="1947" t="s">
        <v>2398</v>
      </c>
      <c r="B278" s="1947"/>
      <c r="C278" s="1947"/>
      <c r="D278" s="1947"/>
      <c r="E278" s="1947"/>
      <c r="F278" s="1947"/>
      <c r="G278" s="149"/>
    </row>
    <row r="279" spans="1:7" x14ac:dyDescent="0.25">
      <c r="A279" s="149" t="s">
        <v>649</v>
      </c>
      <c r="B279" s="149" t="s">
        <v>648</v>
      </c>
      <c r="C279" s="149"/>
      <c r="D279" s="149"/>
      <c r="E279" s="191" t="s">
        <v>6</v>
      </c>
      <c r="F279" s="191"/>
      <c r="G279" s="149"/>
    </row>
    <row r="280" spans="1:7" x14ac:dyDescent="0.25">
      <c r="A280" s="340" t="s">
        <v>237</v>
      </c>
      <c r="B280" s="340" t="s">
        <v>647</v>
      </c>
      <c r="C280" s="340"/>
      <c r="D280" s="148"/>
      <c r="E280" s="157" t="s">
        <v>482</v>
      </c>
      <c r="F280" s="157" t="s">
        <v>432</v>
      </c>
      <c r="G280" s="149"/>
    </row>
    <row r="281" spans="1:7" x14ac:dyDescent="0.25">
      <c r="A281" s="340" t="s">
        <v>646</v>
      </c>
      <c r="B281" s="340" t="s">
        <v>657</v>
      </c>
      <c r="C281" s="340"/>
      <c r="D281" s="148"/>
      <c r="E281" s="414"/>
      <c r="F281" s="340"/>
      <c r="G281" s="149"/>
    </row>
    <row r="282" spans="1:7" x14ac:dyDescent="0.25">
      <c r="A282" s="149" t="s">
        <v>488</v>
      </c>
      <c r="B282" s="149" t="s">
        <v>513</v>
      </c>
      <c r="C282" s="149"/>
      <c r="D282" s="149"/>
      <c r="E282" s="149"/>
      <c r="F282" s="149"/>
      <c r="G282" s="149"/>
    </row>
    <row r="283" spans="1:7" x14ac:dyDescent="0.25">
      <c r="A283" s="2036" t="s">
        <v>470</v>
      </c>
      <c r="B283" s="2036"/>
      <c r="C283" s="149"/>
      <c r="D283" s="340"/>
      <c r="E283" s="382"/>
      <c r="F283" s="149"/>
      <c r="G283" s="149"/>
    </row>
    <row r="284" spans="1:7" x14ac:dyDescent="0.25">
      <c r="A284" s="393"/>
      <c r="B284" s="393"/>
      <c r="C284" s="393"/>
      <c r="D284" s="393"/>
      <c r="E284" s="393"/>
      <c r="F284" s="393"/>
      <c r="G284" s="393"/>
    </row>
    <row r="285" spans="1:7" x14ac:dyDescent="0.25">
      <c r="A285" s="393"/>
      <c r="B285" s="393"/>
      <c r="C285" s="393"/>
      <c r="D285" s="393"/>
      <c r="E285" s="393"/>
      <c r="F285" s="393"/>
      <c r="G285" s="393"/>
    </row>
    <row r="286" spans="1:7" ht="24" x14ac:dyDescent="0.25">
      <c r="A286" s="415" t="s">
        <v>514</v>
      </c>
      <c r="B286" s="415" t="s">
        <v>11</v>
      </c>
      <c r="C286" s="2033" t="s">
        <v>12</v>
      </c>
      <c r="D286" s="2034"/>
      <c r="E286" s="416" t="s">
        <v>13</v>
      </c>
      <c r="F286" s="415" t="s">
        <v>14</v>
      </c>
      <c r="G286" s="417" t="s">
        <v>256</v>
      </c>
    </row>
    <row r="287" spans="1:7" x14ac:dyDescent="0.25">
      <c r="A287" s="418">
        <v>1</v>
      </c>
      <c r="B287" s="418">
        <v>2</v>
      </c>
      <c r="C287" s="2041">
        <v>3</v>
      </c>
      <c r="D287" s="2042"/>
      <c r="E287" s="419">
        <v>4</v>
      </c>
      <c r="F287" s="418">
        <v>5</v>
      </c>
      <c r="G287" s="417">
        <v>6</v>
      </c>
    </row>
    <row r="288" spans="1:7" x14ac:dyDescent="0.25">
      <c r="A288" s="346" t="s">
        <v>644</v>
      </c>
      <c r="B288" s="410" t="s">
        <v>277</v>
      </c>
      <c r="C288" s="420"/>
      <c r="D288" s="421"/>
      <c r="E288" s="422"/>
      <c r="F288" s="423"/>
      <c r="G288" s="205"/>
    </row>
    <row r="289" spans="1:7" x14ac:dyDescent="0.25">
      <c r="A289" s="346" t="s">
        <v>643</v>
      </c>
      <c r="B289" s="410" t="s">
        <v>84</v>
      </c>
      <c r="C289" s="420"/>
      <c r="D289" s="421"/>
      <c r="E289" s="422"/>
      <c r="F289" s="423"/>
      <c r="G289" s="205"/>
    </row>
    <row r="290" spans="1:7" ht="24.75" x14ac:dyDescent="0.25">
      <c r="A290" s="346" t="s">
        <v>641</v>
      </c>
      <c r="B290" s="410" t="s">
        <v>679</v>
      </c>
      <c r="C290" s="420"/>
      <c r="D290" s="421"/>
      <c r="E290" s="422"/>
      <c r="F290" s="423"/>
      <c r="G290" s="205"/>
    </row>
    <row r="291" spans="1:7" x14ac:dyDescent="0.25">
      <c r="A291" s="205"/>
      <c r="B291" s="181" t="s">
        <v>1090</v>
      </c>
      <c r="C291" s="178">
        <v>300</v>
      </c>
      <c r="D291" s="362" t="s">
        <v>266</v>
      </c>
      <c r="E291" s="179">
        <v>350</v>
      </c>
      <c r="F291" s="423">
        <f>E291*C291</f>
        <v>105000</v>
      </c>
      <c r="G291" s="205"/>
    </row>
    <row r="292" spans="1:7" x14ac:dyDescent="0.25">
      <c r="A292" s="205"/>
      <c r="B292" s="181"/>
      <c r="C292" s="178"/>
      <c r="D292" s="362"/>
      <c r="E292" s="179"/>
      <c r="F292" s="423"/>
      <c r="G292" s="205"/>
    </row>
    <row r="293" spans="1:7" ht="24.75" x14ac:dyDescent="0.25">
      <c r="A293" s="346" t="s">
        <v>639</v>
      </c>
      <c r="B293" s="177" t="s">
        <v>307</v>
      </c>
      <c r="C293" s="178"/>
      <c r="D293" s="362"/>
      <c r="E293" s="179"/>
      <c r="F293" s="423"/>
      <c r="G293" s="205"/>
    </row>
    <row r="294" spans="1:7" ht="24.75" x14ac:dyDescent="0.25">
      <c r="A294" s="205"/>
      <c r="B294" s="177" t="s">
        <v>1858</v>
      </c>
      <c r="C294" s="178">
        <v>30</v>
      </c>
      <c r="D294" s="362" t="s">
        <v>474</v>
      </c>
      <c r="E294" s="179">
        <v>20000</v>
      </c>
      <c r="F294" s="423">
        <f>E294*C294</f>
        <v>600000</v>
      </c>
      <c r="G294" s="205"/>
    </row>
    <row r="295" spans="1:7" x14ac:dyDescent="0.25">
      <c r="A295" s="205"/>
      <c r="B295" s="181" t="s">
        <v>1232</v>
      </c>
      <c r="C295" s="178">
        <v>20</v>
      </c>
      <c r="D295" s="362" t="s">
        <v>1233</v>
      </c>
      <c r="E295" s="179">
        <v>25000</v>
      </c>
      <c r="F295" s="423">
        <f>C295*E295</f>
        <v>500000</v>
      </c>
      <c r="G295" s="205"/>
    </row>
    <row r="296" spans="1:7" x14ac:dyDescent="0.25">
      <c r="A296" s="205"/>
      <c r="B296" s="181" t="s">
        <v>1463</v>
      </c>
      <c r="C296" s="178">
        <v>20</v>
      </c>
      <c r="D296" s="362" t="s">
        <v>1399</v>
      </c>
      <c r="E296" s="179">
        <v>60000</v>
      </c>
      <c r="F296" s="423">
        <f>C296*E296</f>
        <v>1200000</v>
      </c>
      <c r="G296" s="205"/>
    </row>
    <row r="297" spans="1:7" x14ac:dyDescent="0.25">
      <c r="A297" s="205"/>
      <c r="B297" s="181"/>
      <c r="C297" s="178"/>
      <c r="D297" s="362"/>
      <c r="E297" s="179"/>
      <c r="F297" s="423"/>
      <c r="G297" s="205"/>
    </row>
    <row r="298" spans="1:7" x14ac:dyDescent="0.25">
      <c r="A298" s="205"/>
      <c r="B298" s="181"/>
      <c r="C298" s="178"/>
      <c r="D298" s="362"/>
      <c r="E298" s="179"/>
      <c r="F298" s="423"/>
      <c r="G298" s="205"/>
    </row>
    <row r="299" spans="1:7" ht="24.75" x14ac:dyDescent="0.25">
      <c r="A299" s="346" t="s">
        <v>637</v>
      </c>
      <c r="B299" s="177" t="s">
        <v>325</v>
      </c>
      <c r="C299" s="178"/>
      <c r="D299" s="362"/>
      <c r="E299" s="179"/>
      <c r="F299" s="423"/>
      <c r="G299" s="205"/>
    </row>
    <row r="300" spans="1:7" x14ac:dyDescent="0.25">
      <c r="A300" s="205"/>
      <c r="B300" s="181" t="s">
        <v>326</v>
      </c>
      <c r="C300" s="178">
        <v>1</v>
      </c>
      <c r="D300" s="362" t="s">
        <v>93</v>
      </c>
      <c r="E300" s="179">
        <v>90000</v>
      </c>
      <c r="F300" s="423">
        <f>E300*C300</f>
        <v>90000</v>
      </c>
      <c r="G300" s="205"/>
    </row>
    <row r="301" spans="1:7" x14ac:dyDescent="0.25">
      <c r="A301" s="205"/>
      <c r="B301" s="181"/>
      <c r="C301" s="178"/>
      <c r="D301" s="362"/>
      <c r="E301" s="179"/>
      <c r="F301" s="423"/>
      <c r="G301" s="205"/>
    </row>
    <row r="302" spans="1:7" x14ac:dyDescent="0.25">
      <c r="A302" s="346" t="s">
        <v>635</v>
      </c>
      <c r="B302" s="410" t="s">
        <v>294</v>
      </c>
      <c r="C302" s="178"/>
      <c r="D302" s="362"/>
      <c r="E302" s="179"/>
      <c r="F302" s="423"/>
      <c r="G302" s="205"/>
    </row>
    <row r="303" spans="1:7" ht="24.75" x14ac:dyDescent="0.25">
      <c r="A303" s="346" t="s">
        <v>634</v>
      </c>
      <c r="B303" s="177" t="s">
        <v>656</v>
      </c>
      <c r="C303" s="178"/>
      <c r="D303" s="362"/>
      <c r="E303" s="179"/>
      <c r="F303" s="423"/>
      <c r="G303" s="205"/>
    </row>
    <row r="304" spans="1:7" x14ac:dyDescent="0.25">
      <c r="A304" s="205"/>
      <c r="B304" s="177" t="s">
        <v>655</v>
      </c>
      <c r="C304" s="178">
        <v>2</v>
      </c>
      <c r="D304" s="362" t="s">
        <v>1786</v>
      </c>
      <c r="E304" s="179">
        <v>300000</v>
      </c>
      <c r="F304" s="423">
        <f>E304*C304</f>
        <v>600000</v>
      </c>
      <c r="G304" s="205"/>
    </row>
    <row r="305" spans="1:16" x14ac:dyDescent="0.25">
      <c r="A305" s="205"/>
      <c r="B305" s="181"/>
      <c r="C305" s="178"/>
      <c r="D305" s="362"/>
      <c r="E305" s="179"/>
      <c r="F305" s="423"/>
      <c r="G305" s="205"/>
    </row>
    <row r="306" spans="1:16" x14ac:dyDescent="0.25">
      <c r="A306" s="205"/>
      <c r="B306" s="2040" t="s">
        <v>26</v>
      </c>
      <c r="C306" s="2040"/>
      <c r="D306" s="2040"/>
      <c r="E306" s="2040"/>
      <c r="F306" s="423">
        <f>SUM(F289:F305)</f>
        <v>3095000</v>
      </c>
      <c r="G306" s="205" t="s">
        <v>3295</v>
      </c>
      <c r="J306" s="23"/>
      <c r="K306" s="23"/>
      <c r="P306" s="23">
        <f>F306</f>
        <v>3095000</v>
      </c>
    </row>
    <row r="307" spans="1:16" x14ac:dyDescent="0.25">
      <c r="A307" s="1926" t="s">
        <v>516</v>
      </c>
      <c r="B307" s="1926"/>
      <c r="C307" s="152" t="s">
        <v>27</v>
      </c>
      <c r="D307" s="1926" t="s">
        <v>3654</v>
      </c>
      <c r="E307" s="1926"/>
      <c r="F307" s="1926"/>
      <c r="G307" s="152"/>
    </row>
    <row r="308" spans="1:16" x14ac:dyDescent="0.25">
      <c r="A308" s="1926" t="s">
        <v>28</v>
      </c>
      <c r="B308" s="1926"/>
      <c r="C308" s="152"/>
      <c r="D308" s="1927" t="s">
        <v>3565</v>
      </c>
      <c r="E308" s="1927"/>
      <c r="F308" s="1927"/>
      <c r="G308" s="152"/>
    </row>
    <row r="309" spans="1:16" x14ac:dyDescent="0.25">
      <c r="A309" s="150"/>
      <c r="B309" s="151"/>
      <c r="C309" s="152"/>
      <c r="D309" s="153"/>
      <c r="E309" s="1770"/>
      <c r="F309" s="182"/>
      <c r="G309" s="152"/>
    </row>
    <row r="310" spans="1:16" x14ac:dyDescent="0.25">
      <c r="A310" s="150"/>
      <c r="B310" s="151"/>
      <c r="C310" s="152"/>
      <c r="D310" s="153"/>
      <c r="E310" s="1770"/>
      <c r="F310" s="182"/>
      <c r="G310" s="152"/>
    </row>
    <row r="311" spans="1:16" x14ac:dyDescent="0.25">
      <c r="A311" s="1926"/>
      <c r="B311" s="1926"/>
      <c r="C311" s="152"/>
      <c r="D311" s="153"/>
      <c r="E311" s="1926"/>
      <c r="F311" s="1926"/>
      <c r="G311" s="152"/>
    </row>
    <row r="312" spans="1:16" x14ac:dyDescent="0.25">
      <c r="A312" s="1926" t="s">
        <v>29</v>
      </c>
      <c r="B312" s="1926"/>
      <c r="C312" s="152"/>
      <c r="D312" s="1926" t="s">
        <v>3564</v>
      </c>
      <c r="E312" s="1926"/>
      <c r="F312" s="1926"/>
      <c r="G312" s="152"/>
    </row>
    <row r="313" spans="1:16" x14ac:dyDescent="0.25">
      <c r="A313" s="393"/>
      <c r="B313" s="393"/>
      <c r="C313" s="393"/>
      <c r="D313" s="393"/>
      <c r="E313" s="393"/>
      <c r="F313" s="393"/>
      <c r="G313" s="393"/>
    </row>
    <row r="314" spans="1:16" x14ac:dyDescent="0.25">
      <c r="A314" s="1968" t="s">
        <v>0</v>
      </c>
      <c r="B314" s="1968"/>
      <c r="C314" s="1968"/>
      <c r="D314" s="1968"/>
      <c r="E314" s="1968"/>
      <c r="F314" s="1968"/>
      <c r="G314" s="1332"/>
    </row>
    <row r="315" spans="1:16" x14ac:dyDescent="0.25">
      <c r="A315" s="1968" t="s">
        <v>1</v>
      </c>
      <c r="B315" s="1968"/>
      <c r="C315" s="1968"/>
      <c r="D315" s="1968"/>
      <c r="E315" s="1968"/>
      <c r="F315" s="1968"/>
      <c r="G315" s="1332"/>
    </row>
    <row r="316" spans="1:16" x14ac:dyDescent="0.25">
      <c r="A316" s="1968" t="s">
        <v>2398</v>
      </c>
      <c r="B316" s="1968"/>
      <c r="C316" s="1968"/>
      <c r="D316" s="1968"/>
      <c r="E316" s="1968"/>
      <c r="F316" s="1968"/>
      <c r="G316" s="1332"/>
    </row>
    <row r="317" spans="1:16" x14ac:dyDescent="0.25">
      <c r="A317" s="1378" t="s">
        <v>649</v>
      </c>
      <c r="B317" s="1378" t="s">
        <v>648</v>
      </c>
      <c r="C317" s="1378"/>
      <c r="D317" s="1378"/>
      <c r="E317" s="1378"/>
      <c r="F317" s="1721" t="s">
        <v>6</v>
      </c>
      <c r="G317" s="1332"/>
    </row>
    <row r="318" spans="1:16" x14ac:dyDescent="0.25">
      <c r="A318" s="1220" t="s">
        <v>237</v>
      </c>
      <c r="B318" s="1220" t="s">
        <v>647</v>
      </c>
      <c r="C318" s="1378"/>
      <c r="D318" s="1378"/>
      <c r="E318" s="1378"/>
      <c r="F318" s="1722" t="s">
        <v>482</v>
      </c>
      <c r="G318" s="1332"/>
    </row>
    <row r="319" spans="1:16" x14ac:dyDescent="0.25">
      <c r="A319" s="1220" t="s">
        <v>646</v>
      </c>
      <c r="B319" s="1220" t="s">
        <v>2342</v>
      </c>
      <c r="C319" s="1378"/>
      <c r="D319" s="1378"/>
      <c r="E319" s="1378"/>
      <c r="F319" s="1378"/>
      <c r="G319" s="1332"/>
    </row>
    <row r="320" spans="1:16" x14ac:dyDescent="0.25">
      <c r="A320" s="1378" t="s">
        <v>488</v>
      </c>
      <c r="B320" s="1378" t="s">
        <v>513</v>
      </c>
      <c r="C320" s="1378"/>
      <c r="D320" s="1378"/>
      <c r="E320" s="1378"/>
      <c r="F320" s="1378"/>
      <c r="G320" s="1332"/>
    </row>
    <row r="321" spans="1:7" x14ac:dyDescent="0.25">
      <c r="A321" s="1378" t="s">
        <v>470</v>
      </c>
      <c r="B321" s="1378"/>
      <c r="C321" s="1378"/>
      <c r="D321" s="1378"/>
      <c r="E321" s="1378"/>
      <c r="F321" s="1378"/>
      <c r="G321" s="1332"/>
    </row>
    <row r="322" spans="1:7" ht="24" x14ac:dyDescent="0.25">
      <c r="A322" s="1335" t="s">
        <v>30</v>
      </c>
      <c r="B322" s="1335" t="s">
        <v>11</v>
      </c>
      <c r="C322" s="2052" t="s">
        <v>12</v>
      </c>
      <c r="D322" s="2053"/>
      <c r="E322" s="1723" t="s">
        <v>13</v>
      </c>
      <c r="F322" s="1335" t="s">
        <v>14</v>
      </c>
      <c r="G322" s="1724" t="s">
        <v>34</v>
      </c>
    </row>
    <row r="323" spans="1:7" x14ac:dyDescent="0.25">
      <c r="A323" s="1227">
        <v>1</v>
      </c>
      <c r="B323" s="1227">
        <v>2</v>
      </c>
      <c r="C323" s="2013">
        <v>3</v>
      </c>
      <c r="D323" s="2014"/>
      <c r="E323" s="1231">
        <v>4</v>
      </c>
      <c r="F323" s="1229">
        <v>5</v>
      </c>
      <c r="G323" s="1232">
        <v>6</v>
      </c>
    </row>
    <row r="324" spans="1:7" x14ac:dyDescent="0.25">
      <c r="A324" s="1233" t="s">
        <v>644</v>
      </c>
      <c r="B324" s="1233" t="s">
        <v>304</v>
      </c>
      <c r="C324" s="1725"/>
      <c r="D324" s="1726"/>
      <c r="E324" s="1724"/>
      <c r="F324" s="1724"/>
      <c r="G324" s="1727"/>
    </row>
    <row r="325" spans="1:7" x14ac:dyDescent="0.25">
      <c r="A325" s="1233" t="s">
        <v>643</v>
      </c>
      <c r="B325" s="1233" t="s">
        <v>642</v>
      </c>
      <c r="C325" s="1725"/>
      <c r="D325" s="1726"/>
      <c r="E325" s="1724"/>
      <c r="F325" s="1724"/>
      <c r="G325" s="1727"/>
    </row>
    <row r="326" spans="1:7" ht="24" x14ac:dyDescent="0.25">
      <c r="A326" s="1233" t="s">
        <v>639</v>
      </c>
      <c r="B326" s="1728" t="s">
        <v>307</v>
      </c>
      <c r="C326" s="1229"/>
      <c r="D326" s="1230"/>
      <c r="E326" s="1264"/>
      <c r="F326" s="1729"/>
      <c r="G326" s="1727"/>
    </row>
    <row r="327" spans="1:7" ht="24" x14ac:dyDescent="0.25">
      <c r="A327" s="1233"/>
      <c r="B327" s="1728" t="s">
        <v>2376</v>
      </c>
      <c r="C327" s="1229"/>
      <c r="D327" s="1230"/>
      <c r="E327" s="1264"/>
      <c r="F327" s="1729"/>
      <c r="G327" s="1727"/>
    </row>
    <row r="328" spans="1:7" x14ac:dyDescent="0.25">
      <c r="A328" s="1233"/>
      <c r="B328" s="1728" t="s">
        <v>2377</v>
      </c>
      <c r="C328" s="1229">
        <f>20*2</f>
        <v>40</v>
      </c>
      <c r="D328" s="1230" t="s">
        <v>269</v>
      </c>
      <c r="E328" s="1264">
        <v>20000</v>
      </c>
      <c r="F328" s="1729">
        <f>E328*C328</f>
        <v>800000</v>
      </c>
      <c r="G328" s="1727"/>
    </row>
    <row r="329" spans="1:7" x14ac:dyDescent="0.25">
      <c r="A329" s="1286"/>
      <c r="B329" s="941" t="s">
        <v>638</v>
      </c>
      <c r="C329" s="912"/>
      <c r="D329" s="1730"/>
      <c r="E329" s="1731"/>
      <c r="F329" s="1729"/>
      <c r="G329" s="1727"/>
    </row>
    <row r="330" spans="1:7" x14ac:dyDescent="0.25">
      <c r="A330" s="1286"/>
      <c r="B330" s="941" t="s">
        <v>2375</v>
      </c>
      <c r="C330" s="912">
        <f>15*10</f>
        <v>150</v>
      </c>
      <c r="D330" s="1730" t="s">
        <v>269</v>
      </c>
      <c r="E330" s="945">
        <v>20000</v>
      </c>
      <c r="F330" s="1729">
        <f>E330*C330</f>
        <v>3000000</v>
      </c>
      <c r="G330" s="1727"/>
    </row>
    <row r="331" spans="1:7" ht="24.75" x14ac:dyDescent="0.25">
      <c r="A331" s="1286"/>
      <c r="B331" s="911" t="s">
        <v>3483</v>
      </c>
      <c r="C331" s="912"/>
      <c r="D331" s="1730"/>
      <c r="E331" s="945"/>
      <c r="F331" s="1729"/>
      <c r="G331" s="1727"/>
    </row>
    <row r="332" spans="1:7" x14ac:dyDescent="0.25">
      <c r="A332" s="1286"/>
      <c r="B332" s="941" t="s">
        <v>1842</v>
      </c>
      <c r="C332" s="912">
        <f>44*10</f>
        <v>440</v>
      </c>
      <c r="D332" s="1730" t="s">
        <v>269</v>
      </c>
      <c r="E332" s="945">
        <v>25000</v>
      </c>
      <c r="F332" s="1729">
        <f>E332*C332</f>
        <v>11000000</v>
      </c>
      <c r="G332" s="1727"/>
    </row>
    <row r="333" spans="1:7" x14ac:dyDescent="0.25">
      <c r="A333" s="1286"/>
      <c r="B333" s="911" t="s">
        <v>3485</v>
      </c>
      <c r="C333" s="912">
        <f>30*10</f>
        <v>300</v>
      </c>
      <c r="D333" s="1730" t="s">
        <v>269</v>
      </c>
      <c r="E333" s="945">
        <v>25000</v>
      </c>
      <c r="F333" s="1729">
        <f>E333*C333</f>
        <v>7500000</v>
      </c>
      <c r="G333" s="1727"/>
    </row>
    <row r="334" spans="1:7" x14ac:dyDescent="0.25">
      <c r="A334" s="1286"/>
      <c r="B334" s="911" t="s">
        <v>3484</v>
      </c>
      <c r="C334" s="912">
        <v>300</v>
      </c>
      <c r="D334" s="1730" t="s">
        <v>269</v>
      </c>
      <c r="E334" s="945">
        <v>25000</v>
      </c>
      <c r="F334" s="1729">
        <f>E334*C334</f>
        <v>7500000</v>
      </c>
      <c r="G334" s="1727"/>
    </row>
    <row r="335" spans="1:7" x14ac:dyDescent="0.25">
      <c r="A335" s="1286"/>
      <c r="B335" s="941"/>
      <c r="C335" s="912"/>
      <c r="D335" s="1730"/>
      <c r="E335" s="945"/>
      <c r="F335" s="1729"/>
      <c r="G335" s="1727"/>
    </row>
    <row r="336" spans="1:7" x14ac:dyDescent="0.25">
      <c r="A336" s="1233" t="s">
        <v>651</v>
      </c>
      <c r="B336" s="911" t="s">
        <v>1839</v>
      </c>
      <c r="C336" s="1732"/>
      <c r="D336" s="1733"/>
      <c r="E336" s="1286"/>
      <c r="F336" s="1729"/>
      <c r="G336" s="1727"/>
    </row>
    <row r="337" spans="1:7" x14ac:dyDescent="0.25">
      <c r="A337" s="1233"/>
      <c r="B337" s="911" t="s">
        <v>3487</v>
      </c>
      <c r="C337" s="1307">
        <v>100</v>
      </c>
      <c r="D337" s="1733" t="s">
        <v>606</v>
      </c>
      <c r="E337" s="1734">
        <v>3000</v>
      </c>
      <c r="F337" s="1729">
        <f>E337*C337</f>
        <v>300000</v>
      </c>
      <c r="G337" s="1727"/>
    </row>
    <row r="338" spans="1:7" x14ac:dyDescent="0.25">
      <c r="A338" s="1286"/>
      <c r="B338" s="911" t="s">
        <v>3486</v>
      </c>
      <c r="C338" s="912">
        <v>10</v>
      </c>
      <c r="D338" s="1730" t="s">
        <v>116</v>
      </c>
      <c r="E338" s="945">
        <v>10000</v>
      </c>
      <c r="F338" s="1729">
        <f>E338*C338</f>
        <v>100000</v>
      </c>
      <c r="G338" s="1727"/>
    </row>
    <row r="339" spans="1:7" x14ac:dyDescent="0.25">
      <c r="A339" s="1286" t="s">
        <v>635</v>
      </c>
      <c r="B339" s="911" t="s">
        <v>294</v>
      </c>
      <c r="C339" s="912"/>
      <c r="D339" s="1730"/>
      <c r="E339" s="945"/>
      <c r="F339" s="1729"/>
      <c r="G339" s="1727"/>
    </row>
    <row r="340" spans="1:7" x14ac:dyDescent="0.25">
      <c r="A340" s="1732" t="s">
        <v>634</v>
      </c>
      <c r="B340" s="911" t="s">
        <v>2383</v>
      </c>
      <c r="C340" s="912"/>
      <c r="D340" s="1730"/>
      <c r="E340" s="945"/>
      <c r="F340" s="1729"/>
      <c r="G340" s="1727"/>
    </row>
    <row r="341" spans="1:7" x14ac:dyDescent="0.25">
      <c r="A341" s="1732"/>
      <c r="B341" s="911" t="s">
        <v>2384</v>
      </c>
      <c r="C341" s="912">
        <v>10</v>
      </c>
      <c r="D341" s="1730" t="s">
        <v>392</v>
      </c>
      <c r="E341" s="945">
        <v>250000</v>
      </c>
      <c r="F341" s="1729">
        <f>E341*C341</f>
        <v>2500000</v>
      </c>
      <c r="G341" s="1727"/>
    </row>
    <row r="342" spans="1:7" x14ac:dyDescent="0.25">
      <c r="A342" s="1286" t="s">
        <v>2378</v>
      </c>
      <c r="B342" s="911" t="s">
        <v>442</v>
      </c>
      <c r="C342" s="912"/>
      <c r="D342" s="1730"/>
      <c r="E342" s="945"/>
      <c r="F342" s="1735"/>
      <c r="G342" s="1727"/>
    </row>
    <row r="343" spans="1:7" x14ac:dyDescent="0.25">
      <c r="A343" s="1286" t="s">
        <v>2379</v>
      </c>
      <c r="B343" s="911" t="s">
        <v>2380</v>
      </c>
      <c r="C343" s="912"/>
      <c r="D343" s="1730"/>
      <c r="E343" s="945"/>
      <c r="F343" s="1735"/>
      <c r="G343" s="1727"/>
    </row>
    <row r="344" spans="1:7" x14ac:dyDescent="0.25">
      <c r="A344" s="1732"/>
      <c r="B344" s="911" t="s">
        <v>1636</v>
      </c>
      <c r="C344" s="912">
        <v>50</v>
      </c>
      <c r="D344" s="1730" t="s">
        <v>106</v>
      </c>
      <c r="E344" s="945">
        <v>10000</v>
      </c>
      <c r="F344" s="1735">
        <f>E344*C344</f>
        <v>500000</v>
      </c>
      <c r="G344" s="1727"/>
    </row>
    <row r="345" spans="1:7" x14ac:dyDescent="0.25">
      <c r="A345" s="1732"/>
      <c r="B345" s="911" t="s">
        <v>1560</v>
      </c>
      <c r="C345" s="912">
        <v>4</v>
      </c>
      <c r="D345" s="1730" t="s">
        <v>106</v>
      </c>
      <c r="E345" s="945">
        <v>100000</v>
      </c>
      <c r="F345" s="1735">
        <f>E345*C345</f>
        <v>400000</v>
      </c>
      <c r="G345" s="1727"/>
    </row>
    <row r="346" spans="1:7" x14ac:dyDescent="0.25">
      <c r="A346" s="1732"/>
      <c r="B346" s="911" t="s">
        <v>2381</v>
      </c>
      <c r="C346" s="912">
        <v>2</v>
      </c>
      <c r="D346" s="1730" t="s">
        <v>110</v>
      </c>
      <c r="E346" s="945">
        <v>500000</v>
      </c>
      <c r="F346" s="1735">
        <f>E346*C346</f>
        <v>1000000</v>
      </c>
      <c r="G346" s="1727"/>
    </row>
    <row r="347" spans="1:7" x14ac:dyDescent="0.25">
      <c r="A347" s="1732"/>
      <c r="B347" s="911" t="s">
        <v>2382</v>
      </c>
      <c r="C347" s="912">
        <v>1</v>
      </c>
      <c r="D347" s="1730" t="s">
        <v>133</v>
      </c>
      <c r="E347" s="945">
        <v>1000000</v>
      </c>
      <c r="F347" s="1735">
        <f>E347*C347</f>
        <v>1000000</v>
      </c>
      <c r="G347" s="1727"/>
    </row>
    <row r="348" spans="1:7" x14ac:dyDescent="0.25">
      <c r="A348" s="1286" t="s">
        <v>2385</v>
      </c>
      <c r="B348" s="911" t="s">
        <v>1655</v>
      </c>
      <c r="C348" s="912"/>
      <c r="D348" s="1730"/>
      <c r="E348" s="945"/>
      <c r="F348" s="1735"/>
      <c r="G348" s="1727"/>
    </row>
    <row r="349" spans="1:7" ht="24.75" x14ac:dyDescent="0.25">
      <c r="A349" s="1732"/>
      <c r="B349" s="911" t="s">
        <v>3529</v>
      </c>
      <c r="C349" s="912">
        <f>15+30+2</f>
        <v>47</v>
      </c>
      <c r="D349" s="1730" t="s">
        <v>381</v>
      </c>
      <c r="E349" s="945">
        <v>250000</v>
      </c>
      <c r="F349" s="1735">
        <f>E349*C349</f>
        <v>11750000</v>
      </c>
      <c r="G349" s="1727"/>
    </row>
    <row r="350" spans="1:7" s="393" customFormat="1" ht="24" x14ac:dyDescent="0.2">
      <c r="A350" s="935" t="s">
        <v>3481</v>
      </c>
      <c r="B350" s="1736" t="s">
        <v>2230</v>
      </c>
      <c r="C350" s="1737"/>
      <c r="D350" s="1250"/>
      <c r="E350" s="1738"/>
      <c r="F350" s="1739"/>
      <c r="G350" s="1568"/>
    </row>
    <row r="351" spans="1:7" s="393" customFormat="1" ht="24" x14ac:dyDescent="0.2">
      <c r="A351" s="935" t="s">
        <v>3482</v>
      </c>
      <c r="B351" s="1736" t="s">
        <v>2231</v>
      </c>
      <c r="C351" s="1737"/>
      <c r="D351" s="1250"/>
      <c r="E351" s="1738"/>
      <c r="F351" s="1739"/>
      <c r="G351" s="1568"/>
    </row>
    <row r="352" spans="1:7" ht="24.75" x14ac:dyDescent="0.25">
      <c r="A352" s="1732"/>
      <c r="B352" s="911" t="s">
        <v>3525</v>
      </c>
      <c r="C352" s="912">
        <v>45</v>
      </c>
      <c r="D352" s="1730" t="s">
        <v>106</v>
      </c>
      <c r="E352" s="945">
        <v>199000</v>
      </c>
      <c r="F352" s="1735">
        <f>E352*C352</f>
        <v>8955000</v>
      </c>
      <c r="G352" s="1727"/>
    </row>
    <row r="353" spans="1:20" ht="24.75" x14ac:dyDescent="0.25">
      <c r="A353" s="1732"/>
      <c r="B353" s="911" t="s">
        <v>3526</v>
      </c>
      <c r="C353" s="912">
        <v>45</v>
      </c>
      <c r="D353" s="1730" t="s">
        <v>106</v>
      </c>
      <c r="E353" s="945">
        <v>123000</v>
      </c>
      <c r="F353" s="1735">
        <f>E353*C353</f>
        <v>5535000</v>
      </c>
      <c r="G353" s="1727"/>
    </row>
    <row r="354" spans="1:20" ht="24.75" x14ac:dyDescent="0.25">
      <c r="A354" s="1732"/>
      <c r="B354" s="911" t="s">
        <v>3527</v>
      </c>
      <c r="C354" s="912">
        <v>45</v>
      </c>
      <c r="D354" s="1730" t="s">
        <v>106</v>
      </c>
      <c r="E354" s="945">
        <v>500000</v>
      </c>
      <c r="F354" s="1735">
        <f>E354*C354</f>
        <v>22500000</v>
      </c>
      <c r="G354" s="1727"/>
    </row>
    <row r="355" spans="1:20" ht="24.75" x14ac:dyDescent="0.25">
      <c r="A355" s="1732"/>
      <c r="B355" s="911" t="s">
        <v>3528</v>
      </c>
      <c r="C355" s="912">
        <v>45</v>
      </c>
      <c r="D355" s="1730" t="s">
        <v>106</v>
      </c>
      <c r="E355" s="945">
        <v>161000</v>
      </c>
      <c r="F355" s="1735">
        <f>E355*C355</f>
        <v>7245000</v>
      </c>
      <c r="G355" s="1727"/>
    </row>
    <row r="356" spans="1:20" x14ac:dyDescent="0.25">
      <c r="A356" s="1732"/>
      <c r="B356" s="1339" t="s">
        <v>26</v>
      </c>
      <c r="C356" s="1732"/>
      <c r="D356" s="1733"/>
      <c r="E356" s="1286"/>
      <c r="F356" s="1740"/>
      <c r="G356" s="1727" t="s">
        <v>1506</v>
      </c>
      <c r="J356" s="23"/>
      <c r="L356" s="23">
        <f>F356</f>
        <v>0</v>
      </c>
      <c r="T356" s="23"/>
    </row>
    <row r="357" spans="1:20" x14ac:dyDescent="0.25">
      <c r="A357" s="1969" t="s">
        <v>516</v>
      </c>
      <c r="B357" s="1969"/>
      <c r="C357" s="1259" t="s">
        <v>27</v>
      </c>
      <c r="D357" s="1970" t="s">
        <v>1224</v>
      </c>
      <c r="E357" s="1970"/>
      <c r="F357" s="1970"/>
      <c r="G357" s="1259"/>
    </row>
    <row r="358" spans="1:20" x14ac:dyDescent="0.25">
      <c r="A358" s="1969" t="s">
        <v>28</v>
      </c>
      <c r="B358" s="1969"/>
      <c r="C358" s="1259"/>
      <c r="D358" s="1971" t="s">
        <v>2443</v>
      </c>
      <c r="E358" s="1971"/>
      <c r="F358" s="1971"/>
      <c r="G358" s="1259"/>
    </row>
    <row r="359" spans="1:20" x14ac:dyDescent="0.25">
      <c r="A359" s="1261"/>
      <c r="B359" s="1262"/>
      <c r="C359" s="1259"/>
      <c r="D359" s="1260"/>
      <c r="E359" s="948"/>
      <c r="F359" s="948"/>
      <c r="G359" s="1259"/>
    </row>
    <row r="360" spans="1:20" x14ac:dyDescent="0.25">
      <c r="A360" s="1261"/>
      <c r="B360" s="1262"/>
      <c r="C360" s="1259"/>
      <c r="D360" s="1260"/>
      <c r="E360" s="948"/>
      <c r="F360" s="948"/>
      <c r="G360" s="1259"/>
    </row>
    <row r="361" spans="1:20" x14ac:dyDescent="0.25">
      <c r="A361" s="1969"/>
      <c r="B361" s="1969"/>
      <c r="C361" s="1259"/>
      <c r="D361" s="1260"/>
      <c r="E361" s="1969"/>
      <c r="F361" s="1969"/>
      <c r="G361" s="1259"/>
    </row>
    <row r="362" spans="1:20" x14ac:dyDescent="0.25">
      <c r="A362" s="1969" t="s">
        <v>29</v>
      </c>
      <c r="B362" s="1969"/>
      <c r="C362" s="1259"/>
      <c r="D362" s="1969" t="s">
        <v>517</v>
      </c>
      <c r="E362" s="1969"/>
      <c r="F362" s="1969"/>
      <c r="G362" s="1259"/>
    </row>
    <row r="363" spans="1:20" x14ac:dyDescent="0.25">
      <c r="A363" s="393"/>
      <c r="B363" s="393"/>
      <c r="C363" s="393"/>
      <c r="D363" s="393"/>
      <c r="E363" s="393"/>
      <c r="F363" s="393"/>
      <c r="G363" s="393"/>
    </row>
    <row r="364" spans="1:20" x14ac:dyDescent="0.25">
      <c r="A364" s="1947" t="s">
        <v>0</v>
      </c>
      <c r="B364" s="1947"/>
      <c r="C364" s="1947"/>
      <c r="D364" s="1947"/>
      <c r="E364" s="1947"/>
      <c r="F364" s="1947"/>
      <c r="G364" s="393"/>
    </row>
    <row r="365" spans="1:20" x14ac:dyDescent="0.25">
      <c r="A365" s="1947" t="s">
        <v>1</v>
      </c>
      <c r="B365" s="1947"/>
      <c r="C365" s="1947"/>
      <c r="D365" s="1947"/>
      <c r="E365" s="1947"/>
      <c r="F365" s="1947"/>
      <c r="G365" s="393"/>
    </row>
    <row r="366" spans="1:20" x14ac:dyDescent="0.25">
      <c r="A366" s="1947" t="s">
        <v>2398</v>
      </c>
      <c r="B366" s="1947"/>
      <c r="C366" s="1947"/>
      <c r="D366" s="1947"/>
      <c r="E366" s="1947"/>
      <c r="F366" s="1947"/>
      <c r="G366" s="393"/>
    </row>
    <row r="367" spans="1:20" x14ac:dyDescent="0.25">
      <c r="A367" s="149" t="s">
        <v>649</v>
      </c>
      <c r="B367" s="149" t="s">
        <v>648</v>
      </c>
      <c r="C367" s="149"/>
      <c r="D367" s="149"/>
      <c r="E367" s="191" t="s">
        <v>6</v>
      </c>
      <c r="F367" s="191" t="s">
        <v>62</v>
      </c>
      <c r="G367" s="393"/>
    </row>
    <row r="368" spans="1:20" x14ac:dyDescent="0.25">
      <c r="A368" s="340" t="s">
        <v>237</v>
      </c>
      <c r="B368" s="340" t="s">
        <v>647</v>
      </c>
      <c r="C368" s="149"/>
      <c r="D368" s="149"/>
      <c r="E368" s="157" t="s">
        <v>482</v>
      </c>
      <c r="F368" s="157" t="s">
        <v>62</v>
      </c>
      <c r="G368" s="393"/>
    </row>
    <row r="369" spans="1:7" ht="48.75" x14ac:dyDescent="0.25">
      <c r="A369" s="443" t="s">
        <v>646</v>
      </c>
      <c r="B369" s="341" t="s">
        <v>1855</v>
      </c>
      <c r="C369" s="149"/>
      <c r="D369" s="149"/>
      <c r="E369" s="149"/>
      <c r="F369" s="149"/>
      <c r="G369" s="393"/>
    </row>
    <row r="370" spans="1:7" x14ac:dyDescent="0.25">
      <c r="A370" s="149" t="s">
        <v>488</v>
      </c>
      <c r="B370" s="149" t="s">
        <v>513</v>
      </c>
      <c r="C370" s="149"/>
      <c r="D370" s="149"/>
      <c r="E370" s="149"/>
      <c r="F370" s="149"/>
      <c r="G370" s="393"/>
    </row>
    <row r="371" spans="1:7" x14ac:dyDescent="0.25">
      <c r="A371" s="2036" t="s">
        <v>470</v>
      </c>
      <c r="B371" s="2036"/>
      <c r="C371" s="149"/>
      <c r="D371" s="149"/>
      <c r="E371" s="149"/>
      <c r="F371" s="149"/>
      <c r="G371" s="393"/>
    </row>
    <row r="372" spans="1:7" ht="24" x14ac:dyDescent="0.25">
      <c r="A372" s="415" t="s">
        <v>514</v>
      </c>
      <c r="B372" s="415" t="s">
        <v>11</v>
      </c>
      <c r="C372" s="2033" t="s">
        <v>12</v>
      </c>
      <c r="D372" s="2034"/>
      <c r="E372" s="416" t="s">
        <v>13</v>
      </c>
      <c r="F372" s="415" t="s">
        <v>14</v>
      </c>
      <c r="G372" s="417" t="s">
        <v>256</v>
      </c>
    </row>
    <row r="373" spans="1:7" x14ac:dyDescent="0.25">
      <c r="A373" s="418">
        <v>1</v>
      </c>
      <c r="B373" s="418">
        <v>2</v>
      </c>
      <c r="C373" s="2041">
        <v>3</v>
      </c>
      <c r="D373" s="2042"/>
      <c r="E373" s="419">
        <v>4</v>
      </c>
      <c r="F373" s="418">
        <v>5</v>
      </c>
      <c r="G373" s="417">
        <v>6</v>
      </c>
    </row>
    <row r="374" spans="1:7" x14ac:dyDescent="0.25">
      <c r="A374" s="346" t="s">
        <v>663</v>
      </c>
      <c r="B374" s="346" t="s">
        <v>304</v>
      </c>
      <c r="C374" s="384"/>
      <c r="D374" s="413"/>
      <c r="E374" s="186"/>
      <c r="F374" s="186"/>
      <c r="G374" s="205"/>
    </row>
    <row r="375" spans="1:7" x14ac:dyDescent="0.25">
      <c r="A375" s="346" t="s">
        <v>664</v>
      </c>
      <c r="B375" s="346" t="s">
        <v>642</v>
      </c>
      <c r="C375" s="436"/>
      <c r="D375" s="444"/>
      <c r="E375" s="325"/>
      <c r="F375" s="325"/>
      <c r="G375" s="205"/>
    </row>
    <row r="376" spans="1:7" x14ac:dyDescent="0.25">
      <c r="A376" s="164"/>
      <c r="B376" s="412"/>
      <c r="C376" s="169"/>
      <c r="D376" s="170"/>
      <c r="E376" s="141"/>
      <c r="F376" s="373"/>
      <c r="G376" s="205"/>
    </row>
    <row r="377" spans="1:7" x14ac:dyDescent="0.25">
      <c r="A377" s="346" t="s">
        <v>665</v>
      </c>
      <c r="B377" s="412" t="s">
        <v>689</v>
      </c>
      <c r="C377" s="169"/>
      <c r="D377" s="170"/>
      <c r="E377" s="141"/>
      <c r="F377" s="373"/>
      <c r="G377" s="205"/>
    </row>
    <row r="378" spans="1:7" ht="45.75" customHeight="1" x14ac:dyDescent="0.25">
      <c r="A378" s="346"/>
      <c r="B378" s="412" t="s">
        <v>1857</v>
      </c>
      <c r="C378" s="169">
        <f>2*13</f>
        <v>26</v>
      </c>
      <c r="D378" s="170" t="s">
        <v>269</v>
      </c>
      <c r="E378" s="141">
        <v>20000</v>
      </c>
      <c r="F378" s="373">
        <f>E378*C378</f>
        <v>520000</v>
      </c>
      <c r="G378" s="205"/>
    </row>
    <row r="379" spans="1:7" ht="24.75" x14ac:dyDescent="0.25">
      <c r="A379" s="346" t="s">
        <v>667</v>
      </c>
      <c r="B379" s="177" t="s">
        <v>636</v>
      </c>
      <c r="C379" s="384"/>
      <c r="D379" s="413"/>
      <c r="E379" s="186"/>
      <c r="F379" s="373"/>
      <c r="G379" s="205"/>
    </row>
    <row r="380" spans="1:7" x14ac:dyDescent="0.25">
      <c r="A380" s="186"/>
      <c r="B380" s="181" t="s">
        <v>390</v>
      </c>
      <c r="C380" s="178">
        <v>1</v>
      </c>
      <c r="D380" s="362" t="s">
        <v>391</v>
      </c>
      <c r="E380" s="179">
        <v>90000</v>
      </c>
      <c r="F380" s="373">
        <f>E380*C380</f>
        <v>90000</v>
      </c>
      <c r="G380" s="205"/>
    </row>
    <row r="381" spans="1:7" x14ac:dyDescent="0.25">
      <c r="A381" s="346" t="s">
        <v>670</v>
      </c>
      <c r="B381" s="181" t="s">
        <v>294</v>
      </c>
      <c r="C381" s="178"/>
      <c r="D381" s="362"/>
      <c r="E381" s="377"/>
      <c r="F381" s="373"/>
      <c r="G381" s="205"/>
    </row>
    <row r="382" spans="1:7" ht="24.75" x14ac:dyDescent="0.25">
      <c r="A382" s="346" t="s">
        <v>671</v>
      </c>
      <c r="B382" s="177" t="s">
        <v>656</v>
      </c>
      <c r="C382" s="178"/>
      <c r="D382" s="362"/>
      <c r="E382" s="377"/>
      <c r="F382" s="373"/>
      <c r="G382" s="205"/>
    </row>
    <row r="383" spans="1:7" x14ac:dyDescent="0.25">
      <c r="A383" s="186"/>
      <c r="B383" s="181" t="s">
        <v>1856</v>
      </c>
      <c r="C383" s="178">
        <f>2*13</f>
        <v>26</v>
      </c>
      <c r="D383" s="362" t="s">
        <v>1786</v>
      </c>
      <c r="E383" s="377">
        <v>300000</v>
      </c>
      <c r="F383" s="373">
        <f>E383*C383</f>
        <v>7800000</v>
      </c>
      <c r="G383" s="205"/>
    </row>
    <row r="384" spans="1:7" x14ac:dyDescent="0.25">
      <c r="A384" s="186"/>
      <c r="B384" s="181"/>
      <c r="C384" s="178"/>
      <c r="D384" s="362"/>
      <c r="E384" s="377"/>
      <c r="F384" s="373"/>
      <c r="G384" s="205"/>
    </row>
    <row r="385" spans="1:20" x14ac:dyDescent="0.25">
      <c r="A385" s="186"/>
      <c r="B385" s="181"/>
      <c r="C385" s="178"/>
      <c r="D385" s="207"/>
      <c r="E385" s="163"/>
      <c r="F385" s="163"/>
      <c r="G385" s="205"/>
    </row>
    <row r="386" spans="1:20" x14ac:dyDescent="0.25">
      <c r="A386" s="2073" t="s">
        <v>26</v>
      </c>
      <c r="B386" s="2073"/>
      <c r="C386" s="446"/>
      <c r="D386" s="447"/>
      <c r="E386" s="410"/>
      <c r="F386" s="448">
        <f>SUM(F374:F385)</f>
        <v>8410000</v>
      </c>
      <c r="G386" s="205" t="s">
        <v>1410</v>
      </c>
      <c r="J386" s="139">
        <f>F386</f>
        <v>8410000</v>
      </c>
      <c r="L386" s="139"/>
      <c r="T386" s="139"/>
    </row>
    <row r="387" spans="1:20" x14ac:dyDescent="0.25">
      <c r="A387" s="1926" t="s">
        <v>516</v>
      </c>
      <c r="B387" s="1926"/>
      <c r="C387" s="152" t="s">
        <v>27</v>
      </c>
      <c r="D387" s="1926" t="s">
        <v>3654</v>
      </c>
      <c r="E387" s="1926"/>
      <c r="F387" s="1926"/>
      <c r="G387" s="152"/>
    </row>
    <row r="388" spans="1:20" x14ac:dyDescent="0.25">
      <c r="A388" s="1926" t="s">
        <v>28</v>
      </c>
      <c r="B388" s="1926"/>
      <c r="C388" s="152"/>
      <c r="D388" s="1927" t="s">
        <v>3565</v>
      </c>
      <c r="E388" s="1927"/>
      <c r="F388" s="1927"/>
      <c r="G388" s="152"/>
    </row>
    <row r="389" spans="1:20" x14ac:dyDescent="0.25">
      <c r="A389" s="150"/>
      <c r="B389" s="151"/>
      <c r="C389" s="152"/>
      <c r="D389" s="153"/>
      <c r="E389" s="1770"/>
      <c r="F389" s="182"/>
      <c r="G389" s="152"/>
    </row>
    <row r="390" spans="1:20" x14ac:dyDescent="0.25">
      <c r="A390" s="150"/>
      <c r="B390" s="151"/>
      <c r="C390" s="152"/>
      <c r="D390" s="153"/>
      <c r="E390" s="1770"/>
      <c r="F390" s="182"/>
      <c r="G390" s="152"/>
    </row>
    <row r="391" spans="1:20" x14ac:dyDescent="0.25">
      <c r="A391" s="1926"/>
      <c r="B391" s="1926"/>
      <c r="C391" s="152"/>
      <c r="D391" s="153"/>
      <c r="E391" s="1926"/>
      <c r="F391" s="1926"/>
      <c r="G391" s="152"/>
    </row>
    <row r="392" spans="1:20" x14ac:dyDescent="0.25">
      <c r="A392" s="1926" t="s">
        <v>29</v>
      </c>
      <c r="B392" s="1926"/>
      <c r="C392" s="152"/>
      <c r="D392" s="1926" t="s">
        <v>3564</v>
      </c>
      <c r="E392" s="1926"/>
      <c r="F392" s="1926"/>
      <c r="G392" s="152"/>
    </row>
    <row r="397" spans="1:20" x14ac:dyDescent="0.25">
      <c r="A397" s="1947" t="s">
        <v>0</v>
      </c>
      <c r="B397" s="1947"/>
      <c r="C397" s="1947"/>
      <c r="D397" s="1947"/>
      <c r="E397" s="1947"/>
      <c r="F397" s="1947"/>
      <c r="G397" s="1947"/>
    </row>
    <row r="398" spans="1:20" x14ac:dyDescent="0.25">
      <c r="A398" s="1947" t="s">
        <v>1</v>
      </c>
      <c r="B398" s="1947"/>
      <c r="C398" s="1947"/>
      <c r="D398" s="1947"/>
      <c r="E398" s="1947"/>
      <c r="F398" s="1947"/>
      <c r="G398" s="1947"/>
    </row>
    <row r="399" spans="1:20" x14ac:dyDescent="0.25">
      <c r="A399" s="1947" t="s">
        <v>2398</v>
      </c>
      <c r="B399" s="1947"/>
      <c r="C399" s="1947"/>
      <c r="D399" s="1947"/>
      <c r="E399" s="1947"/>
      <c r="F399" s="1947"/>
      <c r="G399" s="1947"/>
    </row>
    <row r="400" spans="1:20" x14ac:dyDescent="0.25">
      <c r="A400" s="148"/>
      <c r="B400" s="148"/>
      <c r="C400" s="148"/>
      <c r="D400" s="148"/>
      <c r="E400" s="148"/>
      <c r="F400" s="148"/>
      <c r="G400" s="149"/>
    </row>
    <row r="401" spans="1:7" x14ac:dyDescent="0.25">
      <c r="A401" s="149" t="s">
        <v>649</v>
      </c>
      <c r="B401" s="149" t="s">
        <v>648</v>
      </c>
      <c r="C401" s="149"/>
      <c r="D401" s="149"/>
      <c r="E401" s="191" t="s">
        <v>6</v>
      </c>
      <c r="F401" s="426"/>
      <c r="G401" s="149"/>
    </row>
    <row r="402" spans="1:7" x14ac:dyDescent="0.25">
      <c r="A402" s="340" t="s">
        <v>237</v>
      </c>
      <c r="B402" s="340" t="s">
        <v>647</v>
      </c>
      <c r="C402" s="340"/>
      <c r="D402" s="148"/>
      <c r="E402" s="157" t="s">
        <v>482</v>
      </c>
      <c r="F402" s="157" t="s">
        <v>432</v>
      </c>
      <c r="G402" s="149"/>
    </row>
    <row r="403" spans="1:7" ht="39.75" customHeight="1" x14ac:dyDescent="0.25">
      <c r="A403" s="443" t="s">
        <v>646</v>
      </c>
      <c r="B403" s="341" t="s">
        <v>2432</v>
      </c>
      <c r="C403" s="341"/>
      <c r="D403" s="148"/>
      <c r="E403" s="414"/>
      <c r="F403" s="340"/>
      <c r="G403" s="149"/>
    </row>
    <row r="404" spans="1:7" x14ac:dyDescent="0.25">
      <c r="A404" s="149" t="s">
        <v>488</v>
      </c>
      <c r="B404" s="149" t="s">
        <v>513</v>
      </c>
      <c r="C404" s="149"/>
      <c r="D404" s="149"/>
      <c r="E404" s="149"/>
      <c r="F404" s="149"/>
      <c r="G404" s="149"/>
    </row>
    <row r="405" spans="1:7" x14ac:dyDescent="0.25">
      <c r="A405" s="2036" t="s">
        <v>470</v>
      </c>
      <c r="B405" s="2036"/>
      <c r="C405" s="149"/>
      <c r="D405" s="340"/>
      <c r="E405" s="382"/>
      <c r="F405" s="149"/>
      <c r="G405" s="149"/>
    </row>
    <row r="406" spans="1:7" x14ac:dyDescent="0.25">
      <c r="A406" s="393"/>
      <c r="B406" s="393"/>
      <c r="C406" s="393"/>
      <c r="D406" s="393"/>
      <c r="E406" s="393"/>
      <c r="F406" s="393"/>
      <c r="G406" s="393"/>
    </row>
    <row r="407" spans="1:7" ht="24" x14ac:dyDescent="0.25">
      <c r="A407" s="408" t="s">
        <v>30</v>
      </c>
      <c r="B407" s="408" t="s">
        <v>11</v>
      </c>
      <c r="C407" s="2050" t="s">
        <v>12</v>
      </c>
      <c r="D407" s="2051"/>
      <c r="E407" s="409" t="s">
        <v>13</v>
      </c>
      <c r="F407" s="408" t="s">
        <v>14</v>
      </c>
      <c r="G407" s="164" t="s">
        <v>34</v>
      </c>
    </row>
    <row r="408" spans="1:7" x14ac:dyDescent="0.25">
      <c r="A408" s="164">
        <v>1</v>
      </c>
      <c r="B408" s="164">
        <v>2</v>
      </c>
      <c r="C408" s="1943">
        <v>3</v>
      </c>
      <c r="D408" s="1943"/>
      <c r="E408" s="427">
        <v>4</v>
      </c>
      <c r="F408" s="164">
        <v>5</v>
      </c>
      <c r="G408" s="164">
        <v>6</v>
      </c>
    </row>
    <row r="409" spans="1:7" x14ac:dyDescent="0.25">
      <c r="A409" s="408"/>
      <c r="B409" s="350" t="s">
        <v>1115</v>
      </c>
      <c r="C409" s="428"/>
      <c r="D409" s="429"/>
      <c r="E409" s="430"/>
      <c r="F409" s="408"/>
      <c r="G409" s="325"/>
    </row>
    <row r="410" spans="1:7" x14ac:dyDescent="0.25">
      <c r="A410" s="350" t="s">
        <v>663</v>
      </c>
      <c r="B410" s="325" t="s">
        <v>277</v>
      </c>
      <c r="C410" s="428"/>
      <c r="D410" s="429"/>
      <c r="E410" s="430"/>
      <c r="F410" s="408"/>
      <c r="G410" s="325"/>
    </row>
    <row r="411" spans="1:7" x14ac:dyDescent="0.25">
      <c r="A411" s="350" t="s">
        <v>664</v>
      </c>
      <c r="B411" s="325" t="s">
        <v>84</v>
      </c>
      <c r="C411" s="428"/>
      <c r="D411" s="429"/>
      <c r="E411" s="430"/>
      <c r="F411" s="408"/>
      <c r="G411" s="325"/>
    </row>
    <row r="412" spans="1:7" ht="24.75" x14ac:dyDescent="0.25">
      <c r="A412" s="431" t="s">
        <v>680</v>
      </c>
      <c r="B412" s="325" t="s">
        <v>679</v>
      </c>
      <c r="C412" s="428"/>
      <c r="D412" s="429"/>
      <c r="E412" s="430"/>
      <c r="F412" s="408"/>
      <c r="G412" s="325"/>
    </row>
    <row r="413" spans="1:7" x14ac:dyDescent="0.25">
      <c r="A413" s="408"/>
      <c r="B413" s="412" t="s">
        <v>265</v>
      </c>
      <c r="C413" s="231">
        <v>130</v>
      </c>
      <c r="D413" s="255" t="s">
        <v>266</v>
      </c>
      <c r="E413" s="395">
        <v>350</v>
      </c>
      <c r="F413" s="395">
        <f>C413*E413</f>
        <v>45500</v>
      </c>
      <c r="G413" s="325"/>
    </row>
    <row r="414" spans="1:7" x14ac:dyDescent="0.25">
      <c r="A414" s="408"/>
      <c r="B414" s="412"/>
      <c r="C414" s="231"/>
      <c r="D414" s="255"/>
      <c r="E414" s="395"/>
      <c r="F414" s="395"/>
      <c r="G414" s="325"/>
    </row>
    <row r="415" spans="1:7" x14ac:dyDescent="0.25">
      <c r="A415" s="325" t="s">
        <v>1476</v>
      </c>
      <c r="B415" s="412" t="s">
        <v>930</v>
      </c>
      <c r="C415" s="231"/>
      <c r="D415" s="255"/>
      <c r="E415" s="395"/>
      <c r="F415" s="395"/>
      <c r="G415" s="325"/>
    </row>
    <row r="416" spans="1:7" x14ac:dyDescent="0.25">
      <c r="A416" s="325"/>
      <c r="B416" s="412" t="s">
        <v>1474</v>
      </c>
      <c r="C416" s="231">
        <v>3</v>
      </c>
      <c r="D416" s="255" t="s">
        <v>474</v>
      </c>
      <c r="E416" s="395">
        <v>507000</v>
      </c>
      <c r="F416" s="395">
        <f>C416*E416</f>
        <v>1521000</v>
      </c>
      <c r="G416" s="325"/>
    </row>
    <row r="417" spans="1:20" x14ac:dyDescent="0.25">
      <c r="A417" s="325"/>
      <c r="B417" s="412" t="s">
        <v>1469</v>
      </c>
      <c r="C417" s="231">
        <v>3</v>
      </c>
      <c r="D417" s="255" t="s">
        <v>474</v>
      </c>
      <c r="E417" s="395">
        <v>14800</v>
      </c>
      <c r="F417" s="395">
        <f>C417*E417</f>
        <v>44400</v>
      </c>
      <c r="G417" s="325"/>
    </row>
    <row r="418" spans="1:20" x14ac:dyDescent="0.25">
      <c r="A418" s="325"/>
      <c r="B418" s="412" t="s">
        <v>1475</v>
      </c>
      <c r="C418" s="231">
        <v>3</v>
      </c>
      <c r="D418" s="255" t="s">
        <v>474</v>
      </c>
      <c r="E418" s="395">
        <v>38000</v>
      </c>
      <c r="F418" s="395">
        <f>C418*E418</f>
        <v>114000</v>
      </c>
      <c r="G418" s="325"/>
    </row>
    <row r="419" spans="1:20" ht="24.75" x14ac:dyDescent="0.25">
      <c r="A419" s="325" t="s">
        <v>665</v>
      </c>
      <c r="B419" s="177" t="s">
        <v>307</v>
      </c>
      <c r="C419" s="327"/>
      <c r="D419" s="432"/>
      <c r="E419" s="375"/>
      <c r="F419" s="433"/>
      <c r="G419" s="325"/>
    </row>
    <row r="420" spans="1:20" x14ac:dyDescent="0.25">
      <c r="A420" s="325"/>
      <c r="B420" s="177" t="s">
        <v>1859</v>
      </c>
      <c r="C420" s="327">
        <v>200</v>
      </c>
      <c r="D420" s="432" t="s">
        <v>269</v>
      </c>
      <c r="E420" s="375">
        <v>20000</v>
      </c>
      <c r="F420" s="433">
        <f>E420*C420</f>
        <v>4000000</v>
      </c>
      <c r="G420" s="325"/>
    </row>
    <row r="421" spans="1:20" x14ac:dyDescent="0.25">
      <c r="A421" s="325"/>
      <c r="B421" s="177"/>
      <c r="C421" s="327"/>
      <c r="D421" s="432"/>
      <c r="E421" s="375"/>
      <c r="F421" s="433"/>
      <c r="G421" s="325"/>
    </row>
    <row r="422" spans="1:20" ht="24.75" x14ac:dyDescent="0.25">
      <c r="A422" s="325" t="s">
        <v>667</v>
      </c>
      <c r="B422" s="177" t="s">
        <v>325</v>
      </c>
      <c r="C422" s="327"/>
      <c r="D422" s="432"/>
      <c r="E422" s="375"/>
      <c r="F422" s="433"/>
      <c r="G422" s="325"/>
    </row>
    <row r="423" spans="1:20" x14ac:dyDescent="0.25">
      <c r="A423" s="325"/>
      <c r="B423" s="177" t="s">
        <v>326</v>
      </c>
      <c r="C423" s="327">
        <v>1</v>
      </c>
      <c r="D423" s="432" t="s">
        <v>93</v>
      </c>
      <c r="E423" s="375">
        <v>90000</v>
      </c>
      <c r="F423" s="433">
        <f>E423*C423</f>
        <v>90000</v>
      </c>
      <c r="G423" s="325"/>
    </row>
    <row r="424" spans="1:20" x14ac:dyDescent="0.25">
      <c r="A424" s="325"/>
      <c r="B424" s="177"/>
      <c r="C424" s="327"/>
      <c r="D424" s="432"/>
      <c r="E424" s="375"/>
      <c r="F424" s="433"/>
      <c r="G424" s="325"/>
    </row>
    <row r="425" spans="1:20" x14ac:dyDescent="0.25">
      <c r="A425" s="325" t="s">
        <v>670</v>
      </c>
      <c r="B425" s="177" t="s">
        <v>294</v>
      </c>
      <c r="C425" s="327"/>
      <c r="D425" s="432"/>
      <c r="E425" s="375"/>
      <c r="F425" s="433"/>
      <c r="G425" s="325"/>
    </row>
    <row r="426" spans="1:20" ht="24.75" x14ac:dyDescent="0.25">
      <c r="A426" s="325" t="s">
        <v>671</v>
      </c>
      <c r="B426" s="177" t="s">
        <v>656</v>
      </c>
      <c r="C426" s="327"/>
      <c r="D426" s="432"/>
      <c r="E426" s="434"/>
      <c r="F426" s="435"/>
      <c r="G426" s="325"/>
    </row>
    <row r="427" spans="1:20" ht="36.75" x14ac:dyDescent="0.25">
      <c r="A427" s="325"/>
      <c r="B427" s="177" t="s">
        <v>1860</v>
      </c>
      <c r="C427" s="327">
        <f>3*20</f>
        <v>60</v>
      </c>
      <c r="D427" s="432" t="s">
        <v>3488</v>
      </c>
      <c r="E427" s="434">
        <v>100000</v>
      </c>
      <c r="F427" s="435">
        <f>E427*C427</f>
        <v>6000000</v>
      </c>
      <c r="G427" s="325"/>
    </row>
    <row r="428" spans="1:20" x14ac:dyDescent="0.25">
      <c r="A428" s="325"/>
      <c r="B428" s="177"/>
      <c r="C428" s="327"/>
      <c r="D428" s="432"/>
      <c r="E428" s="375"/>
      <c r="F428" s="435"/>
      <c r="G428" s="325"/>
    </row>
    <row r="429" spans="1:20" ht="24.75" x14ac:dyDescent="0.25">
      <c r="A429" s="436"/>
      <c r="B429" s="1989" t="s">
        <v>26</v>
      </c>
      <c r="C429" s="2035"/>
      <c r="D429" s="2035"/>
      <c r="E429" s="2035"/>
      <c r="F429" s="433">
        <f>SUM(F413:F428)</f>
        <v>11814900</v>
      </c>
      <c r="G429" s="325" t="s">
        <v>1777</v>
      </c>
      <c r="J429" s="23"/>
      <c r="K429" s="23"/>
      <c r="T429" s="23">
        <f>F429</f>
        <v>11814900</v>
      </c>
    </row>
    <row r="430" spans="1:20" x14ac:dyDescent="0.25">
      <c r="A430" s="1926" t="s">
        <v>516</v>
      </c>
      <c r="B430" s="1926"/>
      <c r="C430" s="152" t="s">
        <v>27</v>
      </c>
      <c r="D430" s="1926" t="s">
        <v>3654</v>
      </c>
      <c r="E430" s="1926"/>
      <c r="F430" s="1926"/>
      <c r="G430" s="152"/>
    </row>
    <row r="431" spans="1:20" x14ac:dyDescent="0.25">
      <c r="A431" s="1926" t="s">
        <v>28</v>
      </c>
      <c r="B431" s="1926"/>
      <c r="C431" s="152"/>
      <c r="D431" s="1927" t="s">
        <v>3565</v>
      </c>
      <c r="E431" s="1927"/>
      <c r="F431" s="1927"/>
      <c r="G431" s="152"/>
    </row>
    <row r="432" spans="1:20" x14ac:dyDescent="0.25">
      <c r="A432" s="150"/>
      <c r="B432" s="151"/>
      <c r="C432" s="152"/>
      <c r="D432" s="153"/>
      <c r="E432" s="1770"/>
      <c r="F432" s="182"/>
      <c r="G432" s="152"/>
    </row>
    <row r="433" spans="1:7" x14ac:dyDescent="0.25">
      <c r="A433" s="150"/>
      <c r="B433" s="151"/>
      <c r="C433" s="152"/>
      <c r="D433" s="153"/>
      <c r="E433" s="1770"/>
      <c r="F433" s="182"/>
      <c r="G433" s="152"/>
    </row>
    <row r="434" spans="1:7" x14ac:dyDescent="0.25">
      <c r="A434" s="1926"/>
      <c r="B434" s="1926"/>
      <c r="C434" s="152"/>
      <c r="D434" s="153"/>
      <c r="E434" s="1926"/>
      <c r="F434" s="1926"/>
      <c r="G434" s="152"/>
    </row>
    <row r="435" spans="1:7" x14ac:dyDescent="0.25">
      <c r="A435" s="1926" t="s">
        <v>29</v>
      </c>
      <c r="B435" s="1926"/>
      <c r="C435" s="152"/>
      <c r="D435" s="1926" t="s">
        <v>3564</v>
      </c>
      <c r="E435" s="1926"/>
      <c r="F435" s="1926"/>
      <c r="G435" s="152"/>
    </row>
    <row r="437" spans="1:7" x14ac:dyDescent="0.25">
      <c r="A437" s="1947" t="s">
        <v>0</v>
      </c>
      <c r="B437" s="1947"/>
      <c r="C437" s="1947"/>
      <c r="D437" s="1947"/>
      <c r="E437" s="1947"/>
      <c r="F437" s="1947"/>
      <c r="G437" s="1947"/>
    </row>
    <row r="438" spans="1:7" x14ac:dyDescent="0.25">
      <c r="A438" s="1947" t="s">
        <v>1</v>
      </c>
      <c r="B438" s="1947"/>
      <c r="C438" s="1947"/>
      <c r="D438" s="1947"/>
      <c r="E438" s="1947"/>
      <c r="F438" s="1947"/>
      <c r="G438" s="1947"/>
    </row>
    <row r="439" spans="1:7" x14ac:dyDescent="0.25">
      <c r="A439" s="1947" t="s">
        <v>2398</v>
      </c>
      <c r="B439" s="1947"/>
      <c r="C439" s="1947"/>
      <c r="D439" s="1947"/>
      <c r="E439" s="1947"/>
      <c r="F439" s="1947"/>
      <c r="G439" s="1947"/>
    </row>
    <row r="440" spans="1:7" x14ac:dyDescent="0.25">
      <c r="A440" s="393" t="s">
        <v>251</v>
      </c>
      <c r="B440" s="393" t="s">
        <v>648</v>
      </c>
      <c r="C440" s="393"/>
      <c r="D440" s="393"/>
      <c r="E440" s="393"/>
      <c r="F440" s="393"/>
      <c r="G440" s="393"/>
    </row>
    <row r="441" spans="1:7" x14ac:dyDescent="0.25">
      <c r="A441" s="393" t="s">
        <v>252</v>
      </c>
      <c r="B441" s="393" t="s">
        <v>647</v>
      </c>
      <c r="C441" s="393"/>
      <c r="D441" s="393"/>
      <c r="E441" s="393" t="s">
        <v>6</v>
      </c>
      <c r="F441" s="393" t="s">
        <v>62</v>
      </c>
      <c r="G441" s="393"/>
    </row>
    <row r="442" spans="1:7" ht="48" x14ac:dyDescent="0.25">
      <c r="A442" s="437" t="s">
        <v>253</v>
      </c>
      <c r="B442" s="438" t="s">
        <v>1488</v>
      </c>
      <c r="C442" s="438"/>
      <c r="D442" s="438"/>
      <c r="E442" s="405" t="s">
        <v>9</v>
      </c>
      <c r="F442" s="393" t="s">
        <v>62</v>
      </c>
      <c r="G442" s="393"/>
    </row>
    <row r="443" spans="1:7" ht="24.75" x14ac:dyDescent="0.25">
      <c r="A443" s="405" t="s">
        <v>428</v>
      </c>
      <c r="B443" s="393" t="s">
        <v>60</v>
      </c>
      <c r="C443" s="393"/>
      <c r="D443" s="393"/>
      <c r="E443" s="393"/>
      <c r="F443" s="393"/>
      <c r="G443" s="393"/>
    </row>
    <row r="444" spans="1:7" x14ac:dyDescent="0.25">
      <c r="A444" s="405" t="s">
        <v>61</v>
      </c>
      <c r="B444" s="393" t="s">
        <v>62</v>
      </c>
      <c r="C444" s="393"/>
      <c r="D444" s="393"/>
      <c r="E444" s="393"/>
      <c r="F444" s="393"/>
      <c r="G444" s="393"/>
    </row>
    <row r="445" spans="1:7" x14ac:dyDescent="0.25">
      <c r="A445" s="393"/>
      <c r="B445" s="393"/>
      <c r="C445" s="393"/>
      <c r="D445" s="393"/>
      <c r="E445" s="393"/>
      <c r="F445" s="393"/>
      <c r="G445" s="393"/>
    </row>
    <row r="446" spans="1:7" x14ac:dyDescent="0.25">
      <c r="A446" s="417" t="s">
        <v>255</v>
      </c>
      <c r="B446" s="417" t="s">
        <v>11</v>
      </c>
      <c r="C446" s="2038" t="s">
        <v>12</v>
      </c>
      <c r="D446" s="2039"/>
      <c r="E446" s="417" t="s">
        <v>13</v>
      </c>
      <c r="F446" s="417" t="s">
        <v>14</v>
      </c>
      <c r="G446" s="417" t="s">
        <v>256</v>
      </c>
    </row>
    <row r="447" spans="1:7" x14ac:dyDescent="0.25">
      <c r="A447" s="417">
        <v>1</v>
      </c>
      <c r="B447" s="417">
        <v>2</v>
      </c>
      <c r="C447" s="2038">
        <v>3</v>
      </c>
      <c r="D447" s="2039"/>
      <c r="E447" s="417">
        <v>4</v>
      </c>
      <c r="F447" s="417">
        <v>5</v>
      </c>
      <c r="G447" s="417">
        <v>6</v>
      </c>
    </row>
    <row r="448" spans="1:7" x14ac:dyDescent="0.25">
      <c r="A448" s="205" t="s">
        <v>663</v>
      </c>
      <c r="B448" s="205" t="s">
        <v>277</v>
      </c>
      <c r="C448" s="420"/>
      <c r="D448" s="439"/>
      <c r="E448" s="205"/>
      <c r="F448" s="205"/>
      <c r="G448" s="205"/>
    </row>
    <row r="449" spans="1:19" x14ac:dyDescent="0.25">
      <c r="A449" s="205" t="s">
        <v>680</v>
      </c>
      <c r="B449" s="410" t="s">
        <v>84</v>
      </c>
      <c r="C449" s="420"/>
      <c r="D449" s="439"/>
      <c r="E449" s="205"/>
      <c r="F449" s="205"/>
      <c r="G449" s="205"/>
    </row>
    <row r="450" spans="1:19" ht="24.75" x14ac:dyDescent="0.25">
      <c r="A450" s="205"/>
      <c r="B450" s="410" t="s">
        <v>679</v>
      </c>
      <c r="C450" s="420"/>
      <c r="D450" s="439"/>
      <c r="E450" s="205"/>
      <c r="F450" s="422"/>
      <c r="G450" s="205"/>
    </row>
    <row r="451" spans="1:19" x14ac:dyDescent="0.25">
      <c r="A451" s="205"/>
      <c r="B451" s="205" t="s">
        <v>1752</v>
      </c>
      <c r="C451" s="420">
        <v>26</v>
      </c>
      <c r="D451" s="439" t="s">
        <v>93</v>
      </c>
      <c r="E451" s="422">
        <v>5000</v>
      </c>
      <c r="F451" s="422">
        <f t="shared" ref="F451:F463" si="19">C451*E451</f>
        <v>130000</v>
      </c>
      <c r="G451" s="205"/>
    </row>
    <row r="452" spans="1:19" x14ac:dyDescent="0.25">
      <c r="A452" s="205"/>
      <c r="B452" s="205" t="s">
        <v>1460</v>
      </c>
      <c r="C452" s="420">
        <v>26</v>
      </c>
      <c r="D452" s="439" t="s">
        <v>93</v>
      </c>
      <c r="E452" s="422">
        <v>7000</v>
      </c>
      <c r="F452" s="422">
        <f t="shared" si="19"/>
        <v>182000</v>
      </c>
      <c r="G452" s="205"/>
      <c r="H452" s="957"/>
    </row>
    <row r="453" spans="1:19" x14ac:dyDescent="0.25">
      <c r="A453" s="205"/>
      <c r="B453" s="205" t="s">
        <v>1456</v>
      </c>
      <c r="C453" s="420">
        <v>20</v>
      </c>
      <c r="D453" s="439" t="s">
        <v>93</v>
      </c>
      <c r="E453" s="422">
        <v>38000</v>
      </c>
      <c r="F453" s="422">
        <f t="shared" si="19"/>
        <v>760000</v>
      </c>
      <c r="G453" s="205"/>
    </row>
    <row r="454" spans="1:19" x14ac:dyDescent="0.25">
      <c r="A454" s="205"/>
      <c r="B454" s="205" t="s">
        <v>1457</v>
      </c>
      <c r="C454" s="420">
        <v>5</v>
      </c>
      <c r="D454" s="439" t="s">
        <v>93</v>
      </c>
      <c r="E454" s="422">
        <v>18000</v>
      </c>
      <c r="F454" s="422">
        <f t="shared" si="19"/>
        <v>90000</v>
      </c>
      <c r="G454" s="205"/>
    </row>
    <row r="455" spans="1:19" x14ac:dyDescent="0.25">
      <c r="A455" s="205" t="s">
        <v>2340</v>
      </c>
      <c r="B455" s="205" t="s">
        <v>2341</v>
      </c>
      <c r="C455" s="420"/>
      <c r="D455" s="439"/>
      <c r="E455" s="422"/>
      <c r="F455" s="422"/>
      <c r="G455" s="205"/>
    </row>
    <row r="456" spans="1:19" x14ac:dyDescent="0.25">
      <c r="A456" s="205"/>
      <c r="B456" s="205" t="s">
        <v>1090</v>
      </c>
      <c r="C456" s="420">
        <v>300</v>
      </c>
      <c r="D456" s="439" t="s">
        <v>266</v>
      </c>
      <c r="E456" s="422">
        <v>350</v>
      </c>
      <c r="F456" s="422">
        <f>C456*E456</f>
        <v>105000</v>
      </c>
      <c r="G456" s="205"/>
    </row>
    <row r="457" spans="1:19" ht="24.75" x14ac:dyDescent="0.25">
      <c r="A457" s="205" t="s">
        <v>665</v>
      </c>
      <c r="B457" s="410" t="s">
        <v>307</v>
      </c>
      <c r="C457" s="420"/>
      <c r="D457" s="439"/>
      <c r="E457" s="422"/>
      <c r="F457" s="422"/>
      <c r="G457" s="205"/>
    </row>
    <row r="458" spans="1:19" ht="24.75" x14ac:dyDescent="0.25">
      <c r="A458" s="205"/>
      <c r="B458" s="410" t="s">
        <v>1861</v>
      </c>
      <c r="C458" s="420">
        <v>30</v>
      </c>
      <c r="D458" s="439" t="s">
        <v>269</v>
      </c>
      <c r="E458" s="422">
        <v>20000</v>
      </c>
      <c r="F458" s="422">
        <f t="shared" si="19"/>
        <v>600000</v>
      </c>
      <c r="G458" s="205"/>
    </row>
    <row r="459" spans="1:19" ht="24.75" x14ac:dyDescent="0.25">
      <c r="A459" s="205" t="s">
        <v>667</v>
      </c>
      <c r="B459" s="410" t="s">
        <v>325</v>
      </c>
      <c r="C459" s="420"/>
      <c r="D459" s="439"/>
      <c r="E459" s="422"/>
      <c r="F459" s="422"/>
      <c r="G459" s="205"/>
    </row>
    <row r="460" spans="1:19" x14ac:dyDescent="0.25">
      <c r="A460" s="205"/>
      <c r="B460" s="205" t="s">
        <v>326</v>
      </c>
      <c r="C460" s="420">
        <v>1</v>
      </c>
      <c r="D460" s="439" t="s">
        <v>93</v>
      </c>
      <c r="E460" s="422">
        <v>90000</v>
      </c>
      <c r="F460" s="422">
        <f t="shared" si="19"/>
        <v>90000</v>
      </c>
      <c r="G460" s="205"/>
    </row>
    <row r="461" spans="1:19" x14ac:dyDescent="0.25">
      <c r="A461" s="205" t="s">
        <v>670</v>
      </c>
      <c r="B461" s="205" t="s">
        <v>349</v>
      </c>
      <c r="C461" s="420"/>
      <c r="D461" s="439"/>
      <c r="E461" s="422"/>
      <c r="F461" s="422"/>
      <c r="G461" s="205"/>
    </row>
    <row r="462" spans="1:19" ht="36.75" x14ac:dyDescent="0.25">
      <c r="A462" s="205" t="s">
        <v>691</v>
      </c>
      <c r="B462" s="410" t="s">
        <v>411</v>
      </c>
      <c r="C462" s="420"/>
      <c r="D462" s="439"/>
      <c r="E462" s="422"/>
      <c r="F462" s="422"/>
      <c r="G462" s="205"/>
    </row>
    <row r="463" spans="1:19" x14ac:dyDescent="0.25">
      <c r="A463" s="205"/>
      <c r="B463" s="205" t="s">
        <v>1459</v>
      </c>
      <c r="C463" s="420">
        <v>2</v>
      </c>
      <c r="D463" s="439" t="s">
        <v>3489</v>
      </c>
      <c r="E463" s="422">
        <v>900000</v>
      </c>
      <c r="F463" s="422">
        <f t="shared" si="19"/>
        <v>1800000</v>
      </c>
      <c r="G463" s="205"/>
    </row>
    <row r="464" spans="1:19" x14ac:dyDescent="0.25">
      <c r="A464" s="205"/>
      <c r="B464" s="205" t="s">
        <v>26</v>
      </c>
      <c r="C464" s="420"/>
      <c r="D464" s="439"/>
      <c r="E464" s="440"/>
      <c r="F464" s="422">
        <f>SUM(F451:F463)</f>
        <v>3757000</v>
      </c>
      <c r="G464" s="205" t="s">
        <v>2179</v>
      </c>
      <c r="S464" s="139">
        <f>F464</f>
        <v>3757000</v>
      </c>
    </row>
    <row r="465" spans="1:7" x14ac:dyDescent="0.25">
      <c r="A465" s="1926" t="s">
        <v>516</v>
      </c>
      <c r="B465" s="1926"/>
      <c r="C465" s="152" t="s">
        <v>27</v>
      </c>
      <c r="D465" s="1926" t="s">
        <v>3654</v>
      </c>
      <c r="E465" s="1926"/>
      <c r="F465" s="1926"/>
      <c r="G465" s="152"/>
    </row>
    <row r="466" spans="1:7" x14ac:dyDescent="0.25">
      <c r="A466" s="1926" t="s">
        <v>28</v>
      </c>
      <c r="B466" s="1926"/>
      <c r="C466" s="152"/>
      <c r="D466" s="1927" t="s">
        <v>3565</v>
      </c>
      <c r="E466" s="1927"/>
      <c r="F466" s="1927"/>
      <c r="G466" s="152"/>
    </row>
    <row r="467" spans="1:7" x14ac:dyDescent="0.25">
      <c r="A467" s="150"/>
      <c r="B467" s="151"/>
      <c r="C467" s="152"/>
      <c r="D467" s="153"/>
      <c r="E467" s="1770"/>
      <c r="F467" s="182"/>
      <c r="G467" s="152"/>
    </row>
    <row r="468" spans="1:7" x14ac:dyDescent="0.25">
      <c r="A468" s="150"/>
      <c r="B468" s="151"/>
      <c r="C468" s="152"/>
      <c r="D468" s="153"/>
      <c r="E468" s="1770"/>
      <c r="F468" s="182"/>
      <c r="G468" s="152"/>
    </row>
    <row r="469" spans="1:7" x14ac:dyDescent="0.25">
      <c r="A469" s="1926"/>
      <c r="B469" s="1926"/>
      <c r="C469" s="152"/>
      <c r="D469" s="153"/>
      <c r="E469" s="1926"/>
      <c r="F469" s="1926"/>
      <c r="G469" s="152"/>
    </row>
    <row r="470" spans="1:7" x14ac:dyDescent="0.25">
      <c r="A470" s="1926" t="s">
        <v>29</v>
      </c>
      <c r="B470" s="1926"/>
      <c r="C470" s="152"/>
      <c r="D470" s="1926" t="s">
        <v>3564</v>
      </c>
      <c r="E470" s="1926"/>
      <c r="F470" s="1926"/>
      <c r="G470" s="152"/>
    </row>
    <row r="471" spans="1:7" x14ac:dyDescent="0.25">
      <c r="A471" s="393"/>
      <c r="B471" s="393"/>
      <c r="C471" s="393"/>
      <c r="D471" s="393"/>
      <c r="E471" s="393"/>
      <c r="F471" s="393"/>
      <c r="G471" s="393"/>
    </row>
    <row r="474" spans="1:7" x14ac:dyDescent="0.25">
      <c r="A474" s="1926" t="s">
        <v>0</v>
      </c>
      <c r="B474" s="1926"/>
      <c r="C474" s="1926"/>
      <c r="D474" s="1926"/>
      <c r="E474" s="1926"/>
      <c r="F474" s="1926"/>
      <c r="G474" s="1926"/>
    </row>
    <row r="475" spans="1:7" x14ac:dyDescent="0.25">
      <c r="A475" s="1926" t="s">
        <v>1</v>
      </c>
      <c r="B475" s="1926"/>
      <c r="C475" s="1926"/>
      <c r="D475" s="1926"/>
      <c r="E475" s="1926"/>
      <c r="F475" s="1926"/>
      <c r="G475" s="1926"/>
    </row>
    <row r="476" spans="1:7" x14ac:dyDescent="0.25">
      <c r="A476" s="1926" t="s">
        <v>2398</v>
      </c>
      <c r="B476" s="1926"/>
      <c r="C476" s="1926"/>
      <c r="D476" s="1926"/>
      <c r="E476" s="1926"/>
      <c r="F476" s="1926"/>
      <c r="G476" s="1926"/>
    </row>
    <row r="477" spans="1:7" ht="24" x14ac:dyDescent="0.25">
      <c r="A477" s="216" t="s">
        <v>536</v>
      </c>
      <c r="B477" s="217" t="s">
        <v>1051</v>
      </c>
      <c r="C477" s="152"/>
      <c r="D477" s="153"/>
      <c r="E477" s="154"/>
      <c r="F477" s="154"/>
      <c r="G477" s="151"/>
    </row>
    <row r="478" spans="1:7" x14ac:dyDescent="0.25">
      <c r="A478" s="184" t="s">
        <v>538</v>
      </c>
      <c r="B478" s="340" t="s">
        <v>1398</v>
      </c>
      <c r="C478" s="152"/>
      <c r="D478" s="153"/>
      <c r="E478" s="191" t="s">
        <v>6</v>
      </c>
      <c r="F478" s="191"/>
      <c r="G478" s="151"/>
    </row>
    <row r="479" spans="1:7" ht="48" x14ac:dyDescent="0.25">
      <c r="A479" s="184" t="s">
        <v>339</v>
      </c>
      <c r="B479" s="441" t="s">
        <v>3438</v>
      </c>
      <c r="C479" s="152"/>
      <c r="D479" s="153"/>
      <c r="E479" s="442" t="s">
        <v>9</v>
      </c>
      <c r="F479" s="150"/>
      <c r="G479" s="151"/>
    </row>
    <row r="480" spans="1:7" ht="24" x14ac:dyDescent="0.25">
      <c r="A480" s="185" t="s">
        <v>37</v>
      </c>
      <c r="B480" s="196"/>
      <c r="C480" s="152"/>
      <c r="D480" s="153"/>
      <c r="E480" s="154"/>
      <c r="F480" s="154"/>
      <c r="G480" s="151"/>
    </row>
    <row r="481" spans="1:13" x14ac:dyDescent="0.25">
      <c r="A481" s="156" t="s">
        <v>10</v>
      </c>
      <c r="B481" s="151"/>
      <c r="C481" s="152"/>
      <c r="D481" s="153"/>
      <c r="E481" s="154"/>
      <c r="F481" s="154"/>
      <c r="G481" s="151"/>
    </row>
    <row r="482" spans="1:13" ht="24" x14ac:dyDescent="0.25">
      <c r="A482" s="162"/>
      <c r="B482" s="162" t="s">
        <v>11</v>
      </c>
      <c r="C482" s="1958" t="s">
        <v>12</v>
      </c>
      <c r="D482" s="1958"/>
      <c r="E482" s="230" t="s">
        <v>13</v>
      </c>
      <c r="F482" s="162" t="s">
        <v>14</v>
      </c>
      <c r="G482" s="164" t="s">
        <v>256</v>
      </c>
    </row>
    <row r="483" spans="1:13" x14ac:dyDescent="0.25">
      <c r="A483" s="161">
        <v>1</v>
      </c>
      <c r="B483" s="161">
        <v>2</v>
      </c>
      <c r="C483" s="1931">
        <v>3</v>
      </c>
      <c r="D483" s="1932"/>
      <c r="E483" s="2">
        <v>4</v>
      </c>
      <c r="F483" s="169">
        <v>5</v>
      </c>
      <c r="G483" s="166">
        <v>6</v>
      </c>
    </row>
    <row r="484" spans="1:13" x14ac:dyDescent="0.25">
      <c r="A484" s="167" t="s">
        <v>663</v>
      </c>
      <c r="B484" s="168" t="s">
        <v>82</v>
      </c>
      <c r="C484" s="169"/>
      <c r="D484" s="170"/>
      <c r="E484" s="161"/>
      <c r="F484" s="161"/>
      <c r="G484" s="161"/>
    </row>
    <row r="485" spans="1:13" x14ac:dyDescent="0.25">
      <c r="A485" s="167" t="s">
        <v>664</v>
      </c>
      <c r="B485" s="168" t="s">
        <v>84</v>
      </c>
      <c r="C485" s="169"/>
      <c r="D485" s="170"/>
      <c r="E485" s="161"/>
      <c r="F485" s="161"/>
      <c r="G485" s="161"/>
    </row>
    <row r="486" spans="1:13" ht="36.75" x14ac:dyDescent="0.25">
      <c r="A486" s="167" t="s">
        <v>665</v>
      </c>
      <c r="B486" s="177" t="s">
        <v>379</v>
      </c>
      <c r="C486" s="178"/>
      <c r="D486" s="207"/>
      <c r="E486" s="179"/>
      <c r="F486" s="179"/>
      <c r="G486" s="163"/>
    </row>
    <row r="487" spans="1:13" ht="36.75" x14ac:dyDescent="0.25">
      <c r="A487" s="167"/>
      <c r="B487" s="177" t="s">
        <v>1862</v>
      </c>
      <c r="C487" s="178">
        <v>41</v>
      </c>
      <c r="D487" s="207" t="s">
        <v>269</v>
      </c>
      <c r="E487" s="179">
        <v>20000</v>
      </c>
      <c r="F487" s="179">
        <f>E487*C487</f>
        <v>820000</v>
      </c>
      <c r="G487" s="163"/>
    </row>
    <row r="488" spans="1:13" x14ac:dyDescent="0.25">
      <c r="A488" s="220"/>
      <c r="B488" s="221"/>
      <c r="C488" s="178"/>
      <c r="D488" s="207"/>
      <c r="E488" s="179"/>
      <c r="F488" s="179"/>
      <c r="G488" s="163"/>
    </row>
    <row r="489" spans="1:13" ht="24.75" x14ac:dyDescent="0.25">
      <c r="A489" s="167" t="s">
        <v>667</v>
      </c>
      <c r="B489" s="177" t="s">
        <v>160</v>
      </c>
      <c r="C489" s="178"/>
      <c r="D489" s="207"/>
      <c r="E489" s="179"/>
      <c r="F489" s="179"/>
      <c r="G489" s="163"/>
    </row>
    <row r="490" spans="1:13" x14ac:dyDescent="0.25">
      <c r="A490" s="176"/>
      <c r="B490" s="177" t="s">
        <v>761</v>
      </c>
      <c r="C490" s="178">
        <v>1</v>
      </c>
      <c r="D490" s="207" t="s">
        <v>106</v>
      </c>
      <c r="E490" s="179">
        <v>90000</v>
      </c>
      <c r="F490" s="179">
        <f>E490*C490</f>
        <v>90000</v>
      </c>
      <c r="G490" s="163"/>
    </row>
    <row r="491" spans="1:13" x14ac:dyDescent="0.25">
      <c r="A491" s="167"/>
      <c r="B491" s="374"/>
      <c r="C491" s="178"/>
      <c r="D491" s="207"/>
      <c r="E491" s="179"/>
      <c r="F491" s="179"/>
      <c r="G491" s="163"/>
    </row>
    <row r="492" spans="1:13" x14ac:dyDescent="0.25">
      <c r="A492" s="167"/>
      <c r="B492" s="374"/>
      <c r="C492" s="178"/>
      <c r="D492" s="207"/>
      <c r="E492" s="179"/>
      <c r="F492" s="179"/>
      <c r="G492" s="163"/>
    </row>
    <row r="493" spans="1:13" ht="24.75" x14ac:dyDescent="0.25">
      <c r="A493" s="167" t="s">
        <v>670</v>
      </c>
      <c r="B493" s="374" t="s">
        <v>1057</v>
      </c>
      <c r="C493" s="178"/>
      <c r="D493" s="207"/>
      <c r="E493" s="179" t="s">
        <v>445</v>
      </c>
      <c r="F493" s="179"/>
      <c r="G493" s="163"/>
    </row>
    <row r="494" spans="1:13" x14ac:dyDescent="0.25">
      <c r="A494" s="167" t="s">
        <v>671</v>
      </c>
      <c r="B494" s="221" t="s">
        <v>3490</v>
      </c>
      <c r="C494" s="178">
        <v>2</v>
      </c>
      <c r="D494" s="207" t="s">
        <v>3489</v>
      </c>
      <c r="E494" s="179">
        <v>300000</v>
      </c>
      <c r="F494" s="179">
        <f>E494*C494</f>
        <v>600000</v>
      </c>
      <c r="G494" s="163"/>
    </row>
    <row r="495" spans="1:13" s="393" customFormat="1" ht="12" x14ac:dyDescent="0.2">
      <c r="A495" s="221"/>
      <c r="B495" s="1554" t="s">
        <v>3468</v>
      </c>
      <c r="C495" s="178"/>
      <c r="D495" s="207"/>
      <c r="E495" s="179"/>
      <c r="F495" s="179"/>
      <c r="G495" s="163"/>
      <c r="H495" s="223"/>
      <c r="I495" s="223"/>
      <c r="J495" s="223"/>
      <c r="K495" s="223"/>
      <c r="L495" s="223"/>
      <c r="M495" s="223"/>
    </row>
    <row r="496" spans="1:13" s="393" customFormat="1" ht="12" x14ac:dyDescent="0.2">
      <c r="A496" s="221"/>
      <c r="B496" s="221"/>
      <c r="C496" s="178"/>
      <c r="D496" s="207"/>
      <c r="E496" s="179"/>
      <c r="F496" s="179"/>
      <c r="G496" s="163"/>
      <c r="H496" s="223"/>
      <c r="I496" s="223"/>
      <c r="J496" s="223"/>
      <c r="K496" s="223"/>
      <c r="L496" s="223"/>
      <c r="M496" s="223"/>
    </row>
    <row r="497" spans="1:16" s="393" customFormat="1" ht="12" x14ac:dyDescent="0.2">
      <c r="A497" s="167" t="s">
        <v>1053</v>
      </c>
      <c r="B497" s="168" t="s">
        <v>82</v>
      </c>
      <c r="C497" s="169"/>
      <c r="D497" s="170"/>
      <c r="E497" s="161"/>
      <c r="F497" s="161"/>
      <c r="G497" s="161"/>
      <c r="H497" s="153"/>
      <c r="I497" s="153"/>
      <c r="J497" s="153"/>
      <c r="K497" s="153"/>
      <c r="L497" s="153"/>
      <c r="M497" s="153"/>
    </row>
    <row r="498" spans="1:16" s="393" customFormat="1" ht="12" x14ac:dyDescent="0.2">
      <c r="A498" s="167" t="s">
        <v>1054</v>
      </c>
      <c r="B498" s="168" t="s">
        <v>84</v>
      </c>
      <c r="C498" s="169"/>
      <c r="D498" s="170"/>
      <c r="E498" s="161"/>
      <c r="F498" s="161"/>
      <c r="G498" s="161"/>
      <c r="H498" s="153"/>
      <c r="I498" s="153"/>
      <c r="J498" s="153"/>
      <c r="K498" s="153"/>
      <c r="L498" s="153"/>
      <c r="M498" s="153"/>
    </row>
    <row r="499" spans="1:16" s="393" customFormat="1" ht="36" x14ac:dyDescent="0.2">
      <c r="A499" s="167" t="s">
        <v>1055</v>
      </c>
      <c r="B499" s="177" t="s">
        <v>379</v>
      </c>
      <c r="C499" s="178"/>
      <c r="D499" s="207"/>
      <c r="E499" s="179"/>
      <c r="F499" s="179"/>
      <c r="G499" s="163"/>
      <c r="H499" s="223"/>
      <c r="I499" s="223"/>
      <c r="J499" s="223"/>
      <c r="K499" s="223"/>
      <c r="L499" s="223"/>
      <c r="M499" s="223"/>
    </row>
    <row r="500" spans="1:16" s="393" customFormat="1" ht="24" x14ac:dyDescent="0.2">
      <c r="A500" s="219"/>
      <c r="B500" s="177" t="s">
        <v>3469</v>
      </c>
      <c r="C500" s="178">
        <f>35*2*12</f>
        <v>840</v>
      </c>
      <c r="D500" s="207" t="s">
        <v>269</v>
      </c>
      <c r="E500" s="179">
        <v>20000</v>
      </c>
      <c r="F500" s="179">
        <f>E500*C500</f>
        <v>16800000</v>
      </c>
      <c r="G500" s="163"/>
      <c r="H500" s="998"/>
      <c r="I500" s="223"/>
      <c r="J500" s="223"/>
      <c r="K500" s="223"/>
      <c r="L500" s="223"/>
      <c r="M500" s="223"/>
    </row>
    <row r="501" spans="1:16" s="393" customFormat="1" ht="12" x14ac:dyDescent="0.2">
      <c r="A501" s="220"/>
      <c r="B501" s="374"/>
      <c r="C501" s="178"/>
      <c r="D501" s="207"/>
      <c r="E501" s="179"/>
      <c r="F501" s="179"/>
      <c r="G501" s="163"/>
      <c r="H501" s="223"/>
      <c r="I501" s="223"/>
      <c r="J501" s="223"/>
      <c r="K501" s="223"/>
      <c r="L501" s="223"/>
      <c r="M501" s="223"/>
    </row>
    <row r="502" spans="1:16" s="393" customFormat="1" ht="12" x14ac:dyDescent="0.2">
      <c r="A502" s="167" t="s">
        <v>3470</v>
      </c>
      <c r="B502" s="221" t="s">
        <v>930</v>
      </c>
      <c r="C502" s="178"/>
      <c r="D502" s="207"/>
      <c r="E502" s="179"/>
      <c r="F502" s="179"/>
      <c r="G502" s="163"/>
      <c r="H502" s="223"/>
      <c r="I502" s="223"/>
      <c r="J502" s="223"/>
      <c r="K502" s="223"/>
      <c r="L502" s="223"/>
      <c r="M502" s="223"/>
    </row>
    <row r="503" spans="1:16" s="393" customFormat="1" ht="24" x14ac:dyDescent="0.2">
      <c r="A503" s="220"/>
      <c r="B503" s="374" t="s">
        <v>3471</v>
      </c>
      <c r="C503" s="178">
        <f>10*2*12</f>
        <v>240</v>
      </c>
      <c r="D503" s="207" t="s">
        <v>106</v>
      </c>
      <c r="E503" s="179">
        <v>3000</v>
      </c>
      <c r="F503" s="179">
        <f>E503*C503</f>
        <v>720000</v>
      </c>
      <c r="G503" s="163"/>
      <c r="H503" s="223"/>
      <c r="I503" s="223"/>
      <c r="J503" s="223"/>
      <c r="K503" s="223"/>
      <c r="L503" s="223"/>
      <c r="M503" s="223"/>
    </row>
    <row r="504" spans="1:16" s="393" customFormat="1" ht="12" x14ac:dyDescent="0.2">
      <c r="A504" s="220"/>
      <c r="B504" s="221" t="s">
        <v>3472</v>
      </c>
      <c r="C504" s="178">
        <v>2</v>
      </c>
      <c r="D504" s="207" t="s">
        <v>391</v>
      </c>
      <c r="E504" s="179">
        <v>281000</v>
      </c>
      <c r="F504" s="179">
        <f>E504*C504</f>
        <v>562000</v>
      </c>
      <c r="G504" s="163"/>
      <c r="H504" s="223"/>
      <c r="I504" s="223"/>
      <c r="J504" s="223"/>
      <c r="K504" s="223"/>
      <c r="L504" s="223"/>
      <c r="M504" s="223"/>
    </row>
    <row r="505" spans="1:16" x14ac:dyDescent="0.25">
      <c r="A505" s="167"/>
      <c r="B505" s="221"/>
      <c r="C505" s="178"/>
      <c r="D505" s="207"/>
      <c r="E505" s="179"/>
      <c r="F505" s="179"/>
      <c r="G505" s="163"/>
    </row>
    <row r="506" spans="1:16" x14ac:dyDescent="0.25">
      <c r="A506" s="1948" t="s">
        <v>26</v>
      </c>
      <c r="B506" s="1949"/>
      <c r="C506" s="1949"/>
      <c r="D506" s="1949"/>
      <c r="E506" s="1950"/>
      <c r="F506" s="179">
        <f>SUM(F484:F505)</f>
        <v>19592000</v>
      </c>
      <c r="G506" s="177" t="s">
        <v>1220</v>
      </c>
      <c r="J506" s="27"/>
      <c r="K506" s="27">
        <f>F506</f>
        <v>19592000</v>
      </c>
      <c r="P506" s="27"/>
    </row>
    <row r="507" spans="1:16" x14ac:dyDescent="0.25">
      <c r="A507" s="1926" t="s">
        <v>516</v>
      </c>
      <c r="B507" s="1926"/>
      <c r="C507" s="152" t="s">
        <v>27</v>
      </c>
      <c r="D507" s="1926" t="s">
        <v>3654</v>
      </c>
      <c r="E507" s="1926"/>
      <c r="F507" s="1926"/>
      <c r="G507" s="152"/>
    </row>
    <row r="508" spans="1:16" x14ac:dyDescent="0.25">
      <c r="A508" s="1926" t="s">
        <v>28</v>
      </c>
      <c r="B508" s="1926"/>
      <c r="C508" s="152"/>
      <c r="D508" s="1927" t="s">
        <v>3565</v>
      </c>
      <c r="E508" s="1927"/>
      <c r="F508" s="1927"/>
      <c r="G508" s="152"/>
    </row>
    <row r="509" spans="1:16" x14ac:dyDescent="0.25">
      <c r="A509" s="150"/>
      <c r="B509" s="151"/>
      <c r="C509" s="152"/>
      <c r="D509" s="153"/>
      <c r="E509" s="1770"/>
      <c r="F509" s="182"/>
      <c r="G509" s="152"/>
    </row>
    <row r="510" spans="1:16" x14ac:dyDescent="0.25">
      <c r="A510" s="150"/>
      <c r="B510" s="151"/>
      <c r="C510" s="152"/>
      <c r="D510" s="153"/>
      <c r="E510" s="1770"/>
      <c r="F510" s="182"/>
      <c r="G510" s="152"/>
    </row>
    <row r="511" spans="1:16" x14ac:dyDescent="0.25">
      <c r="A511" s="1926"/>
      <c r="B511" s="1926"/>
      <c r="C511" s="152"/>
      <c r="D511" s="153"/>
      <c r="E511" s="1926"/>
      <c r="F511" s="1926"/>
      <c r="G511" s="152"/>
    </row>
    <row r="512" spans="1:16" x14ac:dyDescent="0.25">
      <c r="A512" s="1926" t="s">
        <v>29</v>
      </c>
      <c r="B512" s="1926"/>
      <c r="C512" s="152"/>
      <c r="D512" s="1926" t="s">
        <v>3564</v>
      </c>
      <c r="E512" s="1926"/>
      <c r="F512" s="1926"/>
      <c r="G512" s="152"/>
    </row>
    <row r="516" spans="1:7" x14ac:dyDescent="0.25">
      <c r="A516" s="1947" t="s">
        <v>0</v>
      </c>
      <c r="B516" s="1947"/>
      <c r="C516" s="1947"/>
      <c r="D516" s="1947"/>
      <c r="E516" s="1947"/>
      <c r="F516" s="1947"/>
      <c r="G516" s="149"/>
    </row>
    <row r="517" spans="1:7" x14ac:dyDescent="0.25">
      <c r="A517" s="1947" t="s">
        <v>1</v>
      </c>
      <c r="B517" s="1947"/>
      <c r="C517" s="1947"/>
      <c r="D517" s="1947"/>
      <c r="E517" s="1947"/>
      <c r="F517" s="1947"/>
      <c r="G517" s="149"/>
    </row>
    <row r="518" spans="1:7" x14ac:dyDescent="0.25">
      <c r="A518" s="1947" t="s">
        <v>2398</v>
      </c>
      <c r="B518" s="1947"/>
      <c r="C518" s="1947"/>
      <c r="D518" s="1947"/>
      <c r="E518" s="1947"/>
      <c r="F518" s="1947"/>
      <c r="G518" s="149"/>
    </row>
    <row r="519" spans="1:7" x14ac:dyDescent="0.25">
      <c r="A519" s="149" t="s">
        <v>649</v>
      </c>
      <c r="B519" s="149" t="s">
        <v>648</v>
      </c>
      <c r="C519" s="149"/>
      <c r="D519" s="149"/>
      <c r="E519" s="191" t="s">
        <v>6</v>
      </c>
      <c r="F519" s="191" t="s">
        <v>62</v>
      </c>
      <c r="G519" s="149"/>
    </row>
    <row r="520" spans="1:7" x14ac:dyDescent="0.25">
      <c r="A520" s="340" t="s">
        <v>237</v>
      </c>
      <c r="B520" s="340" t="s">
        <v>647</v>
      </c>
      <c r="C520" s="340"/>
      <c r="D520" s="148"/>
      <c r="E520" s="157" t="s">
        <v>9</v>
      </c>
      <c r="F520" s="157" t="s">
        <v>62</v>
      </c>
      <c r="G520" s="149"/>
    </row>
    <row r="521" spans="1:7" ht="36.75" x14ac:dyDescent="0.25">
      <c r="A521" s="443" t="s">
        <v>646</v>
      </c>
      <c r="B521" s="341" t="s">
        <v>681</v>
      </c>
      <c r="C521" s="340"/>
      <c r="D521" s="148"/>
      <c r="E521" s="414"/>
      <c r="F521" s="340"/>
      <c r="G521" s="149"/>
    </row>
    <row r="522" spans="1:7" x14ac:dyDescent="0.25">
      <c r="A522" s="149" t="s">
        <v>488</v>
      </c>
      <c r="B522" s="149" t="s">
        <v>513</v>
      </c>
      <c r="C522" s="149"/>
      <c r="D522" s="149"/>
      <c r="E522" s="149"/>
      <c r="F522" s="149"/>
      <c r="G522" s="149"/>
    </row>
    <row r="523" spans="1:7" x14ac:dyDescent="0.25">
      <c r="A523" s="2036" t="s">
        <v>470</v>
      </c>
      <c r="B523" s="2036"/>
      <c r="C523" s="149"/>
      <c r="D523" s="340"/>
      <c r="E523" s="382"/>
      <c r="F523" s="149"/>
      <c r="G523" s="149"/>
    </row>
    <row r="524" spans="1:7" x14ac:dyDescent="0.25">
      <c r="A524" s="393"/>
      <c r="B524" s="393"/>
      <c r="C524" s="393"/>
      <c r="D524" s="393"/>
      <c r="E524" s="393"/>
      <c r="F524" s="393"/>
      <c r="G524" s="393"/>
    </row>
    <row r="525" spans="1:7" ht="24" x14ac:dyDescent="0.25">
      <c r="A525" s="415" t="s">
        <v>514</v>
      </c>
      <c r="B525" s="415" t="s">
        <v>11</v>
      </c>
      <c r="C525" s="2033" t="s">
        <v>12</v>
      </c>
      <c r="D525" s="2034"/>
      <c r="E525" s="416" t="s">
        <v>13</v>
      </c>
      <c r="F525" s="424" t="s">
        <v>14</v>
      </c>
      <c r="G525" s="417" t="s">
        <v>256</v>
      </c>
    </row>
    <row r="526" spans="1:7" x14ac:dyDescent="0.25">
      <c r="A526" s="418">
        <v>1</v>
      </c>
      <c r="B526" s="418">
        <v>2</v>
      </c>
      <c r="C526" s="2041">
        <v>3</v>
      </c>
      <c r="D526" s="2042"/>
      <c r="E526" s="419">
        <v>4</v>
      </c>
      <c r="F526" s="347">
        <v>5</v>
      </c>
      <c r="G526" s="417">
        <v>6</v>
      </c>
    </row>
    <row r="527" spans="1:7" x14ac:dyDescent="0.25">
      <c r="A527" s="346" t="s">
        <v>663</v>
      </c>
      <c r="B527" s="449" t="s">
        <v>277</v>
      </c>
      <c r="C527" s="420"/>
      <c r="D527" s="421"/>
      <c r="E527" s="422"/>
      <c r="F527" s="450"/>
      <c r="G527" s="205"/>
    </row>
    <row r="528" spans="1:7" x14ac:dyDescent="0.25">
      <c r="A528" s="346" t="s">
        <v>664</v>
      </c>
      <c r="B528" s="449" t="s">
        <v>84</v>
      </c>
      <c r="C528" s="420"/>
      <c r="D528" s="421"/>
      <c r="E528" s="422"/>
      <c r="F528" s="450"/>
      <c r="G528" s="205"/>
    </row>
    <row r="529" spans="1:7" ht="24.75" x14ac:dyDescent="0.25">
      <c r="A529" s="346" t="s">
        <v>665</v>
      </c>
      <c r="B529" s="177" t="s">
        <v>307</v>
      </c>
      <c r="C529" s="178"/>
      <c r="D529" s="362"/>
      <c r="E529" s="179"/>
      <c r="F529" s="450"/>
      <c r="G529" s="205"/>
    </row>
    <row r="530" spans="1:7" x14ac:dyDescent="0.25">
      <c r="A530" s="205"/>
      <c r="B530" s="181" t="s">
        <v>1863</v>
      </c>
      <c r="C530" s="178">
        <v>30</v>
      </c>
      <c r="D530" s="362" t="s">
        <v>474</v>
      </c>
      <c r="E530" s="179">
        <v>20000</v>
      </c>
      <c r="F530" s="450">
        <f>E530*C530</f>
        <v>600000</v>
      </c>
      <c r="G530" s="205"/>
    </row>
    <row r="531" spans="1:7" x14ac:dyDescent="0.25">
      <c r="A531" s="420"/>
      <c r="B531" s="177" t="s">
        <v>1864</v>
      </c>
      <c r="C531" s="178">
        <v>100</v>
      </c>
      <c r="D531" s="362" t="s">
        <v>474</v>
      </c>
      <c r="E531" s="179">
        <v>20000</v>
      </c>
      <c r="F531" s="423">
        <f>E531*C531</f>
        <v>2000000</v>
      </c>
      <c r="G531" s="205"/>
    </row>
    <row r="532" spans="1:7" ht="24.75" x14ac:dyDescent="0.25">
      <c r="A532" s="346" t="s">
        <v>667</v>
      </c>
      <c r="B532" s="177" t="s">
        <v>325</v>
      </c>
      <c r="C532" s="178"/>
      <c r="D532" s="362"/>
      <c r="E532" s="179"/>
      <c r="F532" s="393"/>
      <c r="G532" s="205"/>
    </row>
    <row r="533" spans="1:7" x14ac:dyDescent="0.25">
      <c r="A533" s="420"/>
      <c r="B533" s="181" t="s">
        <v>326</v>
      </c>
      <c r="C533" s="178">
        <v>1</v>
      </c>
      <c r="D533" s="362" t="s">
        <v>93</v>
      </c>
      <c r="E533" s="179">
        <v>90000</v>
      </c>
      <c r="F533" s="450">
        <f>E533*C533</f>
        <v>90000</v>
      </c>
      <c r="G533" s="205"/>
    </row>
    <row r="534" spans="1:7" x14ac:dyDescent="0.25">
      <c r="A534" s="420"/>
      <c r="B534" s="181"/>
      <c r="C534" s="178"/>
      <c r="D534" s="362"/>
      <c r="E534" s="179"/>
      <c r="F534" s="450"/>
      <c r="G534" s="205"/>
    </row>
    <row r="535" spans="1:7" x14ac:dyDescent="0.25">
      <c r="A535" s="346" t="s">
        <v>670</v>
      </c>
      <c r="B535" s="410" t="s">
        <v>294</v>
      </c>
      <c r="C535" s="178"/>
      <c r="D535" s="362"/>
      <c r="E535" s="179"/>
      <c r="F535" s="450"/>
      <c r="G535" s="205"/>
    </row>
    <row r="536" spans="1:7" ht="36.75" x14ac:dyDescent="0.25">
      <c r="A536" s="346" t="s">
        <v>672</v>
      </c>
      <c r="B536" s="177" t="s">
        <v>661</v>
      </c>
      <c r="C536" s="178"/>
      <c r="D536" s="362"/>
      <c r="E536" s="179"/>
      <c r="F536" s="450"/>
      <c r="G536" s="205"/>
    </row>
    <row r="537" spans="1:7" x14ac:dyDescent="0.25">
      <c r="A537" s="420"/>
      <c r="B537" s="177" t="s">
        <v>402</v>
      </c>
      <c r="C537" s="178">
        <v>1</v>
      </c>
      <c r="D537" s="362" t="s">
        <v>269</v>
      </c>
      <c r="E537" s="179">
        <v>300000</v>
      </c>
      <c r="F537" s="450">
        <f>E537*C537</f>
        <v>300000</v>
      </c>
      <c r="G537" s="205"/>
    </row>
    <row r="538" spans="1:7" x14ac:dyDescent="0.25">
      <c r="A538" s="420"/>
      <c r="B538" s="177" t="s">
        <v>502</v>
      </c>
      <c r="C538" s="178">
        <v>1</v>
      </c>
      <c r="D538" s="362" t="s">
        <v>269</v>
      </c>
      <c r="E538" s="179">
        <v>250000</v>
      </c>
      <c r="F538" s="450">
        <f>E538*C538</f>
        <v>250000</v>
      </c>
      <c r="G538" s="205"/>
    </row>
    <row r="539" spans="1:7" x14ac:dyDescent="0.25">
      <c r="A539" s="420"/>
      <c r="B539" s="177" t="s">
        <v>485</v>
      </c>
      <c r="C539" s="178">
        <v>3</v>
      </c>
      <c r="D539" s="362" t="s">
        <v>269</v>
      </c>
      <c r="E539" s="179">
        <v>200000</v>
      </c>
      <c r="F539" s="450">
        <f>E539*C539</f>
        <v>600000</v>
      </c>
      <c r="G539" s="205"/>
    </row>
    <row r="540" spans="1:7" x14ac:dyDescent="0.25">
      <c r="A540" s="420"/>
      <c r="B540" s="177"/>
      <c r="C540" s="178"/>
      <c r="D540" s="362"/>
      <c r="E540" s="179"/>
      <c r="F540" s="450"/>
      <c r="G540" s="205"/>
    </row>
    <row r="541" spans="1:7" ht="24.75" x14ac:dyDescent="0.25">
      <c r="A541" s="346" t="s">
        <v>671</v>
      </c>
      <c r="B541" s="177" t="s">
        <v>656</v>
      </c>
      <c r="C541" s="178"/>
      <c r="D541" s="362"/>
      <c r="E541" s="179"/>
      <c r="F541" s="450"/>
      <c r="G541" s="205"/>
    </row>
    <row r="542" spans="1:7" x14ac:dyDescent="0.25">
      <c r="A542" s="205"/>
      <c r="B542" s="177" t="s">
        <v>678</v>
      </c>
      <c r="C542" s="178">
        <v>2</v>
      </c>
      <c r="D542" s="362" t="s">
        <v>1786</v>
      </c>
      <c r="E542" s="179">
        <v>300000</v>
      </c>
      <c r="F542" s="450">
        <f>E542*C542</f>
        <v>600000</v>
      </c>
      <c r="G542" s="205"/>
    </row>
    <row r="543" spans="1:7" x14ac:dyDescent="0.25">
      <c r="A543" s="420"/>
      <c r="B543" s="181" t="s">
        <v>693</v>
      </c>
      <c r="C543" s="178">
        <v>1</v>
      </c>
      <c r="D543" s="362" t="s">
        <v>269</v>
      </c>
      <c r="E543" s="179">
        <v>300000</v>
      </c>
      <c r="F543" s="450">
        <f>E543*C543</f>
        <v>300000</v>
      </c>
      <c r="G543" s="205"/>
    </row>
    <row r="544" spans="1:7" x14ac:dyDescent="0.25">
      <c r="A544" s="420"/>
      <c r="B544" s="181"/>
      <c r="C544" s="178"/>
      <c r="D544" s="362"/>
      <c r="E544" s="179"/>
      <c r="F544" s="450"/>
      <c r="G544" s="205"/>
    </row>
    <row r="545" spans="1:20" x14ac:dyDescent="0.25">
      <c r="A545" s="205" t="s">
        <v>677</v>
      </c>
      <c r="B545" s="211" t="s">
        <v>442</v>
      </c>
      <c r="C545" s="178"/>
      <c r="D545" s="362"/>
      <c r="E545" s="179"/>
      <c r="F545" s="450"/>
      <c r="G545" s="205"/>
    </row>
    <row r="546" spans="1:20" ht="24.75" x14ac:dyDescent="0.25">
      <c r="A546" s="205" t="s">
        <v>676</v>
      </c>
      <c r="B546" s="403" t="s">
        <v>675</v>
      </c>
      <c r="C546" s="178"/>
      <c r="D546" s="362"/>
      <c r="E546" s="179"/>
      <c r="F546" s="450"/>
      <c r="G546" s="205"/>
    </row>
    <row r="547" spans="1:20" x14ac:dyDescent="0.25">
      <c r="A547" s="205"/>
      <c r="B547" s="403" t="s">
        <v>2453</v>
      </c>
      <c r="C547" s="178">
        <v>1</v>
      </c>
      <c r="D547" s="362" t="s">
        <v>126</v>
      </c>
      <c r="E547" s="179">
        <v>1200000</v>
      </c>
      <c r="F547" s="450">
        <f>E547*C547</f>
        <v>1200000</v>
      </c>
      <c r="G547" s="205"/>
    </row>
    <row r="548" spans="1:20" x14ac:dyDescent="0.25">
      <c r="A548" s="205"/>
      <c r="B548" s="211" t="s">
        <v>674</v>
      </c>
      <c r="C548" s="178">
        <v>1</v>
      </c>
      <c r="D548" s="362" t="s">
        <v>126</v>
      </c>
      <c r="E548" s="179">
        <v>1000000</v>
      </c>
      <c r="F548" s="450">
        <f>E548*C548</f>
        <v>1000000</v>
      </c>
      <c r="G548" s="205"/>
    </row>
    <row r="549" spans="1:20" x14ac:dyDescent="0.25">
      <c r="A549" s="205"/>
      <c r="B549" s="211" t="s">
        <v>944</v>
      </c>
      <c r="C549" s="178">
        <v>1</v>
      </c>
      <c r="D549" s="362" t="s">
        <v>126</v>
      </c>
      <c r="E549" s="179">
        <v>1000000</v>
      </c>
      <c r="F549" s="450">
        <f>E549*C549</f>
        <v>1000000</v>
      </c>
      <c r="G549" s="205"/>
    </row>
    <row r="550" spans="1:20" x14ac:dyDescent="0.25">
      <c r="A550" s="205"/>
      <c r="B550" s="211" t="s">
        <v>1235</v>
      </c>
      <c r="C550" s="178">
        <v>1</v>
      </c>
      <c r="D550" s="362" t="s">
        <v>3502</v>
      </c>
      <c r="E550" s="179">
        <v>17500000</v>
      </c>
      <c r="F550" s="450">
        <f>E550*C550</f>
        <v>17500000</v>
      </c>
      <c r="G550" s="205"/>
    </row>
    <row r="551" spans="1:20" x14ac:dyDescent="0.25">
      <c r="A551" s="205"/>
      <c r="B551" s="451"/>
      <c r="C551" s="452"/>
      <c r="D551" s="453"/>
      <c r="E551" s="454"/>
      <c r="F551" s="455"/>
      <c r="G551" s="205"/>
    </row>
    <row r="552" spans="1:20" ht="24.75" x14ac:dyDescent="0.25">
      <c r="A552" s="205"/>
      <c r="B552" s="2040" t="s">
        <v>26</v>
      </c>
      <c r="C552" s="2040"/>
      <c r="D552" s="2040"/>
      <c r="E552" s="2040"/>
      <c r="F552" s="423">
        <f>SUM(F529:F551)</f>
        <v>25440000</v>
      </c>
      <c r="G552" s="410" t="s">
        <v>1777</v>
      </c>
      <c r="L552" s="23"/>
      <c r="Q552" s="23"/>
      <c r="T552" s="23">
        <f>F552</f>
        <v>25440000</v>
      </c>
    </row>
    <row r="553" spans="1:20" x14ac:dyDescent="0.25">
      <c r="A553" s="1926" t="s">
        <v>516</v>
      </c>
      <c r="B553" s="1926"/>
      <c r="C553" s="152" t="s">
        <v>27</v>
      </c>
      <c r="D553" s="1926" t="s">
        <v>3654</v>
      </c>
      <c r="E553" s="1926"/>
      <c r="F553" s="1926"/>
      <c r="G553" s="152"/>
    </row>
    <row r="554" spans="1:20" x14ac:dyDescent="0.25">
      <c r="A554" s="1926" t="s">
        <v>28</v>
      </c>
      <c r="B554" s="1926"/>
      <c r="C554" s="152"/>
      <c r="D554" s="1927" t="s">
        <v>3565</v>
      </c>
      <c r="E554" s="1927"/>
      <c r="F554" s="1927"/>
      <c r="G554" s="152"/>
    </row>
    <row r="555" spans="1:20" x14ac:dyDescent="0.25">
      <c r="A555" s="150"/>
      <c r="B555" s="151"/>
      <c r="C555" s="152"/>
      <c r="D555" s="153"/>
      <c r="E555" s="1770"/>
      <c r="F555" s="182"/>
      <c r="G555" s="152"/>
    </row>
    <row r="556" spans="1:20" x14ac:dyDescent="0.25">
      <c r="A556" s="150"/>
      <c r="B556" s="151"/>
      <c r="C556" s="152"/>
      <c r="D556" s="153"/>
      <c r="E556" s="1770"/>
      <c r="F556" s="182"/>
      <c r="G556" s="152"/>
    </row>
    <row r="557" spans="1:20" x14ac:dyDescent="0.25">
      <c r="A557" s="1926"/>
      <c r="B557" s="1926"/>
      <c r="C557" s="152"/>
      <c r="D557" s="153"/>
      <c r="E557" s="1926"/>
      <c r="F557" s="1926"/>
      <c r="G557" s="152"/>
    </row>
    <row r="558" spans="1:20" x14ac:dyDescent="0.25">
      <c r="A558" s="1926" t="s">
        <v>29</v>
      </c>
      <c r="B558" s="1926"/>
      <c r="C558" s="152"/>
      <c r="D558" s="1926" t="s">
        <v>3564</v>
      </c>
      <c r="E558" s="1926"/>
      <c r="F558" s="1926"/>
      <c r="G558" s="152"/>
    </row>
    <row r="563" spans="1:7" x14ac:dyDescent="0.25">
      <c r="A563" s="1947" t="s">
        <v>0</v>
      </c>
      <c r="B563" s="1947"/>
      <c r="C563" s="1947"/>
      <c r="D563" s="1947"/>
      <c r="E563" s="1947"/>
      <c r="F563" s="1947"/>
      <c r="G563" s="1947"/>
    </row>
    <row r="564" spans="1:7" x14ac:dyDescent="0.25">
      <c r="A564" s="1947" t="s">
        <v>1</v>
      </c>
      <c r="B564" s="1947"/>
      <c r="C564" s="1947"/>
      <c r="D564" s="1947"/>
      <c r="E564" s="1947"/>
      <c r="F564" s="1947"/>
      <c r="G564" s="1947"/>
    </row>
    <row r="565" spans="1:7" x14ac:dyDescent="0.25">
      <c r="A565" s="1947" t="s">
        <v>2398</v>
      </c>
      <c r="B565" s="1947"/>
      <c r="C565" s="1947"/>
      <c r="D565" s="1947"/>
      <c r="E565" s="1947"/>
      <c r="F565" s="1947"/>
      <c r="G565" s="1947"/>
    </row>
    <row r="566" spans="1:7" x14ac:dyDescent="0.25">
      <c r="A566" s="148"/>
      <c r="B566" s="148"/>
      <c r="C566" s="458"/>
      <c r="D566" s="458"/>
      <c r="E566" s="393"/>
      <c r="F566" s="393"/>
      <c r="G566" s="393"/>
    </row>
    <row r="567" spans="1:7" x14ac:dyDescent="0.25">
      <c r="A567" s="149" t="s">
        <v>649</v>
      </c>
      <c r="B567" s="149" t="s">
        <v>648</v>
      </c>
      <c r="C567" s="458"/>
      <c r="D567" s="458"/>
      <c r="E567" s="149"/>
      <c r="F567" s="393"/>
      <c r="G567" s="393"/>
    </row>
    <row r="568" spans="1:7" x14ac:dyDescent="0.25">
      <c r="A568" s="340" t="s">
        <v>237</v>
      </c>
      <c r="B568" s="340" t="s">
        <v>647</v>
      </c>
      <c r="C568" s="458"/>
      <c r="D568" s="458"/>
      <c r="E568" s="459" t="s">
        <v>6</v>
      </c>
      <c r="F568" s="393"/>
      <c r="G568" s="393"/>
    </row>
    <row r="569" spans="1:7" ht="36" x14ac:dyDescent="0.25">
      <c r="A569" s="385" t="s">
        <v>646</v>
      </c>
      <c r="B569" s="460" t="s">
        <v>1545</v>
      </c>
      <c r="C569" s="458"/>
      <c r="D569" s="458"/>
      <c r="E569" s="461" t="s">
        <v>482</v>
      </c>
      <c r="F569" s="393"/>
      <c r="G569" s="393"/>
    </row>
    <row r="570" spans="1:7" x14ac:dyDescent="0.25">
      <c r="A570" s="149" t="s">
        <v>488</v>
      </c>
      <c r="B570" s="149" t="s">
        <v>62</v>
      </c>
      <c r="C570" s="458"/>
      <c r="D570" s="458"/>
      <c r="E570" s="393"/>
      <c r="F570" s="393"/>
      <c r="G570" s="393"/>
    </row>
    <row r="571" spans="1:7" x14ac:dyDescent="0.25">
      <c r="A571" s="149" t="s">
        <v>61</v>
      </c>
      <c r="B571" s="462" t="s">
        <v>62</v>
      </c>
      <c r="C571" s="458"/>
      <c r="D571" s="458"/>
      <c r="E571" s="393"/>
      <c r="F571" s="393"/>
      <c r="G571" s="393"/>
    </row>
    <row r="572" spans="1:7" x14ac:dyDescent="0.25">
      <c r="A572" s="1958" t="s">
        <v>541</v>
      </c>
      <c r="B572" s="1958" t="s">
        <v>11</v>
      </c>
      <c r="C572" s="2043" t="s">
        <v>1546</v>
      </c>
      <c r="D572" s="2044"/>
      <c r="E572" s="2044"/>
      <c r="F572" s="2045"/>
      <c r="G572" s="2046" t="s">
        <v>256</v>
      </c>
    </row>
    <row r="573" spans="1:7" ht="24" x14ac:dyDescent="0.25">
      <c r="A573" s="1958"/>
      <c r="B573" s="1958"/>
      <c r="C573" s="2048" t="s">
        <v>12</v>
      </c>
      <c r="D573" s="2049"/>
      <c r="E573" s="230" t="s">
        <v>13</v>
      </c>
      <c r="F573" s="162" t="s">
        <v>14</v>
      </c>
      <c r="G573" s="2047"/>
    </row>
    <row r="574" spans="1:7" x14ac:dyDescent="0.25">
      <c r="A574" s="161">
        <v>1</v>
      </c>
      <c r="B574" s="161">
        <v>2</v>
      </c>
      <c r="C574" s="1943">
        <v>7</v>
      </c>
      <c r="D574" s="1943"/>
      <c r="E574" s="166">
        <v>8</v>
      </c>
      <c r="F574" s="166">
        <v>9</v>
      </c>
      <c r="G574" s="166">
        <v>11</v>
      </c>
    </row>
    <row r="575" spans="1:7" x14ac:dyDescent="0.25">
      <c r="A575" s="176" t="s">
        <v>663</v>
      </c>
      <c r="B575" s="463" t="s">
        <v>277</v>
      </c>
      <c r="C575" s="169"/>
      <c r="D575" s="170"/>
      <c r="E575" s="464"/>
      <c r="F575" s="398"/>
      <c r="G575" s="410"/>
    </row>
    <row r="576" spans="1:7" x14ac:dyDescent="0.25">
      <c r="A576" s="176" t="s">
        <v>664</v>
      </c>
      <c r="B576" s="463" t="s">
        <v>84</v>
      </c>
      <c r="C576" s="169"/>
      <c r="D576" s="170"/>
      <c r="E576" s="464"/>
      <c r="F576" s="398"/>
      <c r="G576" s="410"/>
    </row>
    <row r="577" spans="1:8" ht="24" x14ac:dyDescent="0.25">
      <c r="A577" s="176" t="s">
        <v>665</v>
      </c>
      <c r="B577" s="463" t="s">
        <v>307</v>
      </c>
      <c r="C577" s="169"/>
      <c r="D577" s="170"/>
      <c r="E577" s="180"/>
      <c r="F577" s="398"/>
      <c r="G577" s="410"/>
    </row>
    <row r="578" spans="1:8" x14ac:dyDescent="0.25">
      <c r="A578" s="176"/>
      <c r="B578" s="465" t="s">
        <v>695</v>
      </c>
      <c r="C578" s="169">
        <v>30</v>
      </c>
      <c r="D578" s="170" t="s">
        <v>269</v>
      </c>
      <c r="E578" s="180">
        <v>20000</v>
      </c>
      <c r="F578" s="398">
        <f>E578*C578</f>
        <v>600000</v>
      </c>
      <c r="G578" s="410"/>
      <c r="H578" s="23">
        <f>F578/E578</f>
        <v>30</v>
      </c>
    </row>
    <row r="579" spans="1:8" ht="24" x14ac:dyDescent="0.25">
      <c r="A579" s="193"/>
      <c r="B579" s="465" t="s">
        <v>1547</v>
      </c>
      <c r="C579" s="169">
        <v>100</v>
      </c>
      <c r="D579" s="170" t="s">
        <v>269</v>
      </c>
      <c r="E579" s="180">
        <v>20000</v>
      </c>
      <c r="F579" s="398">
        <f t="shared" ref="F579:F586" si="20">E579*C579</f>
        <v>2000000</v>
      </c>
      <c r="G579" s="410"/>
      <c r="H579" s="23">
        <f>F579/20000</f>
        <v>100</v>
      </c>
    </row>
    <row r="580" spans="1:8" ht="24" x14ac:dyDescent="0.25">
      <c r="A580" s="176" t="s">
        <v>667</v>
      </c>
      <c r="B580" s="463" t="s">
        <v>325</v>
      </c>
      <c r="C580" s="169"/>
      <c r="D580" s="170"/>
      <c r="E580" s="180"/>
      <c r="F580" s="398">
        <f t="shared" si="20"/>
        <v>0</v>
      </c>
      <c r="G580" s="410"/>
    </row>
    <row r="581" spans="1:8" x14ac:dyDescent="0.25">
      <c r="A581" s="176"/>
      <c r="B581" s="193" t="s">
        <v>326</v>
      </c>
      <c r="C581" s="169">
        <v>1</v>
      </c>
      <c r="D581" s="170" t="s">
        <v>93</v>
      </c>
      <c r="E581" s="180">
        <v>90000</v>
      </c>
      <c r="F581" s="398">
        <f t="shared" si="20"/>
        <v>90000</v>
      </c>
      <c r="G581" s="410"/>
    </row>
    <row r="582" spans="1:8" x14ac:dyDescent="0.25">
      <c r="A582" s="176" t="s">
        <v>670</v>
      </c>
      <c r="B582" s="463" t="s">
        <v>294</v>
      </c>
      <c r="C582" s="169"/>
      <c r="D582" s="170"/>
      <c r="E582" s="180"/>
      <c r="F582" s="398">
        <f t="shared" si="20"/>
        <v>0</v>
      </c>
      <c r="G582" s="410"/>
    </row>
    <row r="583" spans="1:8" ht="36" x14ac:dyDescent="0.25">
      <c r="A583" s="257" t="s">
        <v>672</v>
      </c>
      <c r="B583" s="463" t="s">
        <v>661</v>
      </c>
      <c r="C583" s="169"/>
      <c r="D583" s="170"/>
      <c r="E583" s="180"/>
      <c r="F583" s="398">
        <f t="shared" si="20"/>
        <v>0</v>
      </c>
      <c r="G583" s="410"/>
    </row>
    <row r="584" spans="1:8" x14ac:dyDescent="0.25">
      <c r="A584" s="257"/>
      <c r="B584" s="465" t="s">
        <v>402</v>
      </c>
      <c r="C584" s="169">
        <v>1</v>
      </c>
      <c r="D584" s="170" t="s">
        <v>381</v>
      </c>
      <c r="E584" s="180">
        <v>300000</v>
      </c>
      <c r="F584" s="398">
        <f t="shared" si="20"/>
        <v>300000</v>
      </c>
      <c r="G584" s="410"/>
    </row>
    <row r="585" spans="1:8" x14ac:dyDescent="0.25">
      <c r="A585" s="257"/>
      <c r="B585" s="465" t="s">
        <v>502</v>
      </c>
      <c r="C585" s="169">
        <v>1</v>
      </c>
      <c r="D585" s="170" t="s">
        <v>381</v>
      </c>
      <c r="E585" s="180">
        <v>250000</v>
      </c>
      <c r="F585" s="398">
        <f t="shared" si="20"/>
        <v>250000</v>
      </c>
      <c r="G585" s="410"/>
    </row>
    <row r="586" spans="1:8" x14ac:dyDescent="0.25">
      <c r="A586" s="257"/>
      <c r="B586" s="465" t="s">
        <v>485</v>
      </c>
      <c r="C586" s="169">
        <v>3</v>
      </c>
      <c r="D586" s="170" t="s">
        <v>381</v>
      </c>
      <c r="E586" s="180">
        <v>200000</v>
      </c>
      <c r="F586" s="398">
        <f t="shared" si="20"/>
        <v>600000</v>
      </c>
      <c r="G586" s="410"/>
    </row>
    <row r="587" spans="1:8" ht="48" x14ac:dyDescent="0.25">
      <c r="A587" s="257" t="s">
        <v>694</v>
      </c>
      <c r="B587" s="463" t="s">
        <v>656</v>
      </c>
      <c r="C587" s="169"/>
      <c r="D587" s="170"/>
      <c r="E587" s="180"/>
      <c r="F587" s="398"/>
      <c r="G587" s="410"/>
    </row>
    <row r="588" spans="1:8" ht="24" x14ac:dyDescent="0.25">
      <c r="A588" s="257"/>
      <c r="B588" s="465" t="s">
        <v>1548</v>
      </c>
      <c r="C588" s="169">
        <v>2</v>
      </c>
      <c r="D588" s="170" t="s">
        <v>3489</v>
      </c>
      <c r="E588" s="180">
        <v>300000</v>
      </c>
      <c r="F588" s="398">
        <f>C588*E588</f>
        <v>600000</v>
      </c>
      <c r="G588" s="410"/>
    </row>
    <row r="589" spans="1:8" ht="24" x14ac:dyDescent="0.25">
      <c r="A589" s="257" t="s">
        <v>691</v>
      </c>
      <c r="B589" s="463" t="s">
        <v>333</v>
      </c>
      <c r="C589" s="458"/>
      <c r="D589" s="458"/>
      <c r="E589" s="393"/>
      <c r="F589" s="398"/>
      <c r="G589" s="410"/>
    </row>
    <row r="590" spans="1:8" x14ac:dyDescent="0.25">
      <c r="A590" s="257"/>
      <c r="B590" s="465" t="s">
        <v>693</v>
      </c>
      <c r="C590" s="169">
        <v>1</v>
      </c>
      <c r="D590" s="170" t="s">
        <v>381</v>
      </c>
      <c r="E590" s="180">
        <v>300000</v>
      </c>
      <c r="F590" s="398">
        <f>C590*E590</f>
        <v>300000</v>
      </c>
      <c r="G590" s="410"/>
    </row>
    <row r="591" spans="1:8" x14ac:dyDescent="0.25">
      <c r="A591" s="257" t="s">
        <v>677</v>
      </c>
      <c r="B591" s="466" t="s">
        <v>442</v>
      </c>
      <c r="C591" s="169"/>
      <c r="D591" s="170"/>
      <c r="E591" s="180"/>
      <c r="F591" s="398"/>
      <c r="G591" s="410"/>
    </row>
    <row r="592" spans="1:8" x14ac:dyDescent="0.25">
      <c r="A592" s="257" t="s">
        <v>2455</v>
      </c>
      <c r="B592" s="990" t="s">
        <v>2456</v>
      </c>
      <c r="C592" s="169"/>
      <c r="D592" s="170"/>
      <c r="E592" s="180"/>
      <c r="F592" s="398"/>
      <c r="G592" s="410"/>
    </row>
    <row r="593" spans="1:19" x14ac:dyDescent="0.25">
      <c r="A593" s="205"/>
      <c r="B593" s="468" t="s">
        <v>1552</v>
      </c>
      <c r="C593" s="169">
        <v>1</v>
      </c>
      <c r="D593" s="170" t="s">
        <v>1550</v>
      </c>
      <c r="E593" s="179">
        <v>1000000</v>
      </c>
      <c r="F593" s="450">
        <f>C593*E593</f>
        <v>1000000</v>
      </c>
      <c r="G593" s="410"/>
    </row>
    <row r="594" spans="1:19" ht="24" x14ac:dyDescent="0.25">
      <c r="A594" s="257" t="s">
        <v>676</v>
      </c>
      <c r="B594" s="463" t="s">
        <v>692</v>
      </c>
      <c r="C594" s="169"/>
      <c r="D594" s="170"/>
      <c r="E594" s="180"/>
      <c r="F594" s="398"/>
      <c r="G594" s="410"/>
    </row>
    <row r="595" spans="1:19" x14ac:dyDescent="0.25">
      <c r="A595" s="205"/>
      <c r="B595" s="467" t="s">
        <v>1549</v>
      </c>
      <c r="C595" s="169">
        <v>1</v>
      </c>
      <c r="D595" s="170" t="s">
        <v>1550</v>
      </c>
      <c r="E595" s="179">
        <v>1200000</v>
      </c>
      <c r="F595" s="450">
        <f>C595*E595</f>
        <v>1200000</v>
      </c>
      <c r="G595" s="410"/>
    </row>
    <row r="596" spans="1:19" x14ac:dyDescent="0.25">
      <c r="A596" s="205"/>
      <c r="B596" s="468" t="s">
        <v>1551</v>
      </c>
      <c r="C596" s="169">
        <v>1</v>
      </c>
      <c r="D596" s="170" t="s">
        <v>1550</v>
      </c>
      <c r="E596" s="179">
        <v>1550000</v>
      </c>
      <c r="F596" s="450">
        <f>C596*E596</f>
        <v>1550000</v>
      </c>
      <c r="G596" s="410"/>
    </row>
    <row r="597" spans="1:19" x14ac:dyDescent="0.25">
      <c r="A597" s="205"/>
      <c r="B597" s="468" t="s">
        <v>1553</v>
      </c>
      <c r="C597" s="352">
        <v>1</v>
      </c>
      <c r="D597" s="170" t="s">
        <v>3502</v>
      </c>
      <c r="E597" s="179">
        <v>17500000</v>
      </c>
      <c r="F597" s="450">
        <f>C597*E597</f>
        <v>17500000</v>
      </c>
      <c r="G597" s="410"/>
    </row>
    <row r="598" spans="1:19" x14ac:dyDescent="0.25">
      <c r="A598" s="206"/>
      <c r="B598" s="469"/>
      <c r="C598" s="169"/>
      <c r="D598" s="170"/>
      <c r="E598" s="470"/>
      <c r="F598" s="324"/>
      <c r="G598" s="410"/>
    </row>
    <row r="599" spans="1:19" x14ac:dyDescent="0.25">
      <c r="A599" s="181"/>
      <c r="B599" s="471" t="s">
        <v>26</v>
      </c>
      <c r="C599" s="472"/>
      <c r="D599" s="473"/>
      <c r="E599" s="474"/>
      <c r="F599" s="475">
        <f>SUM(F578:F597)</f>
        <v>25990000</v>
      </c>
      <c r="G599" s="410" t="s">
        <v>2179</v>
      </c>
      <c r="S599" s="23">
        <f>F599</f>
        <v>25990000</v>
      </c>
    </row>
    <row r="600" spans="1:19" x14ac:dyDescent="0.25">
      <c r="A600" s="1926" t="s">
        <v>516</v>
      </c>
      <c r="B600" s="1926"/>
      <c r="C600" s="152" t="s">
        <v>27</v>
      </c>
      <c r="D600" s="1926" t="s">
        <v>3654</v>
      </c>
      <c r="E600" s="1926"/>
      <c r="F600" s="1926"/>
      <c r="G600" s="152"/>
    </row>
    <row r="601" spans="1:19" x14ac:dyDescent="0.25">
      <c r="A601" s="1926" t="s">
        <v>28</v>
      </c>
      <c r="B601" s="1926"/>
      <c r="C601" s="152"/>
      <c r="D601" s="1927" t="s">
        <v>3565</v>
      </c>
      <c r="E601" s="1927"/>
      <c r="F601" s="1927"/>
      <c r="G601" s="152"/>
    </row>
    <row r="602" spans="1:19" x14ac:dyDescent="0.25">
      <c r="A602" s="150"/>
      <c r="B602" s="151"/>
      <c r="C602" s="152"/>
      <c r="D602" s="153"/>
      <c r="E602" s="1770"/>
      <c r="F602" s="182"/>
      <c r="G602" s="152"/>
    </row>
    <row r="603" spans="1:19" x14ac:dyDescent="0.25">
      <c r="A603" s="150"/>
      <c r="B603" s="151"/>
      <c r="C603" s="152"/>
      <c r="D603" s="153"/>
      <c r="E603" s="1770"/>
      <c r="F603" s="182"/>
      <c r="G603" s="152"/>
    </row>
    <row r="604" spans="1:19" x14ac:dyDescent="0.25">
      <c r="A604" s="1926"/>
      <c r="B604" s="1926"/>
      <c r="C604" s="152"/>
      <c r="D604" s="153"/>
      <c r="E604" s="1926"/>
      <c r="F604" s="1926"/>
      <c r="G604" s="152"/>
    </row>
    <row r="605" spans="1:19" x14ac:dyDescent="0.25">
      <c r="A605" s="1926" t="s">
        <v>29</v>
      </c>
      <c r="B605" s="1926"/>
      <c r="C605" s="152"/>
      <c r="D605" s="1926" t="s">
        <v>3564</v>
      </c>
      <c r="E605" s="1926"/>
      <c r="F605" s="1926"/>
      <c r="G605" s="152"/>
    </row>
    <row r="607" spans="1:19" x14ac:dyDescent="0.25">
      <c r="A607" s="1947" t="s">
        <v>0</v>
      </c>
      <c r="B607" s="1947"/>
      <c r="C607" s="1947"/>
      <c r="D607" s="1947"/>
      <c r="E607" s="1947"/>
      <c r="F607" s="1947"/>
      <c r="G607" s="1947"/>
    </row>
    <row r="608" spans="1:19" x14ac:dyDescent="0.25">
      <c r="A608" s="1947" t="s">
        <v>1</v>
      </c>
      <c r="B608" s="1947"/>
      <c r="C608" s="1947"/>
      <c r="D608" s="1947"/>
      <c r="E608" s="1947"/>
      <c r="F608" s="1947"/>
      <c r="G608" s="1947"/>
    </row>
    <row r="609" spans="1:7" x14ac:dyDescent="0.25">
      <c r="A609" s="1947" t="s">
        <v>2398</v>
      </c>
      <c r="B609" s="1947"/>
      <c r="C609" s="1947"/>
      <c r="D609" s="1947"/>
      <c r="E609" s="1947"/>
      <c r="F609" s="1947"/>
      <c r="G609" s="1947"/>
    </row>
    <row r="610" spans="1:7" x14ac:dyDescent="0.25">
      <c r="A610" s="148"/>
      <c r="B610" s="148"/>
      <c r="C610" s="148"/>
      <c r="D610" s="148"/>
      <c r="E610" s="148"/>
      <c r="F610" s="148"/>
      <c r="G610" s="149"/>
    </row>
    <row r="611" spans="1:7" x14ac:dyDescent="0.25">
      <c r="A611" s="149" t="s">
        <v>731</v>
      </c>
      <c r="B611" s="149" t="s">
        <v>648</v>
      </c>
      <c r="C611" s="149"/>
      <c r="D611" s="149"/>
      <c r="E611" s="191" t="s">
        <v>6</v>
      </c>
      <c r="F611" s="191" t="s">
        <v>62</v>
      </c>
      <c r="G611" s="149"/>
    </row>
    <row r="612" spans="1:7" x14ac:dyDescent="0.25">
      <c r="A612" s="340" t="s">
        <v>237</v>
      </c>
      <c r="B612" s="340" t="s">
        <v>647</v>
      </c>
      <c r="C612" s="340"/>
      <c r="D612" s="148"/>
      <c r="E612" s="157" t="s">
        <v>9</v>
      </c>
      <c r="F612" s="157" t="s">
        <v>62</v>
      </c>
      <c r="G612" s="149"/>
    </row>
    <row r="613" spans="1:7" ht="48" x14ac:dyDescent="0.25">
      <c r="A613" s="443" t="s">
        <v>730</v>
      </c>
      <c r="B613" s="441" t="s">
        <v>1477</v>
      </c>
      <c r="C613" s="340"/>
      <c r="D613" s="148"/>
      <c r="E613" s="393"/>
      <c r="F613" s="393"/>
      <c r="G613" s="149"/>
    </row>
    <row r="614" spans="1:7" x14ac:dyDescent="0.25">
      <c r="A614" s="149" t="s">
        <v>488</v>
      </c>
      <c r="B614" s="149" t="s">
        <v>513</v>
      </c>
      <c r="C614" s="149"/>
      <c r="D614" s="149"/>
      <c r="E614" s="149"/>
      <c r="F614" s="149"/>
      <c r="G614" s="149"/>
    </row>
    <row r="615" spans="1:7" x14ac:dyDescent="0.25">
      <c r="A615" s="2036" t="s">
        <v>470</v>
      </c>
      <c r="B615" s="2036"/>
      <c r="C615" s="149"/>
      <c r="D615" s="148"/>
      <c r="E615" s="382"/>
      <c r="F615" s="149"/>
      <c r="G615" s="149"/>
    </row>
    <row r="616" spans="1:7" ht="24" x14ac:dyDescent="0.25">
      <c r="A616" s="162" t="s">
        <v>30</v>
      </c>
      <c r="B616" s="162" t="s">
        <v>11</v>
      </c>
      <c r="C616" s="1959" t="s">
        <v>12</v>
      </c>
      <c r="D616" s="1960"/>
      <c r="E616" s="477" t="s">
        <v>13</v>
      </c>
      <c r="F616" s="231" t="s">
        <v>14</v>
      </c>
      <c r="G616" s="164" t="s">
        <v>34</v>
      </c>
    </row>
    <row r="617" spans="1:7" x14ac:dyDescent="0.25">
      <c r="A617" s="161">
        <v>1</v>
      </c>
      <c r="B617" s="161">
        <v>2</v>
      </c>
      <c r="C617" s="1931">
        <v>3</v>
      </c>
      <c r="D617" s="1932"/>
      <c r="E617" s="478">
        <v>4</v>
      </c>
      <c r="F617" s="169">
        <v>5</v>
      </c>
      <c r="G617" s="166">
        <v>6</v>
      </c>
    </row>
    <row r="618" spans="1:7" x14ac:dyDescent="0.25">
      <c r="A618" s="167"/>
      <c r="B618" s="316" t="s">
        <v>1478</v>
      </c>
      <c r="C618" s="169"/>
      <c r="D618" s="170"/>
      <c r="E618" s="161"/>
      <c r="F618" s="161"/>
      <c r="G618" s="171"/>
    </row>
    <row r="619" spans="1:7" x14ac:dyDescent="0.25">
      <c r="A619" s="167" t="s">
        <v>663</v>
      </c>
      <c r="B619" s="168" t="s">
        <v>82</v>
      </c>
      <c r="C619" s="169"/>
      <c r="D619" s="170"/>
      <c r="E619" s="161"/>
      <c r="F619" s="161"/>
      <c r="G619" s="171"/>
    </row>
    <row r="620" spans="1:7" x14ac:dyDescent="0.25">
      <c r="A620" s="167" t="s">
        <v>664</v>
      </c>
      <c r="B620" s="168" t="s">
        <v>84</v>
      </c>
      <c r="C620" s="169"/>
      <c r="D620" s="170"/>
      <c r="E620" s="161"/>
      <c r="F620" s="161"/>
      <c r="G620" s="171"/>
    </row>
    <row r="621" spans="1:7" ht="24" x14ac:dyDescent="0.25">
      <c r="A621" s="167" t="s">
        <v>680</v>
      </c>
      <c r="B621" s="168" t="s">
        <v>278</v>
      </c>
      <c r="C621" s="169"/>
      <c r="D621" s="170"/>
      <c r="E621" s="141"/>
      <c r="F621" s="141"/>
      <c r="G621" s="171"/>
    </row>
    <row r="622" spans="1:7" x14ac:dyDescent="0.25">
      <c r="A622" s="167"/>
      <c r="B622" s="410" t="s">
        <v>1752</v>
      </c>
      <c r="C622" s="169">
        <v>26</v>
      </c>
      <c r="D622" s="170" t="s">
        <v>106</v>
      </c>
      <c r="E622" s="141">
        <v>5000</v>
      </c>
      <c r="F622" s="141">
        <f>C622*E622</f>
        <v>130000</v>
      </c>
      <c r="G622" s="171"/>
    </row>
    <row r="623" spans="1:7" x14ac:dyDescent="0.25">
      <c r="A623" s="167"/>
      <c r="B623" s="205" t="s">
        <v>1460</v>
      </c>
      <c r="C623" s="169">
        <v>26</v>
      </c>
      <c r="D623" s="170" t="s">
        <v>106</v>
      </c>
      <c r="E623" s="141">
        <v>7000</v>
      </c>
      <c r="F623" s="141">
        <f>C623*E623</f>
        <v>182000</v>
      </c>
      <c r="G623" s="171"/>
    </row>
    <row r="624" spans="1:7" x14ac:dyDescent="0.25">
      <c r="A624" s="167"/>
      <c r="B624" s="168"/>
      <c r="C624" s="169"/>
      <c r="D624" s="170"/>
      <c r="E624" s="141"/>
      <c r="F624" s="141"/>
      <c r="G624" s="171"/>
    </row>
    <row r="625" spans="1:7" ht="24" x14ac:dyDescent="0.25">
      <c r="A625" s="167" t="s">
        <v>665</v>
      </c>
      <c r="B625" s="168" t="s">
        <v>307</v>
      </c>
      <c r="C625" s="169"/>
      <c r="D625" s="170"/>
      <c r="E625" s="141"/>
      <c r="F625" s="141"/>
      <c r="G625" s="171"/>
    </row>
    <row r="626" spans="1:7" x14ac:dyDescent="0.25">
      <c r="A626" s="167"/>
      <c r="B626" s="168" t="s">
        <v>1865</v>
      </c>
      <c r="C626" s="169">
        <v>30</v>
      </c>
      <c r="D626" s="170" t="s">
        <v>449</v>
      </c>
      <c r="E626" s="141">
        <v>20000</v>
      </c>
      <c r="F626" s="141">
        <f>C626*E626</f>
        <v>600000</v>
      </c>
      <c r="G626" s="171"/>
    </row>
    <row r="627" spans="1:7" x14ac:dyDescent="0.25">
      <c r="A627" s="167"/>
      <c r="B627" s="168"/>
      <c r="C627" s="169"/>
      <c r="D627" s="170"/>
      <c r="E627" s="141"/>
      <c r="F627" s="141"/>
      <c r="G627" s="171"/>
    </row>
    <row r="628" spans="1:7" x14ac:dyDescent="0.25">
      <c r="A628" s="167" t="s">
        <v>670</v>
      </c>
      <c r="B628" s="168" t="s">
        <v>294</v>
      </c>
      <c r="C628" s="169"/>
      <c r="D628" s="170"/>
      <c r="E628" s="141"/>
      <c r="F628" s="141"/>
      <c r="G628" s="171"/>
    </row>
    <row r="629" spans="1:7" ht="24" x14ac:dyDescent="0.25">
      <c r="A629" s="167" t="s">
        <v>671</v>
      </c>
      <c r="B629" s="168" t="s">
        <v>974</v>
      </c>
      <c r="C629" s="169"/>
      <c r="D629" s="170"/>
      <c r="E629" s="161"/>
      <c r="F629" s="161"/>
      <c r="G629" s="171"/>
    </row>
    <row r="630" spans="1:7" x14ac:dyDescent="0.25">
      <c r="A630" s="167"/>
      <c r="B630" s="168" t="s">
        <v>3263</v>
      </c>
      <c r="C630" s="169">
        <v>2</v>
      </c>
      <c r="D630" s="170" t="s">
        <v>1786</v>
      </c>
      <c r="E630" s="141">
        <v>300000</v>
      </c>
      <c r="F630" s="141">
        <f>C630*E630</f>
        <v>600000</v>
      </c>
      <c r="G630" s="171"/>
    </row>
    <row r="631" spans="1:7" x14ac:dyDescent="0.25">
      <c r="A631" s="167"/>
      <c r="B631" s="479"/>
      <c r="C631" s="169"/>
      <c r="D631" s="170"/>
      <c r="E631" s="141"/>
      <c r="F631" s="141"/>
      <c r="G631" s="171"/>
    </row>
    <row r="632" spans="1:7" x14ac:dyDescent="0.25">
      <c r="A632" s="219"/>
      <c r="B632" s="480" t="s">
        <v>1480</v>
      </c>
      <c r="C632" s="178"/>
      <c r="D632" s="207"/>
      <c r="E632" s="194"/>
      <c r="F632" s="194"/>
      <c r="G632" s="181"/>
    </row>
    <row r="633" spans="1:7" x14ac:dyDescent="0.25">
      <c r="A633" s="220"/>
      <c r="B633" s="481"/>
      <c r="C633" s="178"/>
      <c r="D633" s="207"/>
      <c r="E633" s="194"/>
      <c r="F633" s="194"/>
      <c r="G633" s="221"/>
    </row>
    <row r="634" spans="1:7" ht="24" x14ac:dyDescent="0.25">
      <c r="A634" s="167" t="s">
        <v>665</v>
      </c>
      <c r="B634" s="168" t="s">
        <v>307</v>
      </c>
      <c r="C634" s="169"/>
      <c r="D634" s="170"/>
      <c r="E634" s="141"/>
      <c r="F634" s="141"/>
      <c r="G634" s="171"/>
    </row>
    <row r="635" spans="1:7" ht="36.75" x14ac:dyDescent="0.25">
      <c r="A635" s="219"/>
      <c r="B635" s="177" t="s">
        <v>1866</v>
      </c>
      <c r="C635" s="178">
        <f>26+3+3+2+1</f>
        <v>35</v>
      </c>
      <c r="D635" s="207" t="s">
        <v>474</v>
      </c>
      <c r="E635" s="179">
        <v>20000</v>
      </c>
      <c r="F635" s="179">
        <f>E635*C635</f>
        <v>700000</v>
      </c>
      <c r="G635" s="171"/>
    </row>
    <row r="636" spans="1:7" x14ac:dyDescent="0.25">
      <c r="A636" s="220"/>
      <c r="B636" s="181"/>
      <c r="C636" s="178"/>
      <c r="D636" s="207"/>
      <c r="E636" s="179"/>
      <c r="F636" s="180"/>
      <c r="G636" s="171"/>
    </row>
    <row r="637" spans="1:7" x14ac:dyDescent="0.25">
      <c r="A637" s="167" t="s">
        <v>667</v>
      </c>
      <c r="B637" s="181" t="s">
        <v>973</v>
      </c>
      <c r="C637" s="178"/>
      <c r="D637" s="207"/>
      <c r="E637" s="179"/>
      <c r="F637" s="179"/>
      <c r="G637" s="181"/>
    </row>
    <row r="638" spans="1:7" x14ac:dyDescent="0.25">
      <c r="A638" s="219"/>
      <c r="B638" s="181" t="s">
        <v>972</v>
      </c>
      <c r="C638" s="178">
        <v>1</v>
      </c>
      <c r="D638" s="207" t="s">
        <v>106</v>
      </c>
      <c r="E638" s="179">
        <v>90000</v>
      </c>
      <c r="F638" s="179">
        <f>E638*C638</f>
        <v>90000</v>
      </c>
      <c r="G638" s="171"/>
    </row>
    <row r="639" spans="1:7" x14ac:dyDescent="0.25">
      <c r="A639" s="220"/>
      <c r="B639" s="181"/>
      <c r="C639" s="178"/>
      <c r="D639" s="207"/>
      <c r="E639" s="179"/>
      <c r="F639" s="179"/>
      <c r="G639" s="171"/>
    </row>
    <row r="640" spans="1:7" x14ac:dyDescent="0.25">
      <c r="A640" s="167" t="s">
        <v>668</v>
      </c>
      <c r="B640" s="181" t="s">
        <v>421</v>
      </c>
      <c r="C640" s="178"/>
      <c r="D640" s="362"/>
      <c r="E640" s="179"/>
      <c r="F640" s="398"/>
      <c r="G640" s="171"/>
    </row>
    <row r="641" spans="1:7" x14ac:dyDescent="0.25">
      <c r="A641" s="181"/>
      <c r="B641" s="181" t="s">
        <v>422</v>
      </c>
      <c r="C641" s="178">
        <v>1</v>
      </c>
      <c r="D641" s="207" t="s">
        <v>93</v>
      </c>
      <c r="E641" s="179">
        <v>50000</v>
      </c>
      <c r="F641" s="398">
        <f>E641*C641</f>
        <v>50000</v>
      </c>
      <c r="G641" s="177"/>
    </row>
    <row r="642" spans="1:7" x14ac:dyDescent="0.25">
      <c r="A642" s="181"/>
      <c r="B642" s="181" t="s">
        <v>275</v>
      </c>
      <c r="C642" s="178">
        <v>5</v>
      </c>
      <c r="D642" s="207" t="s">
        <v>158</v>
      </c>
      <c r="E642" s="179">
        <v>3000</v>
      </c>
      <c r="F642" s="398">
        <f>E642*C642</f>
        <v>15000</v>
      </c>
      <c r="G642" s="205"/>
    </row>
    <row r="643" spans="1:7" x14ac:dyDescent="0.25">
      <c r="A643" s="181"/>
      <c r="B643" s="181" t="s">
        <v>289</v>
      </c>
      <c r="C643" s="178">
        <v>1</v>
      </c>
      <c r="D643" s="207" t="s">
        <v>290</v>
      </c>
      <c r="E643" s="179">
        <v>10000</v>
      </c>
      <c r="F643" s="398">
        <f>E643*C643</f>
        <v>10000</v>
      </c>
      <c r="G643" s="205"/>
    </row>
    <row r="644" spans="1:7" x14ac:dyDescent="0.25">
      <c r="A644" s="221"/>
      <c r="B644" s="181"/>
      <c r="C644" s="178"/>
      <c r="D644" s="207"/>
      <c r="E644" s="179"/>
      <c r="F644" s="398"/>
      <c r="G644" s="482"/>
    </row>
    <row r="645" spans="1:7" x14ac:dyDescent="0.25">
      <c r="A645" s="167" t="s">
        <v>670</v>
      </c>
      <c r="B645" s="181" t="s">
        <v>294</v>
      </c>
      <c r="C645" s="178"/>
      <c r="D645" s="207"/>
      <c r="E645" s="179"/>
      <c r="F645" s="179"/>
      <c r="G645" s="171"/>
    </row>
    <row r="646" spans="1:7" ht="24.75" x14ac:dyDescent="0.25">
      <c r="A646" s="167" t="s">
        <v>672</v>
      </c>
      <c r="B646" s="177" t="s">
        <v>484</v>
      </c>
      <c r="C646" s="178"/>
      <c r="D646" s="207"/>
      <c r="E646" s="179"/>
      <c r="F646" s="179"/>
      <c r="G646" s="171"/>
    </row>
    <row r="647" spans="1:7" x14ac:dyDescent="0.25">
      <c r="A647" s="167"/>
      <c r="B647" s="181" t="s">
        <v>179</v>
      </c>
      <c r="C647" s="178">
        <v>1</v>
      </c>
      <c r="D647" s="207" t="s">
        <v>269</v>
      </c>
      <c r="E647" s="179">
        <v>300000</v>
      </c>
      <c r="F647" s="179">
        <f>E647*C647</f>
        <v>300000</v>
      </c>
      <c r="G647" s="171"/>
    </row>
    <row r="648" spans="1:7" x14ac:dyDescent="0.25">
      <c r="A648" s="167"/>
      <c r="B648" s="181" t="s">
        <v>180</v>
      </c>
      <c r="C648" s="178">
        <v>1</v>
      </c>
      <c r="D648" s="207" t="s">
        <v>269</v>
      </c>
      <c r="E648" s="179">
        <v>250000</v>
      </c>
      <c r="F648" s="179">
        <f>E648*C648</f>
        <v>250000</v>
      </c>
      <c r="G648" s="171"/>
    </row>
    <row r="649" spans="1:7" x14ac:dyDescent="0.25">
      <c r="A649" s="167"/>
      <c r="B649" s="181" t="s">
        <v>331</v>
      </c>
      <c r="C649" s="178">
        <v>1</v>
      </c>
      <c r="D649" s="207" t="s">
        <v>269</v>
      </c>
      <c r="E649" s="179">
        <v>200000</v>
      </c>
      <c r="F649" s="179">
        <f>E649*C649</f>
        <v>200000</v>
      </c>
      <c r="G649" s="171"/>
    </row>
    <row r="650" spans="1:7" x14ac:dyDescent="0.25">
      <c r="A650" s="167"/>
      <c r="B650" s="181"/>
      <c r="C650" s="178"/>
      <c r="D650" s="207"/>
      <c r="E650" s="179"/>
      <c r="F650" s="179"/>
      <c r="G650" s="171"/>
    </row>
    <row r="651" spans="1:7" ht="36.75" x14ac:dyDescent="0.25">
      <c r="A651" s="167" t="s">
        <v>671</v>
      </c>
      <c r="B651" s="177" t="s">
        <v>842</v>
      </c>
      <c r="C651" s="178"/>
      <c r="D651" s="207"/>
      <c r="E651" s="194"/>
      <c r="F651" s="194"/>
      <c r="G651" s="181"/>
    </row>
    <row r="652" spans="1:7" x14ac:dyDescent="0.25">
      <c r="A652" s="219"/>
      <c r="B652" s="181" t="s">
        <v>1481</v>
      </c>
      <c r="C652" s="178">
        <v>3</v>
      </c>
      <c r="D652" s="207" t="s">
        <v>1786</v>
      </c>
      <c r="E652" s="194">
        <v>378000</v>
      </c>
      <c r="F652" s="194">
        <f>E652*C652</f>
        <v>1134000</v>
      </c>
      <c r="G652" s="171"/>
    </row>
    <row r="653" spans="1:7" x14ac:dyDescent="0.25">
      <c r="A653" s="220"/>
      <c r="B653" s="181"/>
      <c r="C653" s="178"/>
      <c r="D653" s="207"/>
      <c r="E653" s="194"/>
      <c r="F653" s="194"/>
      <c r="G653" s="171"/>
    </row>
    <row r="654" spans="1:7" ht="24.75" x14ac:dyDescent="0.25">
      <c r="A654" s="167" t="s">
        <v>1482</v>
      </c>
      <c r="B654" s="177" t="s">
        <v>971</v>
      </c>
      <c r="C654" s="178"/>
      <c r="D654" s="207"/>
      <c r="E654" s="194"/>
      <c r="F654" s="194"/>
      <c r="G654" s="171"/>
    </row>
    <row r="655" spans="1:7" ht="24.75" x14ac:dyDescent="0.25">
      <c r="A655" s="167" t="s">
        <v>1483</v>
      </c>
      <c r="B655" s="177" t="s">
        <v>970</v>
      </c>
      <c r="C655" s="178"/>
      <c r="D655" s="207"/>
      <c r="E655" s="179"/>
      <c r="F655" s="179"/>
      <c r="G655" s="181"/>
    </row>
    <row r="656" spans="1:7" x14ac:dyDescent="0.25">
      <c r="A656" s="219"/>
      <c r="B656" s="181" t="s">
        <v>906</v>
      </c>
      <c r="C656" s="178">
        <v>1</v>
      </c>
      <c r="D656" s="207" t="s">
        <v>213</v>
      </c>
      <c r="E656" s="179">
        <v>2500000</v>
      </c>
      <c r="F656" s="179">
        <f>C656*E656</f>
        <v>2500000</v>
      </c>
      <c r="G656" s="171"/>
    </row>
    <row r="657" spans="1:21" x14ac:dyDescent="0.25">
      <c r="A657" s="219"/>
      <c r="B657" s="181" t="s">
        <v>907</v>
      </c>
      <c r="C657" s="178">
        <v>1</v>
      </c>
      <c r="D657" s="207" t="s">
        <v>213</v>
      </c>
      <c r="E657" s="179">
        <v>2000000</v>
      </c>
      <c r="F657" s="179">
        <f>C657*E657</f>
        <v>2000000</v>
      </c>
      <c r="G657" s="171"/>
    </row>
    <row r="658" spans="1:21" x14ac:dyDescent="0.25">
      <c r="A658" s="219"/>
      <c r="B658" s="181" t="s">
        <v>908</v>
      </c>
      <c r="C658" s="178">
        <v>1</v>
      </c>
      <c r="D658" s="207" t="s">
        <v>213</v>
      </c>
      <c r="E658" s="179">
        <v>1500000</v>
      </c>
      <c r="F658" s="179">
        <f>C658*E658</f>
        <v>1500000</v>
      </c>
      <c r="G658" s="171"/>
    </row>
    <row r="659" spans="1:21" x14ac:dyDescent="0.25">
      <c r="A659" s="219"/>
      <c r="B659" s="181"/>
      <c r="C659" s="178"/>
      <c r="D659" s="207"/>
      <c r="E659" s="179"/>
      <c r="F659" s="179"/>
      <c r="G659" s="171"/>
    </row>
    <row r="660" spans="1:21" x14ac:dyDescent="0.25">
      <c r="A660" s="181"/>
      <c r="B660" s="181"/>
      <c r="C660" s="178"/>
      <c r="D660" s="207"/>
      <c r="E660" s="179"/>
      <c r="F660" s="180"/>
      <c r="G660" s="205"/>
    </row>
    <row r="661" spans="1:21" x14ac:dyDescent="0.25">
      <c r="A661" s="181"/>
      <c r="B661" s="480" t="s">
        <v>26</v>
      </c>
      <c r="C661" s="483"/>
      <c r="D661" s="484"/>
      <c r="E661" s="480"/>
      <c r="F661" s="485">
        <f>SUM(F622:F658)</f>
        <v>10261000</v>
      </c>
      <c r="G661" s="205" t="s">
        <v>3534</v>
      </c>
      <c r="J661" s="139"/>
      <c r="U661" s="139">
        <f>F661</f>
        <v>10261000</v>
      </c>
    </row>
    <row r="662" spans="1:21" x14ac:dyDescent="0.25">
      <c r="A662" s="1926" t="s">
        <v>516</v>
      </c>
      <c r="B662" s="1926"/>
      <c r="C662" s="152" t="s">
        <v>27</v>
      </c>
      <c r="D662" s="1926" t="s">
        <v>3654</v>
      </c>
      <c r="E662" s="1926"/>
      <c r="F662" s="1926"/>
      <c r="G662" s="152"/>
    </row>
    <row r="663" spans="1:21" x14ac:dyDescent="0.25">
      <c r="A663" s="1926" t="s">
        <v>28</v>
      </c>
      <c r="B663" s="1926"/>
      <c r="C663" s="152"/>
      <c r="D663" s="1927" t="s">
        <v>3565</v>
      </c>
      <c r="E663" s="1927"/>
      <c r="F663" s="1927"/>
      <c r="G663" s="152"/>
    </row>
    <row r="664" spans="1:21" x14ac:dyDescent="0.25">
      <c r="A664" s="150"/>
      <c r="B664" s="151"/>
      <c r="C664" s="152"/>
      <c r="D664" s="153"/>
      <c r="E664" s="1770"/>
      <c r="F664" s="182"/>
      <c r="G664" s="152"/>
    </row>
    <row r="665" spans="1:21" x14ac:dyDescent="0.25">
      <c r="A665" s="150"/>
      <c r="B665" s="151"/>
      <c r="C665" s="152"/>
      <c r="D665" s="153"/>
      <c r="E665" s="1770"/>
      <c r="F665" s="182"/>
      <c r="G665" s="152"/>
    </row>
    <row r="666" spans="1:21" x14ac:dyDescent="0.25">
      <c r="A666" s="1926"/>
      <c r="B666" s="1926"/>
      <c r="C666" s="152"/>
      <c r="D666" s="153"/>
      <c r="E666" s="1926"/>
      <c r="F666" s="1926"/>
      <c r="G666" s="152"/>
    </row>
    <row r="667" spans="1:21" x14ac:dyDescent="0.25">
      <c r="A667" s="1926" t="s">
        <v>29</v>
      </c>
      <c r="B667" s="1926"/>
      <c r="C667" s="152"/>
      <c r="D667" s="1926" t="s">
        <v>3564</v>
      </c>
      <c r="E667" s="1926"/>
      <c r="F667" s="1926"/>
      <c r="G667" s="152"/>
    </row>
    <row r="668" spans="1:21" x14ac:dyDescent="0.25">
      <c r="A668" s="393"/>
      <c r="B668" s="393"/>
      <c r="C668" s="393"/>
      <c r="D668" s="393"/>
      <c r="E668" s="393"/>
      <c r="F668" s="393"/>
      <c r="G668" s="393"/>
    </row>
    <row r="671" spans="1:21" x14ac:dyDescent="0.25">
      <c r="A671" s="1947" t="s">
        <v>0</v>
      </c>
      <c r="B671" s="1947"/>
      <c r="C671" s="1947"/>
      <c r="D671" s="1947"/>
      <c r="E671" s="1947"/>
      <c r="F671" s="1947"/>
      <c r="G671" s="149"/>
    </row>
    <row r="672" spans="1:21" x14ac:dyDescent="0.25">
      <c r="A672" s="1947" t="s">
        <v>1</v>
      </c>
      <c r="B672" s="1947"/>
      <c r="C672" s="1947"/>
      <c r="D672" s="1947"/>
      <c r="E672" s="1947"/>
      <c r="F672" s="1947"/>
      <c r="G672" s="149"/>
    </row>
    <row r="673" spans="1:7" x14ac:dyDescent="0.25">
      <c r="A673" s="1947" t="s">
        <v>2398</v>
      </c>
      <c r="B673" s="1947"/>
      <c r="C673" s="1947"/>
      <c r="D673" s="1947"/>
      <c r="E673" s="1947"/>
      <c r="F673" s="1947"/>
      <c r="G673" s="149"/>
    </row>
    <row r="674" spans="1:7" x14ac:dyDescent="0.25">
      <c r="A674" s="149" t="s">
        <v>649</v>
      </c>
      <c r="B674" s="149" t="s">
        <v>648</v>
      </c>
      <c r="C674" s="149"/>
      <c r="D674" s="149"/>
      <c r="E674" s="191" t="s">
        <v>6</v>
      </c>
      <c r="F674" s="191" t="s">
        <v>62</v>
      </c>
      <c r="G674" s="149"/>
    </row>
    <row r="675" spans="1:7" x14ac:dyDescent="0.25">
      <c r="A675" s="340" t="s">
        <v>237</v>
      </c>
      <c r="B675" s="340" t="s">
        <v>647</v>
      </c>
      <c r="C675" s="340"/>
      <c r="D675" s="148"/>
      <c r="E675" s="157" t="s">
        <v>482</v>
      </c>
      <c r="F675" s="157" t="s">
        <v>62</v>
      </c>
      <c r="G675" s="149"/>
    </row>
    <row r="676" spans="1:7" ht="60.75" x14ac:dyDescent="0.25">
      <c r="A676" s="340" t="s">
        <v>646</v>
      </c>
      <c r="B676" s="341" t="s">
        <v>1484</v>
      </c>
      <c r="C676" s="340"/>
      <c r="D676" s="148"/>
      <c r="E676" s="414"/>
      <c r="F676" s="340"/>
      <c r="G676" s="149"/>
    </row>
    <row r="677" spans="1:7" x14ac:dyDescent="0.25">
      <c r="A677" s="149" t="s">
        <v>488</v>
      </c>
      <c r="B677" s="149" t="s">
        <v>513</v>
      </c>
      <c r="C677" s="149"/>
      <c r="D677" s="149"/>
      <c r="E677" s="149"/>
      <c r="F677" s="149"/>
      <c r="G677" s="149"/>
    </row>
    <row r="678" spans="1:7" x14ac:dyDescent="0.25">
      <c r="A678" s="2036" t="s">
        <v>470</v>
      </c>
      <c r="B678" s="2036"/>
      <c r="C678" s="149"/>
      <c r="D678" s="340"/>
      <c r="E678" s="382"/>
      <c r="F678" s="149"/>
      <c r="G678" s="149"/>
    </row>
    <row r="679" spans="1:7" x14ac:dyDescent="0.25">
      <c r="A679" s="393"/>
      <c r="B679" s="393"/>
      <c r="C679" s="393"/>
      <c r="D679" s="393"/>
      <c r="E679" s="393"/>
      <c r="F679" s="393"/>
      <c r="G679" s="393"/>
    </row>
    <row r="680" spans="1:7" x14ac:dyDescent="0.25">
      <c r="A680" s="393"/>
      <c r="B680" s="393"/>
      <c r="C680" s="393"/>
      <c r="D680" s="393"/>
      <c r="E680" s="393"/>
      <c r="F680" s="393"/>
      <c r="G680" s="393"/>
    </row>
    <row r="681" spans="1:7" ht="24" x14ac:dyDescent="0.25">
      <c r="A681" s="415" t="s">
        <v>514</v>
      </c>
      <c r="B681" s="415" t="s">
        <v>11</v>
      </c>
      <c r="C681" s="2033" t="s">
        <v>12</v>
      </c>
      <c r="D681" s="2034"/>
      <c r="E681" s="416" t="s">
        <v>13</v>
      </c>
      <c r="F681" s="415" t="s">
        <v>14</v>
      </c>
      <c r="G681" s="417" t="s">
        <v>256</v>
      </c>
    </row>
    <row r="682" spans="1:7" x14ac:dyDescent="0.25">
      <c r="A682" s="418">
        <v>1</v>
      </c>
      <c r="B682" s="418">
        <v>2</v>
      </c>
      <c r="C682" s="2041">
        <v>3</v>
      </c>
      <c r="D682" s="2042"/>
      <c r="E682" s="419">
        <v>4</v>
      </c>
      <c r="F682" s="418">
        <v>5</v>
      </c>
      <c r="G682" s="417">
        <v>6</v>
      </c>
    </row>
    <row r="683" spans="1:7" x14ac:dyDescent="0.25">
      <c r="A683" s="346" t="s">
        <v>663</v>
      </c>
      <c r="B683" s="410" t="s">
        <v>277</v>
      </c>
      <c r="C683" s="420"/>
      <c r="D683" s="421"/>
      <c r="E683" s="422"/>
      <c r="F683" s="423"/>
      <c r="G683" s="205"/>
    </row>
    <row r="684" spans="1:7" x14ac:dyDescent="0.25">
      <c r="A684" s="346" t="s">
        <v>664</v>
      </c>
      <c r="B684" s="410" t="s">
        <v>84</v>
      </c>
      <c r="C684" s="420"/>
      <c r="D684" s="421"/>
      <c r="E684" s="422"/>
      <c r="F684" s="423"/>
      <c r="G684" s="205"/>
    </row>
    <row r="685" spans="1:7" ht="24.75" x14ac:dyDescent="0.25">
      <c r="A685" s="346" t="s">
        <v>680</v>
      </c>
      <c r="B685" s="410" t="s">
        <v>679</v>
      </c>
      <c r="C685" s="420"/>
      <c r="D685" s="421"/>
      <c r="E685" s="422"/>
      <c r="F685" s="423"/>
      <c r="G685" s="205"/>
    </row>
    <row r="686" spans="1:7" x14ac:dyDescent="0.25">
      <c r="A686" s="205"/>
      <c r="B686" s="181" t="s">
        <v>1090</v>
      </c>
      <c r="C686" s="178">
        <v>300</v>
      </c>
      <c r="D686" s="362" t="s">
        <v>266</v>
      </c>
      <c r="E686" s="179">
        <v>350</v>
      </c>
      <c r="F686" s="423">
        <f>E686*C686</f>
        <v>105000</v>
      </c>
      <c r="G686" s="205"/>
    </row>
    <row r="687" spans="1:7" x14ac:dyDescent="0.25">
      <c r="A687" s="205"/>
      <c r="B687" s="181"/>
      <c r="C687" s="178"/>
      <c r="D687" s="362"/>
      <c r="E687" s="179"/>
      <c r="F687" s="423"/>
      <c r="G687" s="205"/>
    </row>
    <row r="688" spans="1:7" ht="24.75" x14ac:dyDescent="0.25">
      <c r="A688" s="346" t="s">
        <v>665</v>
      </c>
      <c r="B688" s="177" t="s">
        <v>307</v>
      </c>
      <c r="C688" s="178"/>
      <c r="D688" s="362"/>
      <c r="E688" s="179"/>
      <c r="F688" s="423"/>
      <c r="G688" s="205"/>
    </row>
    <row r="689" spans="1:7" x14ac:dyDescent="0.25">
      <c r="A689" s="205"/>
      <c r="B689" s="181" t="s">
        <v>1485</v>
      </c>
      <c r="C689" s="178">
        <v>40</v>
      </c>
      <c r="D689" s="362" t="s">
        <v>474</v>
      </c>
      <c r="E689" s="179">
        <v>20000</v>
      </c>
      <c r="F689" s="423">
        <f>E689*C689</f>
        <v>800000</v>
      </c>
      <c r="G689" s="205"/>
    </row>
    <row r="690" spans="1:7" x14ac:dyDescent="0.25">
      <c r="A690" s="346" t="s">
        <v>666</v>
      </c>
      <c r="B690" s="181" t="s">
        <v>1486</v>
      </c>
      <c r="C690" s="178"/>
      <c r="D690" s="362"/>
      <c r="E690" s="179"/>
      <c r="F690" s="423"/>
      <c r="G690" s="205"/>
    </row>
    <row r="691" spans="1:7" x14ac:dyDescent="0.25">
      <c r="A691" s="205"/>
      <c r="B691" s="181" t="s">
        <v>1487</v>
      </c>
      <c r="C691" s="178">
        <v>30</v>
      </c>
      <c r="D691" s="362" t="s">
        <v>133</v>
      </c>
      <c r="E691" s="179">
        <v>200000</v>
      </c>
      <c r="F691" s="423">
        <f>C691*E691</f>
        <v>6000000</v>
      </c>
      <c r="G691" s="205"/>
    </row>
    <row r="692" spans="1:7" x14ac:dyDescent="0.25">
      <c r="A692" s="205"/>
      <c r="B692" s="181"/>
      <c r="C692" s="178"/>
      <c r="D692" s="362"/>
      <c r="E692" s="179"/>
      <c r="F692" s="423"/>
      <c r="G692" s="205"/>
    </row>
    <row r="693" spans="1:7" ht="24.75" x14ac:dyDescent="0.25">
      <c r="A693" s="346" t="s">
        <v>667</v>
      </c>
      <c r="B693" s="177" t="s">
        <v>325</v>
      </c>
      <c r="C693" s="178"/>
      <c r="D693" s="362"/>
      <c r="E693" s="179"/>
      <c r="F693" s="423"/>
      <c r="G693" s="205"/>
    </row>
    <row r="694" spans="1:7" x14ac:dyDescent="0.25">
      <c r="A694" s="205"/>
      <c r="B694" s="181" t="s">
        <v>326</v>
      </c>
      <c r="C694" s="178">
        <v>1</v>
      </c>
      <c r="D694" s="362" t="s">
        <v>93</v>
      </c>
      <c r="E694" s="179">
        <v>90000</v>
      </c>
      <c r="F694" s="423">
        <f>E694*C694</f>
        <v>90000</v>
      </c>
      <c r="G694" s="205"/>
    </row>
    <row r="695" spans="1:7" x14ac:dyDescent="0.25">
      <c r="A695" s="346" t="s">
        <v>670</v>
      </c>
      <c r="B695" s="410" t="s">
        <v>294</v>
      </c>
      <c r="C695" s="178"/>
      <c r="D695" s="362"/>
      <c r="E695" s="179"/>
      <c r="F695" s="423"/>
      <c r="G695" s="205"/>
    </row>
    <row r="696" spans="1:7" ht="24.75" x14ac:dyDescent="0.25">
      <c r="A696" s="346" t="s">
        <v>671</v>
      </c>
      <c r="B696" s="177" t="s">
        <v>1867</v>
      </c>
      <c r="C696" s="178"/>
      <c r="D696" s="362"/>
      <c r="E696" s="179"/>
      <c r="F696" s="423"/>
      <c r="G696" s="205"/>
    </row>
    <row r="697" spans="1:7" x14ac:dyDescent="0.25">
      <c r="A697" s="205"/>
      <c r="B697" s="181" t="s">
        <v>1868</v>
      </c>
      <c r="C697" s="178">
        <v>1</v>
      </c>
      <c r="D697" s="362" t="s">
        <v>392</v>
      </c>
      <c r="E697" s="179">
        <v>250000</v>
      </c>
      <c r="F697" s="423">
        <f>E697*C697</f>
        <v>250000</v>
      </c>
      <c r="G697" s="205"/>
    </row>
    <row r="698" spans="1:7" x14ac:dyDescent="0.25">
      <c r="A698" s="205"/>
      <c r="B698" s="480" t="s">
        <v>1696</v>
      </c>
      <c r="C698" s="178"/>
      <c r="D698" s="362"/>
      <c r="E698" s="179"/>
      <c r="F698" s="423"/>
      <c r="G698" s="205"/>
    </row>
    <row r="699" spans="1:7" ht="24.75" x14ac:dyDescent="0.25">
      <c r="A699" s="346" t="s">
        <v>680</v>
      </c>
      <c r="B699" s="410" t="s">
        <v>679</v>
      </c>
      <c r="C699" s="420"/>
      <c r="D699" s="421"/>
      <c r="E699" s="422"/>
      <c r="F699" s="423"/>
      <c r="G699" s="205"/>
    </row>
    <row r="700" spans="1:7" x14ac:dyDescent="0.25">
      <c r="A700" s="205"/>
      <c r="B700" s="181" t="s">
        <v>105</v>
      </c>
      <c r="C700" s="178">
        <v>30</v>
      </c>
      <c r="D700" s="362" t="s">
        <v>106</v>
      </c>
      <c r="E700" s="141">
        <v>7000</v>
      </c>
      <c r="F700" s="423">
        <f>E700*C700</f>
        <v>210000</v>
      </c>
      <c r="G700" s="205"/>
    </row>
    <row r="701" spans="1:7" x14ac:dyDescent="0.25">
      <c r="A701" s="205"/>
      <c r="B701" s="181" t="s">
        <v>261</v>
      </c>
      <c r="C701" s="178">
        <v>30</v>
      </c>
      <c r="D701" s="362" t="s">
        <v>106</v>
      </c>
      <c r="E701" s="141">
        <v>5000</v>
      </c>
      <c r="F701" s="423">
        <f>E701*C701</f>
        <v>150000</v>
      </c>
      <c r="G701" s="205"/>
    </row>
    <row r="702" spans="1:7" ht="24.75" x14ac:dyDescent="0.25">
      <c r="A702" s="346" t="s">
        <v>665</v>
      </c>
      <c r="B702" s="177" t="s">
        <v>307</v>
      </c>
      <c r="C702" s="178"/>
      <c r="D702" s="362"/>
      <c r="E702" s="179"/>
      <c r="F702" s="423"/>
      <c r="G702" s="205"/>
    </row>
    <row r="703" spans="1:7" x14ac:dyDescent="0.25">
      <c r="A703" s="205"/>
      <c r="B703" s="181" t="s">
        <v>1869</v>
      </c>
      <c r="C703" s="178">
        <v>34</v>
      </c>
      <c r="D703" s="362" t="s">
        <v>474</v>
      </c>
      <c r="E703" s="179">
        <v>20000</v>
      </c>
      <c r="F703" s="423">
        <f>E703*C703</f>
        <v>680000</v>
      </c>
      <c r="G703" s="205"/>
    </row>
    <row r="704" spans="1:7" x14ac:dyDescent="0.25">
      <c r="A704" s="205"/>
      <c r="B704" s="181"/>
      <c r="C704" s="178"/>
      <c r="D704" s="362"/>
      <c r="E704" s="179"/>
      <c r="F704" s="423"/>
      <c r="G704" s="205"/>
    </row>
    <row r="705" spans="1:13" x14ac:dyDescent="0.25">
      <c r="A705" s="346" t="s">
        <v>670</v>
      </c>
      <c r="B705" s="410" t="s">
        <v>294</v>
      </c>
      <c r="C705" s="178"/>
      <c r="D705" s="362"/>
      <c r="E705" s="179"/>
      <c r="F705" s="423"/>
      <c r="G705" s="205"/>
    </row>
    <row r="706" spans="1:13" ht="24.75" x14ac:dyDescent="0.25">
      <c r="A706" s="346" t="s">
        <v>671</v>
      </c>
      <c r="B706" s="177" t="s">
        <v>656</v>
      </c>
      <c r="C706" s="178"/>
      <c r="D706" s="362"/>
      <c r="E706" s="179"/>
      <c r="F706" s="423"/>
      <c r="G706" s="205"/>
    </row>
    <row r="707" spans="1:13" x14ac:dyDescent="0.25">
      <c r="A707" s="205"/>
      <c r="B707" s="177" t="s">
        <v>1870</v>
      </c>
      <c r="C707" s="178">
        <v>1</v>
      </c>
      <c r="D707" s="362" t="s">
        <v>1786</v>
      </c>
      <c r="E707" s="179">
        <v>300000</v>
      </c>
      <c r="F707" s="423">
        <f>E707*C707</f>
        <v>300000</v>
      </c>
      <c r="G707" s="205"/>
    </row>
    <row r="708" spans="1:13" x14ac:dyDescent="0.25">
      <c r="A708" s="205"/>
      <c r="B708" s="181"/>
      <c r="C708" s="178"/>
      <c r="D708" s="362"/>
      <c r="E708" s="179"/>
      <c r="F708" s="423"/>
      <c r="G708" s="205"/>
    </row>
    <row r="709" spans="1:13" x14ac:dyDescent="0.25">
      <c r="A709" s="205"/>
      <c r="B709" s="2040" t="s">
        <v>26</v>
      </c>
      <c r="C709" s="2040"/>
      <c r="D709" s="2040"/>
      <c r="E709" s="2040"/>
      <c r="F709" s="423">
        <f>SUM(F684:F708)</f>
        <v>8585000</v>
      </c>
      <c r="G709" s="205" t="s">
        <v>2177</v>
      </c>
      <c r="J709" s="23"/>
      <c r="K709" s="23"/>
      <c r="M709" s="23">
        <f>F709</f>
        <v>8585000</v>
      </c>
    </row>
    <row r="710" spans="1:13" x14ac:dyDescent="0.25">
      <c r="A710" s="393"/>
      <c r="B710" s="393"/>
      <c r="C710" s="393"/>
      <c r="D710" s="393"/>
      <c r="E710" s="393"/>
      <c r="F710" s="393"/>
      <c r="G710" s="393"/>
    </row>
    <row r="711" spans="1:13" x14ac:dyDescent="0.25">
      <c r="A711" s="1926" t="s">
        <v>516</v>
      </c>
      <c r="B711" s="1926"/>
      <c r="C711" s="152" t="s">
        <v>27</v>
      </c>
      <c r="D711" s="1926" t="s">
        <v>3654</v>
      </c>
      <c r="E711" s="1926"/>
      <c r="F711" s="1926"/>
      <c r="G711" s="152"/>
    </row>
    <row r="712" spans="1:13" x14ac:dyDescent="0.25">
      <c r="A712" s="1926" t="s">
        <v>28</v>
      </c>
      <c r="B712" s="1926"/>
      <c r="C712" s="152"/>
      <c r="D712" s="1927" t="s">
        <v>3565</v>
      </c>
      <c r="E712" s="1927"/>
      <c r="F712" s="1927"/>
      <c r="G712" s="152"/>
    </row>
    <row r="713" spans="1:13" x14ac:dyDescent="0.25">
      <c r="A713" s="150"/>
      <c r="B713" s="151"/>
      <c r="C713" s="152"/>
      <c r="D713" s="153"/>
      <c r="E713" s="1770"/>
      <c r="F713" s="182"/>
      <c r="G713" s="152"/>
    </row>
    <row r="714" spans="1:13" x14ac:dyDescent="0.25">
      <c r="A714" s="150"/>
      <c r="B714" s="151"/>
      <c r="C714" s="152"/>
      <c r="D714" s="153"/>
      <c r="E714" s="1770"/>
      <c r="F714" s="182"/>
      <c r="G714" s="152"/>
    </row>
    <row r="715" spans="1:13" x14ac:dyDescent="0.25">
      <c r="A715" s="1926"/>
      <c r="B715" s="1926"/>
      <c r="C715" s="152"/>
      <c r="D715" s="153"/>
      <c r="E715" s="1926"/>
      <c r="F715" s="1926"/>
      <c r="G715" s="152"/>
    </row>
    <row r="716" spans="1:13" x14ac:dyDescent="0.25">
      <c r="A716" s="1926" t="s">
        <v>29</v>
      </c>
      <c r="B716" s="1926"/>
      <c r="C716" s="152"/>
      <c r="D716" s="1926" t="s">
        <v>3564</v>
      </c>
      <c r="E716" s="1926"/>
      <c r="F716" s="1926"/>
      <c r="G716" s="152"/>
    </row>
    <row r="718" spans="1:13" s="393" customFormat="1" ht="12" x14ac:dyDescent="0.2">
      <c r="A718" s="1947" t="s">
        <v>0</v>
      </c>
      <c r="B718" s="1947"/>
      <c r="C718" s="1947"/>
      <c r="D718" s="1947"/>
      <c r="E718" s="1947"/>
      <c r="F718" s="1947"/>
      <c r="G718" s="1947"/>
    </row>
    <row r="719" spans="1:13" s="393" customFormat="1" ht="12" x14ac:dyDescent="0.2">
      <c r="A719" s="1947" t="s">
        <v>1</v>
      </c>
      <c r="B719" s="1947"/>
      <c r="C719" s="1947"/>
      <c r="D719" s="1947"/>
      <c r="E719" s="1947"/>
      <c r="F719" s="1947"/>
      <c r="G719" s="1947"/>
    </row>
    <row r="720" spans="1:13" s="393" customFormat="1" ht="12" x14ac:dyDescent="0.2">
      <c r="A720" s="1947" t="s">
        <v>2398</v>
      </c>
      <c r="B720" s="1947"/>
      <c r="C720" s="1947"/>
      <c r="D720" s="1947"/>
      <c r="E720" s="1947"/>
      <c r="F720" s="1947"/>
      <c r="G720" s="1947"/>
    </row>
    <row r="721" spans="1:7" s="393" customFormat="1" ht="12" x14ac:dyDescent="0.2">
      <c r="F721" s="486"/>
    </row>
    <row r="722" spans="1:7" s="393" customFormat="1" ht="12" x14ac:dyDescent="0.2">
      <c r="A722" s="393" t="s">
        <v>251</v>
      </c>
      <c r="B722" s="393" t="s">
        <v>648</v>
      </c>
      <c r="F722" s="486"/>
    </row>
    <row r="723" spans="1:7" s="393" customFormat="1" ht="12" x14ac:dyDescent="0.2">
      <c r="A723" s="393" t="s">
        <v>252</v>
      </c>
      <c r="B723" s="393" t="s">
        <v>647</v>
      </c>
      <c r="E723" s="393" t="s">
        <v>6</v>
      </c>
      <c r="F723" s="486" t="s">
        <v>62</v>
      </c>
    </row>
    <row r="724" spans="1:7" s="393" customFormat="1" ht="65.25" customHeight="1" x14ac:dyDescent="0.2">
      <c r="A724" s="437" t="s">
        <v>253</v>
      </c>
      <c r="B724" s="438" t="s">
        <v>1489</v>
      </c>
      <c r="C724" s="437"/>
      <c r="D724" s="437"/>
      <c r="E724" s="405" t="s">
        <v>9</v>
      </c>
      <c r="F724" s="486" t="s">
        <v>62</v>
      </c>
    </row>
    <row r="725" spans="1:7" s="393" customFormat="1" ht="24" x14ac:dyDescent="0.2">
      <c r="A725" s="405" t="s">
        <v>428</v>
      </c>
      <c r="B725" s="393" t="s">
        <v>60</v>
      </c>
      <c r="F725" s="486"/>
    </row>
    <row r="726" spans="1:7" s="393" customFormat="1" ht="12" x14ac:dyDescent="0.2">
      <c r="A726" s="405" t="s">
        <v>61</v>
      </c>
      <c r="B726" s="393" t="s">
        <v>62</v>
      </c>
      <c r="F726" s="486"/>
    </row>
    <row r="727" spans="1:7" s="393" customFormat="1" ht="12" x14ac:dyDescent="0.2">
      <c r="F727" s="486"/>
    </row>
    <row r="728" spans="1:7" s="393" customFormat="1" ht="24" x14ac:dyDescent="0.2">
      <c r="A728" s="417" t="s">
        <v>255</v>
      </c>
      <c r="B728" s="417" t="s">
        <v>11</v>
      </c>
      <c r="C728" s="2038" t="s">
        <v>12</v>
      </c>
      <c r="D728" s="2039"/>
      <c r="E728" s="979" t="s">
        <v>13</v>
      </c>
      <c r="F728" s="487" t="s">
        <v>14</v>
      </c>
      <c r="G728" s="417" t="s">
        <v>256</v>
      </c>
    </row>
    <row r="729" spans="1:7" s="393" customFormat="1" ht="12" x14ac:dyDescent="0.2">
      <c r="A729" s="417">
        <v>1</v>
      </c>
      <c r="B729" s="417">
        <v>2</v>
      </c>
      <c r="C729" s="2038">
        <v>3</v>
      </c>
      <c r="D729" s="2039"/>
      <c r="E729" s="417">
        <v>4</v>
      </c>
      <c r="F729" s="417">
        <v>5</v>
      </c>
      <c r="G729" s="417">
        <v>6</v>
      </c>
    </row>
    <row r="730" spans="1:7" s="393" customFormat="1" ht="12" x14ac:dyDescent="0.2">
      <c r="A730" s="205" t="s">
        <v>663</v>
      </c>
      <c r="B730" s="205" t="s">
        <v>277</v>
      </c>
      <c r="C730" s="420"/>
      <c r="D730" s="439"/>
      <c r="E730" s="205"/>
      <c r="F730" s="422"/>
      <c r="G730" s="205"/>
    </row>
    <row r="731" spans="1:7" s="393" customFormat="1" ht="12" x14ac:dyDescent="0.2">
      <c r="A731" s="205" t="s">
        <v>680</v>
      </c>
      <c r="B731" s="410" t="s">
        <v>84</v>
      </c>
      <c r="C731" s="420"/>
      <c r="D731" s="439"/>
      <c r="E731" s="205"/>
      <c r="F731" s="422"/>
      <c r="G731" s="205"/>
    </row>
    <row r="732" spans="1:7" s="393" customFormat="1" ht="24" x14ac:dyDescent="0.2">
      <c r="A732" s="205"/>
      <c r="B732" s="410" t="s">
        <v>679</v>
      </c>
      <c r="C732" s="420"/>
      <c r="D732" s="439"/>
      <c r="E732" s="205"/>
      <c r="F732" s="422"/>
      <c r="G732" s="205"/>
    </row>
    <row r="733" spans="1:7" s="393" customFormat="1" ht="12" x14ac:dyDescent="0.2">
      <c r="A733" s="205"/>
      <c r="B733" s="205" t="s">
        <v>2635</v>
      </c>
      <c r="C733" s="420">
        <v>10</v>
      </c>
      <c r="D733" s="439" t="s">
        <v>93</v>
      </c>
      <c r="E733" s="422">
        <v>5000</v>
      </c>
      <c r="F733" s="422">
        <f t="shared" ref="F733:F748" si="21">C733*E733</f>
        <v>50000</v>
      </c>
      <c r="G733" s="205"/>
    </row>
    <row r="734" spans="1:7" s="393" customFormat="1" ht="12" x14ac:dyDescent="0.2">
      <c r="A734" s="205"/>
      <c r="B734" s="205" t="s">
        <v>1460</v>
      </c>
      <c r="C734" s="420">
        <v>10</v>
      </c>
      <c r="D734" s="439" t="s">
        <v>93</v>
      </c>
      <c r="E734" s="422">
        <v>7000</v>
      </c>
      <c r="F734" s="422">
        <f t="shared" si="21"/>
        <v>70000</v>
      </c>
      <c r="G734" s="205"/>
    </row>
    <row r="735" spans="1:7" s="393" customFormat="1" ht="12" x14ac:dyDescent="0.2">
      <c r="A735" s="205"/>
      <c r="B735" s="205" t="s">
        <v>1456</v>
      </c>
      <c r="C735" s="420">
        <v>10</v>
      </c>
      <c r="D735" s="439" t="s">
        <v>93</v>
      </c>
      <c r="E735" s="422">
        <v>38000</v>
      </c>
      <c r="F735" s="422">
        <f t="shared" si="21"/>
        <v>380000</v>
      </c>
      <c r="G735" s="205"/>
    </row>
    <row r="736" spans="1:7" s="393" customFormat="1" ht="12" x14ac:dyDescent="0.2">
      <c r="A736" s="205"/>
      <c r="B736" s="205" t="s">
        <v>1457</v>
      </c>
      <c r="C736" s="420">
        <v>5</v>
      </c>
      <c r="D736" s="439" t="s">
        <v>93</v>
      </c>
      <c r="E736" s="422">
        <v>18000</v>
      </c>
      <c r="F736" s="422">
        <f t="shared" si="21"/>
        <v>90000</v>
      </c>
      <c r="G736" s="205"/>
    </row>
    <row r="737" spans="1:13" s="393" customFormat="1" ht="12" x14ac:dyDescent="0.2">
      <c r="A737" s="205"/>
      <c r="B737" s="205" t="s">
        <v>1090</v>
      </c>
      <c r="C737" s="420">
        <v>200</v>
      </c>
      <c r="D737" s="439" t="s">
        <v>266</v>
      </c>
      <c r="E737" s="422">
        <v>350</v>
      </c>
      <c r="F737" s="422">
        <f t="shared" si="21"/>
        <v>70000</v>
      </c>
      <c r="G737" s="205"/>
    </row>
    <row r="738" spans="1:13" s="393" customFormat="1" ht="12" x14ac:dyDescent="0.2">
      <c r="A738" s="205"/>
      <c r="B738" s="205"/>
      <c r="C738" s="420"/>
      <c r="D738" s="439"/>
      <c r="E738" s="422"/>
      <c r="F738" s="422"/>
      <c r="G738" s="205"/>
    </row>
    <row r="739" spans="1:13" s="393" customFormat="1" ht="24" x14ac:dyDescent="0.2">
      <c r="A739" s="205" t="s">
        <v>665</v>
      </c>
      <c r="B739" s="410" t="s">
        <v>307</v>
      </c>
      <c r="C739" s="420"/>
      <c r="D739" s="439"/>
      <c r="E739" s="422"/>
      <c r="F739" s="422"/>
      <c r="G739" s="205"/>
    </row>
    <row r="740" spans="1:13" s="393" customFormat="1" ht="24" x14ac:dyDescent="0.2">
      <c r="A740" s="205"/>
      <c r="B740" s="410" t="s">
        <v>1490</v>
      </c>
      <c r="C740" s="420">
        <v>10</v>
      </c>
      <c r="D740" s="439" t="s">
        <v>269</v>
      </c>
      <c r="E740" s="422">
        <v>20000</v>
      </c>
      <c r="F740" s="422">
        <f t="shared" si="21"/>
        <v>200000</v>
      </c>
      <c r="G740" s="205"/>
    </row>
    <row r="741" spans="1:13" s="393" customFormat="1" ht="12" x14ac:dyDescent="0.2">
      <c r="A741" s="205"/>
      <c r="B741" s="205"/>
      <c r="C741" s="420"/>
      <c r="D741" s="439"/>
      <c r="E741" s="422"/>
      <c r="F741" s="422"/>
      <c r="G741" s="205"/>
    </row>
    <row r="742" spans="1:13" s="393" customFormat="1" ht="24" x14ac:dyDescent="0.2">
      <c r="A742" s="205" t="s">
        <v>667</v>
      </c>
      <c r="B742" s="410" t="s">
        <v>325</v>
      </c>
      <c r="C742" s="420"/>
      <c r="D742" s="439"/>
      <c r="E742" s="422"/>
      <c r="F742" s="422"/>
      <c r="G742" s="205"/>
    </row>
    <row r="743" spans="1:13" s="393" customFormat="1" ht="12" x14ac:dyDescent="0.2">
      <c r="A743" s="205"/>
      <c r="B743" s="205" t="s">
        <v>326</v>
      </c>
      <c r="C743" s="420">
        <v>1</v>
      </c>
      <c r="D743" s="439" t="s">
        <v>93</v>
      </c>
      <c r="E743" s="422">
        <v>90000</v>
      </c>
      <c r="F743" s="422">
        <f t="shared" si="21"/>
        <v>90000</v>
      </c>
      <c r="G743" s="205"/>
    </row>
    <row r="744" spans="1:13" s="393" customFormat="1" ht="12" x14ac:dyDescent="0.2">
      <c r="A744" s="205"/>
      <c r="B744" s="205"/>
      <c r="C744" s="420"/>
      <c r="D744" s="439"/>
      <c r="E744" s="422"/>
      <c r="F744" s="422"/>
      <c r="G744" s="205"/>
    </row>
    <row r="745" spans="1:13" s="393" customFormat="1" ht="12" x14ac:dyDescent="0.2">
      <c r="A745" s="205"/>
      <c r="B745" s="205"/>
      <c r="C745" s="420"/>
      <c r="D745" s="439"/>
      <c r="E745" s="422"/>
      <c r="F745" s="422"/>
      <c r="G745" s="205"/>
    </row>
    <row r="746" spans="1:13" s="393" customFormat="1" ht="12" x14ac:dyDescent="0.2">
      <c r="A746" s="205" t="s">
        <v>670</v>
      </c>
      <c r="B746" s="205" t="s">
        <v>349</v>
      </c>
      <c r="C746" s="420"/>
      <c r="D746" s="439"/>
      <c r="E746" s="422"/>
      <c r="F746" s="422"/>
      <c r="G746" s="205"/>
    </row>
    <row r="747" spans="1:13" s="393" customFormat="1" ht="36" x14ac:dyDescent="0.2">
      <c r="A747" s="205" t="s">
        <v>691</v>
      </c>
      <c r="B747" s="410" t="s">
        <v>411</v>
      </c>
      <c r="C747" s="420"/>
      <c r="D747" s="439"/>
      <c r="E747" s="422"/>
      <c r="F747" s="422"/>
      <c r="G747" s="205"/>
    </row>
    <row r="748" spans="1:13" s="393" customFormat="1" ht="12" x14ac:dyDescent="0.2">
      <c r="A748" s="205"/>
      <c r="B748" s="205" t="s">
        <v>1459</v>
      </c>
      <c r="C748" s="420">
        <v>2</v>
      </c>
      <c r="D748" s="439" t="s">
        <v>3489</v>
      </c>
      <c r="E748" s="422">
        <v>300000</v>
      </c>
      <c r="F748" s="422">
        <f t="shared" si="21"/>
        <v>600000</v>
      </c>
      <c r="G748" s="205"/>
    </row>
    <row r="749" spans="1:13" s="393" customFormat="1" ht="12" x14ac:dyDescent="0.2">
      <c r="A749" s="205"/>
      <c r="B749" s="205"/>
      <c r="C749" s="420"/>
      <c r="D749" s="439"/>
      <c r="E749" s="440"/>
      <c r="F749" s="422"/>
      <c r="G749" s="205"/>
    </row>
    <row r="750" spans="1:13" s="393" customFormat="1" ht="12" x14ac:dyDescent="0.2">
      <c r="A750" s="205"/>
      <c r="B750" s="205" t="s">
        <v>26</v>
      </c>
      <c r="C750" s="420"/>
      <c r="D750" s="439"/>
      <c r="E750" s="440"/>
      <c r="F750" s="422">
        <f>SUM(F733:F749)</f>
        <v>1550000</v>
      </c>
      <c r="G750" s="205" t="s">
        <v>2177</v>
      </c>
      <c r="J750" s="1151"/>
      <c r="K750" s="1151"/>
      <c r="M750" s="1151">
        <f>F750</f>
        <v>1550000</v>
      </c>
    </row>
    <row r="751" spans="1:13" s="393" customFormat="1" ht="12" x14ac:dyDescent="0.2">
      <c r="F751" s="486"/>
    </row>
    <row r="752" spans="1:13" x14ac:dyDescent="0.25">
      <c r="A752" s="1926" t="s">
        <v>516</v>
      </c>
      <c r="B752" s="1926"/>
      <c r="C752" s="152" t="s">
        <v>27</v>
      </c>
      <c r="D752" s="1926" t="s">
        <v>3654</v>
      </c>
      <c r="E752" s="1926"/>
      <c r="F752" s="1926"/>
      <c r="G752" s="152"/>
    </row>
    <row r="753" spans="1:7" x14ac:dyDescent="0.25">
      <c r="A753" s="1926" t="s">
        <v>28</v>
      </c>
      <c r="B753" s="1926"/>
      <c r="C753" s="152"/>
      <c r="D753" s="1927" t="s">
        <v>3565</v>
      </c>
      <c r="E753" s="1927"/>
      <c r="F753" s="1927"/>
      <c r="G753" s="152"/>
    </row>
    <row r="754" spans="1:7" x14ac:dyDescent="0.25">
      <c r="A754" s="150"/>
      <c r="B754" s="151"/>
      <c r="C754" s="152"/>
      <c r="D754" s="153"/>
      <c r="E754" s="1770"/>
      <c r="F754" s="182"/>
      <c r="G754" s="152"/>
    </row>
    <row r="755" spans="1:7" x14ac:dyDescent="0.25">
      <c r="A755" s="150"/>
      <c r="B755" s="151"/>
      <c r="C755" s="152"/>
      <c r="D755" s="153"/>
      <c r="E755" s="1770"/>
      <c r="F755" s="182"/>
      <c r="G755" s="152"/>
    </row>
    <row r="756" spans="1:7" x14ac:dyDescent="0.25">
      <c r="A756" s="1926"/>
      <c r="B756" s="1926"/>
      <c r="C756" s="152"/>
      <c r="D756" s="153"/>
      <c r="E756" s="1926"/>
      <c r="F756" s="1926"/>
      <c r="G756" s="152"/>
    </row>
    <row r="757" spans="1:7" x14ac:dyDescent="0.25">
      <c r="A757" s="1926" t="s">
        <v>29</v>
      </c>
      <c r="B757" s="1926"/>
      <c r="C757" s="152"/>
      <c r="D757" s="1926" t="s">
        <v>3564</v>
      </c>
      <c r="E757" s="1926"/>
      <c r="F757" s="1926"/>
      <c r="G757" s="152"/>
    </row>
    <row r="760" spans="1:7" x14ac:dyDescent="0.25">
      <c r="A760" s="1947" t="s">
        <v>0</v>
      </c>
      <c r="B760" s="1947"/>
      <c r="C760" s="1947"/>
      <c r="D760" s="1947"/>
      <c r="E760" s="1947"/>
      <c r="F760" s="1947"/>
    </row>
    <row r="761" spans="1:7" x14ac:dyDescent="0.25">
      <c r="A761" s="1947" t="s">
        <v>1</v>
      </c>
      <c r="B761" s="1947"/>
      <c r="C761" s="1947"/>
      <c r="D761" s="1947"/>
      <c r="E761" s="1947"/>
      <c r="F761" s="1947"/>
    </row>
    <row r="762" spans="1:7" x14ac:dyDescent="0.25">
      <c r="A762" s="1947" t="s">
        <v>2398</v>
      </c>
      <c r="B762" s="1947"/>
      <c r="C762" s="1947"/>
      <c r="D762" s="1947"/>
      <c r="E762" s="1947"/>
      <c r="F762" s="1947"/>
    </row>
    <row r="763" spans="1:7" x14ac:dyDescent="0.25">
      <c r="A763" s="148"/>
      <c r="B763" s="148"/>
      <c r="C763" s="148"/>
      <c r="D763" s="148"/>
      <c r="E763" s="148"/>
      <c r="F763" s="148"/>
    </row>
    <row r="764" spans="1:7" x14ac:dyDescent="0.25">
      <c r="A764" s="149" t="s">
        <v>731</v>
      </c>
      <c r="B764" s="149" t="s">
        <v>648</v>
      </c>
      <c r="C764" s="149"/>
      <c r="D764" s="149"/>
      <c r="E764" s="154" t="s">
        <v>6</v>
      </c>
      <c r="F764" s="154"/>
    </row>
    <row r="765" spans="1:7" x14ac:dyDescent="0.25">
      <c r="A765" s="340" t="s">
        <v>237</v>
      </c>
      <c r="B765" s="340" t="s">
        <v>647</v>
      </c>
      <c r="C765" s="340"/>
      <c r="D765" s="148"/>
      <c r="E765" s="488" t="s">
        <v>482</v>
      </c>
      <c r="F765" s="488"/>
    </row>
    <row r="766" spans="1:7" ht="48" x14ac:dyDescent="0.25">
      <c r="A766" s="443" t="s">
        <v>730</v>
      </c>
      <c r="B766" s="441" t="s">
        <v>2188</v>
      </c>
      <c r="C766" s="340"/>
      <c r="D766" s="148"/>
      <c r="E766" s="187"/>
      <c r="F766" s="187"/>
    </row>
    <row r="767" spans="1:7" x14ac:dyDescent="0.25">
      <c r="A767" s="149" t="s">
        <v>488</v>
      </c>
      <c r="B767" s="149" t="s">
        <v>513</v>
      </c>
      <c r="C767" s="149"/>
      <c r="D767" s="149"/>
      <c r="E767" s="149"/>
      <c r="F767" s="149"/>
    </row>
    <row r="768" spans="1:7" x14ac:dyDescent="0.25">
      <c r="A768" s="2036" t="s">
        <v>470</v>
      </c>
      <c r="B768" s="2036"/>
      <c r="C768" s="149"/>
      <c r="D768" s="148"/>
      <c r="E768" s="489"/>
      <c r="F768" s="149"/>
    </row>
    <row r="769" spans="1:7" x14ac:dyDescent="0.25">
      <c r="A769" s="340"/>
      <c r="B769" s="340"/>
      <c r="C769" s="149"/>
      <c r="D769" s="148"/>
      <c r="E769" s="489"/>
      <c r="F769" s="149"/>
    </row>
    <row r="770" spans="1:7" ht="24" x14ac:dyDescent="0.25">
      <c r="A770" s="408" t="s">
        <v>30</v>
      </c>
      <c r="B770" s="408" t="s">
        <v>11</v>
      </c>
      <c r="C770" s="2050" t="s">
        <v>12</v>
      </c>
      <c r="D770" s="2051"/>
      <c r="E770" s="490" t="s">
        <v>13</v>
      </c>
      <c r="F770" s="408" t="s">
        <v>14</v>
      </c>
      <c r="G770" s="417" t="s">
        <v>256</v>
      </c>
    </row>
    <row r="771" spans="1:7" x14ac:dyDescent="0.25">
      <c r="A771" s="164">
        <v>1</v>
      </c>
      <c r="B771" s="164">
        <v>2</v>
      </c>
      <c r="C771" s="1943">
        <v>3</v>
      </c>
      <c r="D771" s="1943"/>
      <c r="E771" s="165">
        <v>4</v>
      </c>
      <c r="F771" s="164">
        <v>5</v>
      </c>
      <c r="G771" s="417">
        <v>6</v>
      </c>
    </row>
    <row r="772" spans="1:7" x14ac:dyDescent="0.25">
      <c r="A772" s="164"/>
      <c r="B772" s="346"/>
      <c r="C772" s="371"/>
      <c r="D772" s="372"/>
      <c r="E772" s="165"/>
      <c r="F772" s="164"/>
      <c r="G772" s="1"/>
    </row>
    <row r="773" spans="1:7" x14ac:dyDescent="0.25">
      <c r="A773" s="346" t="s">
        <v>663</v>
      </c>
      <c r="B773" s="346" t="s">
        <v>683</v>
      </c>
      <c r="C773" s="371"/>
      <c r="D773" s="372"/>
      <c r="E773" s="165"/>
      <c r="F773" s="164"/>
      <c r="G773" s="1"/>
    </row>
    <row r="774" spans="1:7" x14ac:dyDescent="0.25">
      <c r="A774" s="346" t="s">
        <v>664</v>
      </c>
      <c r="B774" s="346" t="s">
        <v>682</v>
      </c>
      <c r="C774" s="371"/>
      <c r="D774" s="372"/>
      <c r="E774" s="165"/>
      <c r="F774" s="164"/>
      <c r="G774" s="1"/>
    </row>
    <row r="775" spans="1:7" ht="24.75" x14ac:dyDescent="0.25">
      <c r="A775" s="346" t="s">
        <v>680</v>
      </c>
      <c r="B775" s="325" t="s">
        <v>1234</v>
      </c>
      <c r="C775" s="371"/>
      <c r="D775" s="372"/>
      <c r="E775" s="165"/>
      <c r="F775" s="164"/>
      <c r="G775" s="1"/>
    </row>
    <row r="776" spans="1:7" x14ac:dyDescent="0.25">
      <c r="A776" s="164"/>
      <c r="B776" s="412" t="s">
        <v>261</v>
      </c>
      <c r="C776" s="169">
        <v>12</v>
      </c>
      <c r="D776" s="170" t="s">
        <v>106</v>
      </c>
      <c r="E776" s="222">
        <v>3600</v>
      </c>
      <c r="F776" s="222">
        <f>C776*E776</f>
        <v>43200</v>
      </c>
      <c r="G776" s="1"/>
    </row>
    <row r="777" spans="1:7" x14ac:dyDescent="0.25">
      <c r="A777" s="186"/>
      <c r="B777" s="412"/>
      <c r="C777" s="169"/>
      <c r="D777" s="170"/>
      <c r="E777" s="222"/>
      <c r="F777" s="222"/>
      <c r="G777" s="1"/>
    </row>
    <row r="778" spans="1:7" ht="24.75" x14ac:dyDescent="0.25">
      <c r="A778" s="346" t="s">
        <v>665</v>
      </c>
      <c r="B778" s="177" t="s">
        <v>725</v>
      </c>
      <c r="C778" s="178"/>
      <c r="D778" s="207"/>
      <c r="E778" s="179"/>
      <c r="F778" s="222"/>
      <c r="G778" s="1"/>
    </row>
    <row r="779" spans="1:7" x14ac:dyDescent="0.25">
      <c r="A779" s="220"/>
      <c r="B779" s="181" t="s">
        <v>2189</v>
      </c>
      <c r="C779" s="178">
        <v>20</v>
      </c>
      <c r="D779" s="207" t="s">
        <v>724</v>
      </c>
      <c r="E779" s="179">
        <v>20000</v>
      </c>
      <c r="F779" s="222">
        <f>E779*C779</f>
        <v>400000</v>
      </c>
      <c r="G779" s="1"/>
    </row>
    <row r="780" spans="1:7" x14ac:dyDescent="0.25">
      <c r="A780" s="220"/>
      <c r="B780" s="181"/>
      <c r="C780" s="178"/>
      <c r="D780" s="207"/>
      <c r="E780" s="179"/>
      <c r="F780" s="222"/>
      <c r="G780" s="1"/>
    </row>
    <row r="781" spans="1:7" x14ac:dyDescent="0.25">
      <c r="A781" s="346" t="s">
        <v>670</v>
      </c>
      <c r="B781" s="177" t="s">
        <v>294</v>
      </c>
      <c r="C781" s="178"/>
      <c r="D781" s="362"/>
      <c r="E781" s="377"/>
      <c r="F781" s="222"/>
      <c r="G781" s="1"/>
    </row>
    <row r="782" spans="1:7" ht="24.75" x14ac:dyDescent="0.25">
      <c r="A782" s="346" t="s">
        <v>672</v>
      </c>
      <c r="B782" s="177" t="s">
        <v>717</v>
      </c>
      <c r="C782" s="178"/>
      <c r="D782" s="362"/>
      <c r="E782" s="377"/>
      <c r="F782" s="222"/>
      <c r="G782" s="1"/>
    </row>
    <row r="783" spans="1:7" x14ac:dyDescent="0.25">
      <c r="A783" s="186"/>
      <c r="B783" s="177" t="s">
        <v>402</v>
      </c>
      <c r="C783" s="178">
        <v>1</v>
      </c>
      <c r="D783" s="362"/>
      <c r="E783" s="377">
        <v>300000</v>
      </c>
      <c r="F783" s="222">
        <f>E783*C783</f>
        <v>300000</v>
      </c>
      <c r="G783" s="1"/>
    </row>
    <row r="784" spans="1:7" x14ac:dyDescent="0.25">
      <c r="A784" s="186"/>
      <c r="B784" s="177" t="s">
        <v>502</v>
      </c>
      <c r="C784" s="178">
        <v>1</v>
      </c>
      <c r="D784" s="362"/>
      <c r="E784" s="377">
        <v>250000</v>
      </c>
      <c r="F784" s="222">
        <f>E784*C784</f>
        <v>250000</v>
      </c>
      <c r="G784" s="1"/>
    </row>
    <row r="785" spans="1:19" x14ac:dyDescent="0.25">
      <c r="A785" s="186"/>
      <c r="B785" s="181" t="s">
        <v>485</v>
      </c>
      <c r="C785" s="178">
        <v>3</v>
      </c>
      <c r="D785" s="362"/>
      <c r="E785" s="377">
        <v>200000</v>
      </c>
      <c r="F785" s="222">
        <f>E785*C785</f>
        <v>600000</v>
      </c>
      <c r="G785" s="1"/>
    </row>
    <row r="786" spans="1:19" ht="24.75" x14ac:dyDescent="0.25">
      <c r="A786" s="346" t="s">
        <v>1701</v>
      </c>
      <c r="B786" s="374" t="s">
        <v>333</v>
      </c>
      <c r="C786" s="491"/>
      <c r="D786" s="492"/>
      <c r="E786" s="493"/>
      <c r="F786" s="493"/>
      <c r="G786" s="1"/>
    </row>
    <row r="787" spans="1:19" x14ac:dyDescent="0.25">
      <c r="A787" s="186"/>
      <c r="B787" s="221" t="s">
        <v>2190</v>
      </c>
      <c r="C787" s="178">
        <v>20</v>
      </c>
      <c r="D787" s="362" t="s">
        <v>269</v>
      </c>
      <c r="E787" s="179">
        <v>150000</v>
      </c>
      <c r="F787" s="222">
        <f>E787*C787</f>
        <v>3000000</v>
      </c>
      <c r="G787" s="1"/>
    </row>
    <row r="788" spans="1:19" x14ac:dyDescent="0.25">
      <c r="A788" s="186"/>
      <c r="B788" s="221"/>
      <c r="C788" s="178"/>
      <c r="D788" s="362"/>
      <c r="E788" s="179"/>
      <c r="F788" s="222"/>
      <c r="G788" s="1"/>
    </row>
    <row r="789" spans="1:19" x14ac:dyDescent="0.25">
      <c r="A789" s="186"/>
      <c r="B789" s="181"/>
      <c r="C789" s="178"/>
      <c r="D789" s="207"/>
      <c r="E789" s="179"/>
      <c r="F789" s="324"/>
      <c r="G789" s="1"/>
    </row>
    <row r="790" spans="1:19" x14ac:dyDescent="0.25">
      <c r="A790" s="384"/>
      <c r="B790" s="1989" t="s">
        <v>26</v>
      </c>
      <c r="C790" s="2035"/>
      <c r="D790" s="2035"/>
      <c r="E790" s="2035"/>
      <c r="F790" s="363">
        <f>SUM(F772:F789)</f>
        <v>4593200</v>
      </c>
      <c r="G790" s="1" t="s">
        <v>2179</v>
      </c>
      <c r="S790" s="23">
        <f>F790</f>
        <v>4593200</v>
      </c>
    </row>
    <row r="791" spans="1:19" s="393" customFormat="1" ht="12" x14ac:dyDescent="0.2">
      <c r="F791" s="486"/>
    </row>
    <row r="792" spans="1:19" x14ac:dyDescent="0.25">
      <c r="A792" s="1926" t="s">
        <v>516</v>
      </c>
      <c r="B792" s="1926"/>
      <c r="C792" s="152" t="s">
        <v>27</v>
      </c>
      <c r="D792" s="1926" t="s">
        <v>3654</v>
      </c>
      <c r="E792" s="1926"/>
      <c r="F792" s="1926"/>
      <c r="G792" s="152"/>
    </row>
    <row r="793" spans="1:19" x14ac:dyDescent="0.25">
      <c r="A793" s="1926" t="s">
        <v>28</v>
      </c>
      <c r="B793" s="1926"/>
      <c r="C793" s="152"/>
      <c r="D793" s="1927" t="s">
        <v>3565</v>
      </c>
      <c r="E793" s="1927"/>
      <c r="F793" s="1927"/>
      <c r="G793" s="152"/>
    </row>
    <row r="794" spans="1:19" x14ac:dyDescent="0.25">
      <c r="A794" s="150"/>
      <c r="B794" s="151"/>
      <c r="C794" s="152"/>
      <c r="D794" s="153"/>
      <c r="E794" s="1770"/>
      <c r="F794" s="182"/>
      <c r="G794" s="152"/>
    </row>
    <row r="795" spans="1:19" x14ac:dyDescent="0.25">
      <c r="A795" s="150"/>
      <c r="B795" s="151"/>
      <c r="C795" s="152"/>
      <c r="D795" s="153"/>
      <c r="E795" s="1770"/>
      <c r="F795" s="182"/>
      <c r="G795" s="152"/>
    </row>
    <row r="796" spans="1:19" x14ac:dyDescent="0.25">
      <c r="A796" s="1926"/>
      <c r="B796" s="1926"/>
      <c r="C796" s="152"/>
      <c r="D796" s="153"/>
      <c r="E796" s="1926"/>
      <c r="F796" s="1926"/>
      <c r="G796" s="152"/>
    </row>
    <row r="797" spans="1:19" x14ac:dyDescent="0.25">
      <c r="A797" s="1926" t="s">
        <v>29</v>
      </c>
      <c r="B797" s="1926"/>
      <c r="C797" s="152"/>
      <c r="D797" s="1926" t="s">
        <v>3564</v>
      </c>
      <c r="E797" s="1926"/>
      <c r="F797" s="1926"/>
      <c r="G797" s="152"/>
    </row>
    <row r="799" spans="1:19" x14ac:dyDescent="0.25">
      <c r="A799" s="1947" t="s">
        <v>0</v>
      </c>
      <c r="B799" s="1947"/>
      <c r="C799" s="1947"/>
      <c r="D799" s="1947"/>
      <c r="E799" s="1947"/>
      <c r="F799" s="1947"/>
    </row>
    <row r="800" spans="1:19" x14ac:dyDescent="0.25">
      <c r="A800" s="1947" t="s">
        <v>1</v>
      </c>
      <c r="B800" s="1947"/>
      <c r="C800" s="1947"/>
      <c r="D800" s="1947"/>
      <c r="E800" s="1947"/>
      <c r="F800" s="1947"/>
    </row>
    <row r="801" spans="1:7" x14ac:dyDescent="0.25">
      <c r="A801" s="1947" t="s">
        <v>2398</v>
      </c>
      <c r="B801" s="1947"/>
      <c r="C801" s="1947"/>
      <c r="D801" s="1947"/>
      <c r="E801" s="1947"/>
      <c r="F801" s="1947"/>
    </row>
    <row r="802" spans="1:7" x14ac:dyDescent="0.25">
      <c r="A802" s="148"/>
      <c r="B802" s="148"/>
      <c r="C802" s="148"/>
      <c r="D802" s="148"/>
      <c r="E802" s="148"/>
      <c r="F802" s="148"/>
    </row>
    <row r="803" spans="1:7" x14ac:dyDescent="0.25">
      <c r="A803" s="149" t="s">
        <v>731</v>
      </c>
      <c r="B803" s="149" t="s">
        <v>648</v>
      </c>
      <c r="C803" s="149"/>
      <c r="D803" s="149"/>
      <c r="E803" s="154" t="s">
        <v>6</v>
      </c>
      <c r="F803" s="154"/>
    </row>
    <row r="804" spans="1:7" x14ac:dyDescent="0.25">
      <c r="A804" s="340" t="s">
        <v>237</v>
      </c>
      <c r="B804" s="340" t="s">
        <v>647</v>
      </c>
      <c r="C804" s="340"/>
      <c r="D804" s="148"/>
      <c r="E804" s="488" t="s">
        <v>482</v>
      </c>
      <c r="F804" s="488"/>
    </row>
    <row r="805" spans="1:7" ht="48" x14ac:dyDescent="0.25">
      <c r="A805" s="443" t="s">
        <v>730</v>
      </c>
      <c r="B805" s="441" t="s">
        <v>2433</v>
      </c>
      <c r="C805" s="340"/>
      <c r="D805" s="148"/>
      <c r="E805" s="187"/>
      <c r="F805" s="187"/>
    </row>
    <row r="806" spans="1:7" x14ac:dyDescent="0.25">
      <c r="A806" s="149" t="s">
        <v>488</v>
      </c>
      <c r="B806" s="149" t="s">
        <v>513</v>
      </c>
      <c r="C806" s="149"/>
      <c r="D806" s="149"/>
      <c r="E806" s="149"/>
      <c r="F806" s="149"/>
    </row>
    <row r="807" spans="1:7" x14ac:dyDescent="0.25">
      <c r="A807" s="2036" t="s">
        <v>470</v>
      </c>
      <c r="B807" s="2036"/>
      <c r="C807" s="149"/>
      <c r="D807" s="148"/>
      <c r="E807" s="489"/>
      <c r="F807" s="149"/>
    </row>
    <row r="808" spans="1:7" x14ac:dyDescent="0.25">
      <c r="A808" s="340"/>
      <c r="B808" s="340"/>
      <c r="C808" s="149"/>
      <c r="D808" s="148"/>
      <c r="E808" s="489"/>
      <c r="F808" s="149"/>
    </row>
    <row r="809" spans="1:7" ht="24" x14ac:dyDescent="0.25">
      <c r="A809" s="408" t="s">
        <v>30</v>
      </c>
      <c r="B809" s="408" t="s">
        <v>11</v>
      </c>
      <c r="C809" s="2050" t="s">
        <v>12</v>
      </c>
      <c r="D809" s="2051"/>
      <c r="E809" s="490" t="s">
        <v>13</v>
      </c>
      <c r="F809" s="408" t="s">
        <v>14</v>
      </c>
      <c r="G809" s="417" t="s">
        <v>256</v>
      </c>
    </row>
    <row r="810" spans="1:7" x14ac:dyDescent="0.25">
      <c r="A810" s="164">
        <v>1</v>
      </c>
      <c r="B810" s="164">
        <v>2</v>
      </c>
      <c r="C810" s="1943">
        <v>3</v>
      </c>
      <c r="D810" s="1943"/>
      <c r="E810" s="165">
        <v>4</v>
      </c>
      <c r="F810" s="164">
        <v>5</v>
      </c>
      <c r="G810" s="417">
        <v>6</v>
      </c>
    </row>
    <row r="811" spans="1:7" x14ac:dyDescent="0.25">
      <c r="A811" s="164"/>
      <c r="B811" s="346"/>
      <c r="C811" s="371"/>
      <c r="D811" s="372"/>
      <c r="E811" s="165"/>
      <c r="F811" s="164"/>
      <c r="G811" s="1"/>
    </row>
    <row r="812" spans="1:7" x14ac:dyDescent="0.25">
      <c r="A812" s="346" t="s">
        <v>663</v>
      </c>
      <c r="B812" s="346" t="s">
        <v>683</v>
      </c>
      <c r="C812" s="371"/>
      <c r="D812" s="372"/>
      <c r="E812" s="165"/>
      <c r="F812" s="164"/>
      <c r="G812" s="1"/>
    </row>
    <row r="813" spans="1:7" x14ac:dyDescent="0.25">
      <c r="A813" s="346" t="s">
        <v>670</v>
      </c>
      <c r="B813" s="177" t="s">
        <v>294</v>
      </c>
      <c r="C813" s="178"/>
      <c r="D813" s="362"/>
      <c r="E813" s="377"/>
      <c r="F813" s="222"/>
      <c r="G813" s="1"/>
    </row>
    <row r="814" spans="1:7" ht="24.75" x14ac:dyDescent="0.25">
      <c r="A814" s="346" t="s">
        <v>671</v>
      </c>
      <c r="B814" s="374" t="s">
        <v>688</v>
      </c>
      <c r="C814" s="491"/>
      <c r="D814" s="492"/>
      <c r="E814" s="493"/>
      <c r="F814" s="493"/>
      <c r="G814" s="1"/>
    </row>
    <row r="815" spans="1:7" x14ac:dyDescent="0.25">
      <c r="A815" s="186"/>
      <c r="B815" s="221" t="s">
        <v>2438</v>
      </c>
      <c r="C815" s="178">
        <v>48</v>
      </c>
      <c r="D815" s="362" t="s">
        <v>1786</v>
      </c>
      <c r="E815" s="179">
        <v>100000</v>
      </c>
      <c r="F815" s="222">
        <f>E815*C815</f>
        <v>4800000</v>
      </c>
      <c r="G815" s="1"/>
    </row>
    <row r="816" spans="1:7" x14ac:dyDescent="0.25">
      <c r="A816" s="186"/>
      <c r="B816" s="221"/>
      <c r="C816" s="178"/>
      <c r="D816" s="362"/>
      <c r="E816" s="179"/>
      <c r="F816" s="222"/>
      <c r="G816" s="1"/>
    </row>
    <row r="817" spans="1:20" x14ac:dyDescent="0.25">
      <c r="A817" s="186"/>
      <c r="B817" s="181"/>
      <c r="C817" s="178"/>
      <c r="D817" s="207"/>
      <c r="E817" s="179"/>
      <c r="F817" s="324"/>
      <c r="G817" s="1"/>
    </row>
    <row r="818" spans="1:20" x14ac:dyDescent="0.25">
      <c r="A818" s="384"/>
      <c r="B818" s="1989" t="s">
        <v>26</v>
      </c>
      <c r="C818" s="2035"/>
      <c r="D818" s="2035"/>
      <c r="E818" s="2035"/>
      <c r="F818" s="363">
        <f>SUM(F811:F817)</f>
        <v>4800000</v>
      </c>
      <c r="G818" s="4" t="s">
        <v>1506</v>
      </c>
      <c r="K818" s="23"/>
      <c r="L818" s="23">
        <f>F818</f>
        <v>4800000</v>
      </c>
      <c r="T818" s="23"/>
    </row>
    <row r="819" spans="1:20" s="393" customFormat="1" ht="12" x14ac:dyDescent="0.2">
      <c r="F819" s="486"/>
    </row>
    <row r="820" spans="1:20" x14ac:dyDescent="0.25">
      <c r="A820" s="1926" t="s">
        <v>516</v>
      </c>
      <c r="B820" s="1926"/>
      <c r="C820" s="152" t="s">
        <v>27</v>
      </c>
      <c r="D820" s="1926" t="s">
        <v>3654</v>
      </c>
      <c r="E820" s="1926"/>
      <c r="F820" s="1926"/>
      <c r="G820" s="152"/>
    </row>
    <row r="821" spans="1:20" x14ac:dyDescent="0.25">
      <c r="A821" s="1926" t="s">
        <v>28</v>
      </c>
      <c r="B821" s="1926"/>
      <c r="C821" s="152"/>
      <c r="D821" s="1927" t="s">
        <v>3565</v>
      </c>
      <c r="E821" s="1927"/>
      <c r="F821" s="1927"/>
      <c r="G821" s="152"/>
    </row>
    <row r="822" spans="1:20" x14ac:dyDescent="0.25">
      <c r="A822" s="150"/>
      <c r="B822" s="151"/>
      <c r="C822" s="152"/>
      <c r="D822" s="153"/>
      <c r="E822" s="1770"/>
      <c r="F822" s="182"/>
      <c r="G822" s="152"/>
    </row>
    <row r="823" spans="1:20" x14ac:dyDescent="0.25">
      <c r="A823" s="150"/>
      <c r="B823" s="151"/>
      <c r="C823" s="152"/>
      <c r="D823" s="153"/>
      <c r="E823" s="1770"/>
      <c r="F823" s="182"/>
      <c r="G823" s="152"/>
    </row>
    <row r="824" spans="1:20" x14ac:dyDescent="0.25">
      <c r="A824" s="1926"/>
      <c r="B824" s="1926"/>
      <c r="C824" s="152"/>
      <c r="D824" s="153"/>
      <c r="E824" s="1926"/>
      <c r="F824" s="1926"/>
      <c r="G824" s="152"/>
    </row>
    <row r="825" spans="1:20" x14ac:dyDescent="0.25">
      <c r="A825" s="1926" t="s">
        <v>29</v>
      </c>
      <c r="B825" s="1926"/>
      <c r="C825" s="152"/>
      <c r="D825" s="1926" t="s">
        <v>3564</v>
      </c>
      <c r="E825" s="1926"/>
      <c r="F825" s="1926"/>
      <c r="G825" s="152"/>
    </row>
    <row r="828" spans="1:20" s="393" customFormat="1" ht="12" x14ac:dyDescent="0.2">
      <c r="A828" s="1947" t="s">
        <v>0</v>
      </c>
      <c r="B828" s="1947"/>
      <c r="C828" s="1947"/>
      <c r="D828" s="1947"/>
      <c r="E828" s="1947"/>
      <c r="F828" s="1947"/>
      <c r="G828" s="1947"/>
    </row>
    <row r="829" spans="1:20" s="393" customFormat="1" ht="12" x14ac:dyDescent="0.2">
      <c r="A829" s="1947" t="s">
        <v>1</v>
      </c>
      <c r="B829" s="1947"/>
      <c r="C829" s="1947"/>
      <c r="D829" s="1947"/>
      <c r="E829" s="1947"/>
      <c r="F829" s="1947"/>
      <c r="G829" s="1947"/>
    </row>
    <row r="830" spans="1:20" s="393" customFormat="1" ht="12" x14ac:dyDescent="0.2">
      <c r="A830" s="1947" t="s">
        <v>2398</v>
      </c>
      <c r="B830" s="1947"/>
      <c r="C830" s="1947"/>
      <c r="D830" s="1947"/>
      <c r="E830" s="1947"/>
      <c r="F830" s="1947"/>
      <c r="G830" s="1947"/>
    </row>
    <row r="831" spans="1:20" s="393" customFormat="1" ht="12" x14ac:dyDescent="0.2">
      <c r="A831" s="148"/>
      <c r="B831" s="148"/>
      <c r="C831" s="149"/>
      <c r="D831" s="149"/>
      <c r="E831" s="149"/>
      <c r="F831" s="149"/>
    </row>
    <row r="832" spans="1:20" s="393" customFormat="1" ht="12" x14ac:dyDescent="0.2">
      <c r="A832" s="149" t="s">
        <v>649</v>
      </c>
      <c r="B832" s="149" t="s">
        <v>648</v>
      </c>
      <c r="C832" s="149"/>
      <c r="D832" s="149"/>
      <c r="E832" s="149"/>
      <c r="F832" s="191" t="s">
        <v>6</v>
      </c>
    </row>
    <row r="833" spans="1:7" s="393" customFormat="1" ht="12" x14ac:dyDescent="0.2">
      <c r="A833" s="340" t="s">
        <v>237</v>
      </c>
      <c r="B833" s="340" t="s">
        <v>647</v>
      </c>
      <c r="C833" s="149"/>
      <c r="D833" s="149"/>
      <c r="E833" s="149"/>
      <c r="F833" s="157" t="s">
        <v>482</v>
      </c>
    </row>
    <row r="834" spans="1:7" s="393" customFormat="1" ht="47.25" customHeight="1" x14ac:dyDescent="0.2">
      <c r="A834" s="340" t="s">
        <v>646</v>
      </c>
      <c r="B834" s="341" t="s">
        <v>3159</v>
      </c>
      <c r="C834" s="149"/>
      <c r="D834" s="149"/>
      <c r="E834" s="149"/>
      <c r="F834" s="149"/>
    </row>
    <row r="835" spans="1:7" s="393" customFormat="1" ht="12" x14ac:dyDescent="0.2">
      <c r="A835" s="149" t="s">
        <v>488</v>
      </c>
      <c r="B835" s="149" t="s">
        <v>513</v>
      </c>
      <c r="C835" s="149"/>
      <c r="D835" s="149"/>
      <c r="E835" s="149"/>
      <c r="F835" s="149"/>
    </row>
    <row r="836" spans="1:7" s="393" customFormat="1" ht="12" x14ac:dyDescent="0.2">
      <c r="A836" s="2036" t="s">
        <v>470</v>
      </c>
      <c r="B836" s="2036"/>
      <c r="C836" s="149"/>
      <c r="D836" s="149"/>
      <c r="E836" s="149"/>
      <c r="F836" s="149"/>
    </row>
    <row r="837" spans="1:7" s="393" customFormat="1" ht="12" x14ac:dyDescent="0.2"/>
    <row r="838" spans="1:7" s="393" customFormat="1" ht="24" x14ac:dyDescent="0.2">
      <c r="A838" s="415" t="s">
        <v>514</v>
      </c>
      <c r="B838" s="415" t="s">
        <v>11</v>
      </c>
      <c r="C838" s="2033" t="s">
        <v>12</v>
      </c>
      <c r="D838" s="2034"/>
      <c r="E838" s="416" t="s">
        <v>13</v>
      </c>
      <c r="F838" s="424" t="s">
        <v>14</v>
      </c>
      <c r="G838" s="417" t="s">
        <v>256</v>
      </c>
    </row>
    <row r="839" spans="1:7" s="393" customFormat="1" ht="12" x14ac:dyDescent="0.2">
      <c r="A839" s="418">
        <v>1</v>
      </c>
      <c r="B839" s="418">
        <v>2</v>
      </c>
      <c r="C839" s="2041">
        <v>3</v>
      </c>
      <c r="D839" s="2042"/>
      <c r="E839" s="419">
        <v>4</v>
      </c>
      <c r="F839" s="347">
        <v>5</v>
      </c>
      <c r="G839" s="417">
        <v>6</v>
      </c>
    </row>
    <row r="840" spans="1:7" s="393" customFormat="1" ht="22.5" customHeight="1" x14ac:dyDescent="0.2">
      <c r="A840" s="494" t="s">
        <v>705</v>
      </c>
      <c r="B840" s="495" t="s">
        <v>277</v>
      </c>
      <c r="C840" s="420"/>
      <c r="D840" s="421"/>
      <c r="E840" s="422"/>
      <c r="F840" s="423"/>
      <c r="G840" s="205"/>
    </row>
    <row r="841" spans="1:7" s="393" customFormat="1" ht="33" customHeight="1" x14ac:dyDescent="0.2">
      <c r="A841" s="494" t="s">
        <v>704</v>
      </c>
      <c r="B841" s="495" t="s">
        <v>84</v>
      </c>
      <c r="C841" s="420"/>
      <c r="D841" s="421"/>
      <c r="E841" s="422"/>
      <c r="F841" s="423"/>
      <c r="G841" s="205"/>
    </row>
    <row r="842" spans="1:7" s="393" customFormat="1" ht="29.25" customHeight="1" x14ac:dyDescent="0.2">
      <c r="A842" s="494" t="s">
        <v>703</v>
      </c>
      <c r="B842" s="495" t="s">
        <v>679</v>
      </c>
      <c r="C842" s="420"/>
      <c r="D842" s="421"/>
      <c r="E842" s="422"/>
      <c r="F842" s="423"/>
      <c r="G842" s="205"/>
    </row>
    <row r="843" spans="1:7" s="393" customFormat="1" ht="12" x14ac:dyDescent="0.2">
      <c r="A843" s="205"/>
      <c r="B843" s="205" t="s">
        <v>2635</v>
      </c>
      <c r="C843" s="178">
        <v>26</v>
      </c>
      <c r="D843" s="207" t="s">
        <v>93</v>
      </c>
      <c r="E843" s="179">
        <v>5000</v>
      </c>
      <c r="F843" s="423">
        <f>E843*C843</f>
        <v>130000</v>
      </c>
      <c r="G843" s="205"/>
    </row>
    <row r="844" spans="1:7" s="393" customFormat="1" ht="12" x14ac:dyDescent="0.2">
      <c r="A844" s="205"/>
      <c r="B844" s="205" t="s">
        <v>1460</v>
      </c>
      <c r="C844" s="178">
        <v>26</v>
      </c>
      <c r="D844" s="207" t="s">
        <v>93</v>
      </c>
      <c r="E844" s="179">
        <v>7000</v>
      </c>
      <c r="F844" s="423">
        <f>E844*C844</f>
        <v>182000</v>
      </c>
      <c r="G844" s="205"/>
    </row>
    <row r="845" spans="1:7" s="393" customFormat="1" ht="12" x14ac:dyDescent="0.2">
      <c r="A845" s="205"/>
      <c r="B845" s="181" t="s">
        <v>1090</v>
      </c>
      <c r="C845" s="178">
        <v>300</v>
      </c>
      <c r="D845" s="207" t="s">
        <v>266</v>
      </c>
      <c r="E845" s="179">
        <v>350</v>
      </c>
      <c r="F845" s="423">
        <f>E845*C845</f>
        <v>105000</v>
      </c>
      <c r="G845" s="205"/>
    </row>
    <row r="846" spans="1:7" s="393" customFormat="1" ht="12" x14ac:dyDescent="0.2">
      <c r="A846" s="205"/>
      <c r="B846" s="181"/>
      <c r="C846" s="178"/>
      <c r="D846" s="207"/>
      <c r="E846" s="179"/>
      <c r="F846" s="423"/>
      <c r="G846" s="205"/>
    </row>
    <row r="847" spans="1:7" s="393" customFormat="1" ht="34.5" customHeight="1" x14ac:dyDescent="0.2">
      <c r="A847" s="494" t="s">
        <v>702</v>
      </c>
      <c r="B847" s="386" t="s">
        <v>307</v>
      </c>
      <c r="C847" s="178"/>
      <c r="D847" s="207"/>
      <c r="E847" s="179"/>
      <c r="F847" s="423"/>
      <c r="G847" s="205"/>
    </row>
    <row r="848" spans="1:7" s="393" customFormat="1" ht="36" x14ac:dyDescent="0.2">
      <c r="A848" s="205"/>
      <c r="B848" s="177" t="s">
        <v>2191</v>
      </c>
      <c r="C848" s="178">
        <v>31</v>
      </c>
      <c r="D848" s="207" t="s">
        <v>474</v>
      </c>
      <c r="E848" s="179">
        <v>20000</v>
      </c>
      <c r="F848" s="423">
        <f>E848*C848</f>
        <v>620000</v>
      </c>
      <c r="G848" s="205"/>
    </row>
    <row r="849" spans="1:7" s="393" customFormat="1" ht="12" x14ac:dyDescent="0.2">
      <c r="A849" s="205"/>
      <c r="B849" s="181"/>
      <c r="C849" s="178"/>
      <c r="D849" s="207"/>
      <c r="E849" s="179"/>
      <c r="F849" s="423"/>
      <c r="G849" s="205"/>
    </row>
    <row r="850" spans="1:7" s="393" customFormat="1" ht="25.5" customHeight="1" x14ac:dyDescent="0.2">
      <c r="A850" s="494" t="s">
        <v>701</v>
      </c>
      <c r="B850" s="386" t="s">
        <v>325</v>
      </c>
      <c r="C850" s="178"/>
      <c r="D850" s="207"/>
      <c r="E850" s="179"/>
      <c r="F850" s="423"/>
      <c r="G850" s="205"/>
    </row>
    <row r="851" spans="1:7" s="393" customFormat="1" ht="12" x14ac:dyDescent="0.2">
      <c r="A851" s="205"/>
      <c r="B851" s="181" t="s">
        <v>326</v>
      </c>
      <c r="C851" s="178">
        <v>1</v>
      </c>
      <c r="D851" s="207" t="s">
        <v>93</v>
      </c>
      <c r="E851" s="179">
        <v>90000</v>
      </c>
      <c r="F851" s="423">
        <f>E851*C851</f>
        <v>90000</v>
      </c>
      <c r="G851" s="205"/>
    </row>
    <row r="852" spans="1:7" s="393" customFormat="1" ht="12" x14ac:dyDescent="0.2">
      <c r="A852" s="205"/>
      <c r="B852" s="181"/>
      <c r="C852" s="178"/>
      <c r="D852" s="207"/>
      <c r="E852" s="179"/>
      <c r="F852" s="423"/>
      <c r="G852" s="205"/>
    </row>
    <row r="853" spans="1:7" s="393" customFormat="1" ht="29.25" customHeight="1" x14ac:dyDescent="0.2">
      <c r="A853" s="181" t="s">
        <v>700</v>
      </c>
      <c r="B853" s="386" t="s">
        <v>669</v>
      </c>
      <c r="C853" s="178"/>
      <c r="D853" s="362"/>
      <c r="E853" s="179"/>
      <c r="F853" s="324"/>
      <c r="G853" s="205"/>
    </row>
    <row r="854" spans="1:7" s="393" customFormat="1" ht="12" x14ac:dyDescent="0.2">
      <c r="A854" s="181"/>
      <c r="B854" s="181" t="s">
        <v>422</v>
      </c>
      <c r="C854" s="178">
        <v>1</v>
      </c>
      <c r="D854" s="362" t="s">
        <v>93</v>
      </c>
      <c r="E854" s="179">
        <v>50000</v>
      </c>
      <c r="F854" s="324">
        <f>E854*C854</f>
        <v>50000</v>
      </c>
      <c r="G854" s="205"/>
    </row>
    <row r="855" spans="1:7" s="393" customFormat="1" ht="12" x14ac:dyDescent="0.2">
      <c r="A855" s="181"/>
      <c r="B855" s="181" t="s">
        <v>275</v>
      </c>
      <c r="C855" s="178">
        <v>5</v>
      </c>
      <c r="D855" s="362" t="s">
        <v>158</v>
      </c>
      <c r="E855" s="179">
        <v>3000</v>
      </c>
      <c r="F855" s="324">
        <f>E855*C855</f>
        <v>15000</v>
      </c>
      <c r="G855" s="205"/>
    </row>
    <row r="856" spans="1:7" s="393" customFormat="1" ht="12" x14ac:dyDescent="0.2">
      <c r="A856" s="181"/>
      <c r="B856" s="181" t="s">
        <v>289</v>
      </c>
      <c r="C856" s="178">
        <v>1</v>
      </c>
      <c r="D856" s="362" t="s">
        <v>290</v>
      </c>
      <c r="E856" s="179">
        <v>10000</v>
      </c>
      <c r="F856" s="324">
        <f>E856*C856</f>
        <v>10000</v>
      </c>
      <c r="G856" s="205"/>
    </row>
    <row r="857" spans="1:7" s="393" customFormat="1" ht="12" x14ac:dyDescent="0.2">
      <c r="A857" s="206"/>
      <c r="B857" s="181"/>
      <c r="C857" s="178"/>
      <c r="D857" s="362"/>
      <c r="E857" s="179"/>
      <c r="F857" s="324"/>
      <c r="G857" s="205"/>
    </row>
    <row r="858" spans="1:7" s="393" customFormat="1" ht="12" x14ac:dyDescent="0.2">
      <c r="A858" s="494" t="s">
        <v>699</v>
      </c>
      <c r="B858" s="480" t="s">
        <v>349</v>
      </c>
      <c r="C858" s="178"/>
      <c r="D858" s="207"/>
      <c r="E858" s="194"/>
      <c r="F858" s="423"/>
      <c r="G858" s="205"/>
    </row>
    <row r="859" spans="1:7" s="393" customFormat="1" ht="12" x14ac:dyDescent="0.2">
      <c r="A859" s="494"/>
      <c r="B859" s="181"/>
      <c r="C859" s="178"/>
      <c r="D859" s="207"/>
      <c r="E859" s="194"/>
      <c r="F859" s="423"/>
      <c r="G859" s="205"/>
    </row>
    <row r="860" spans="1:7" s="393" customFormat="1" ht="43.5" customHeight="1" x14ac:dyDescent="0.2">
      <c r="A860" s="494" t="s">
        <v>698</v>
      </c>
      <c r="B860" s="386" t="s">
        <v>411</v>
      </c>
      <c r="C860" s="178"/>
      <c r="D860" s="207"/>
      <c r="E860" s="194"/>
      <c r="F860" s="423"/>
      <c r="G860" s="205"/>
    </row>
    <row r="861" spans="1:7" s="393" customFormat="1" ht="34.5" customHeight="1" x14ac:dyDescent="0.2">
      <c r="A861" s="205"/>
      <c r="B861" s="177" t="s">
        <v>697</v>
      </c>
      <c r="C861" s="178">
        <v>2</v>
      </c>
      <c r="D861" s="207" t="s">
        <v>392</v>
      </c>
      <c r="E861" s="194">
        <v>300000</v>
      </c>
      <c r="F861" s="423">
        <f>E861*C861</f>
        <v>600000</v>
      </c>
      <c r="G861" s="205"/>
    </row>
    <row r="862" spans="1:7" s="393" customFormat="1" ht="12" x14ac:dyDescent="0.2">
      <c r="A862" s="205"/>
      <c r="B862" s="181"/>
      <c r="C862" s="178"/>
      <c r="D862" s="207"/>
      <c r="E862" s="194"/>
      <c r="F862" s="423"/>
      <c r="G862" s="205"/>
    </row>
    <row r="863" spans="1:7" s="393" customFormat="1" ht="12" x14ac:dyDescent="0.2">
      <c r="A863" s="420"/>
      <c r="B863" s="480"/>
      <c r="C863" s="178"/>
      <c r="D863" s="207"/>
      <c r="E863" s="194"/>
      <c r="F863" s="423"/>
      <c r="G863" s="205"/>
    </row>
    <row r="864" spans="1:7" s="393" customFormat="1" ht="12" x14ac:dyDescent="0.2">
      <c r="A864" s="205"/>
      <c r="B864" s="496"/>
      <c r="C864" s="452"/>
      <c r="D864" s="497"/>
      <c r="E864" s="454"/>
      <c r="F864" s="423"/>
      <c r="G864" s="205"/>
    </row>
    <row r="865" spans="1:13" s="393" customFormat="1" ht="12" x14ac:dyDescent="0.2">
      <c r="A865" s="420"/>
      <c r="B865" s="498" t="s">
        <v>26</v>
      </c>
      <c r="C865" s="499"/>
      <c r="D865" s="500"/>
      <c r="E865" s="501"/>
      <c r="F865" s="502">
        <f>SUM(F840:F864)</f>
        <v>1802000</v>
      </c>
      <c r="G865" s="205" t="s">
        <v>2177</v>
      </c>
      <c r="J865" s="1066"/>
      <c r="K865" s="1066"/>
      <c r="M865" s="1066">
        <f>F865</f>
        <v>1802000</v>
      </c>
    </row>
    <row r="866" spans="1:13" s="393" customFormat="1" ht="12" x14ac:dyDescent="0.2"/>
    <row r="867" spans="1:13" x14ac:dyDescent="0.25">
      <c r="A867" s="1926" t="s">
        <v>516</v>
      </c>
      <c r="B867" s="1926"/>
      <c r="C867" s="152" t="s">
        <v>27</v>
      </c>
      <c r="D867" s="1926" t="s">
        <v>3654</v>
      </c>
      <c r="E867" s="1926"/>
      <c r="F867" s="1926"/>
      <c r="G867" s="152"/>
    </row>
    <row r="868" spans="1:13" x14ac:dyDescent="0.25">
      <c r="A868" s="1926" t="s">
        <v>28</v>
      </c>
      <c r="B868" s="1926"/>
      <c r="C868" s="152"/>
      <c r="D868" s="1927" t="s">
        <v>3565</v>
      </c>
      <c r="E868" s="1927"/>
      <c r="F868" s="1927"/>
      <c r="G868" s="152"/>
    </row>
    <row r="869" spans="1:13" x14ac:dyDescent="0.25">
      <c r="A869" s="150"/>
      <c r="B869" s="151"/>
      <c r="C869" s="152"/>
      <c r="D869" s="153"/>
      <c r="E869" s="1770"/>
      <c r="F869" s="182"/>
      <c r="G869" s="152"/>
    </row>
    <row r="870" spans="1:13" x14ac:dyDescent="0.25">
      <c r="A870" s="150"/>
      <c r="B870" s="151"/>
      <c r="C870" s="152"/>
      <c r="D870" s="153"/>
      <c r="E870" s="1770"/>
      <c r="F870" s="182"/>
      <c r="G870" s="152"/>
    </row>
    <row r="871" spans="1:13" x14ac:dyDescent="0.25">
      <c r="A871" s="1926"/>
      <c r="B871" s="1926"/>
      <c r="C871" s="152"/>
      <c r="D871" s="153"/>
      <c r="E871" s="1926"/>
      <c r="F871" s="1926"/>
      <c r="G871" s="152"/>
    </row>
    <row r="872" spans="1:13" x14ac:dyDescent="0.25">
      <c r="A872" s="1926" t="s">
        <v>29</v>
      </c>
      <c r="B872" s="1926"/>
      <c r="C872" s="152"/>
      <c r="D872" s="1926" t="s">
        <v>3564</v>
      </c>
      <c r="E872" s="1926"/>
      <c r="F872" s="1926"/>
      <c r="G872" s="152"/>
    </row>
    <row r="873" spans="1:13" s="393" customFormat="1" ht="12" x14ac:dyDescent="0.2">
      <c r="A873" s="1947" t="s">
        <v>0</v>
      </c>
      <c r="B873" s="1947"/>
      <c r="C873" s="1947"/>
      <c r="D873" s="1947"/>
      <c r="E873" s="1947"/>
      <c r="F873" s="1947"/>
      <c r="G873" s="1947"/>
    </row>
    <row r="874" spans="1:13" s="393" customFormat="1" ht="12" x14ac:dyDescent="0.2">
      <c r="A874" s="1947" t="s">
        <v>1</v>
      </c>
      <c r="B874" s="1947"/>
      <c r="C874" s="1947"/>
      <c r="D874" s="1947"/>
      <c r="E874" s="1947"/>
      <c r="F874" s="1947"/>
      <c r="G874" s="1947"/>
    </row>
    <row r="875" spans="1:13" s="393" customFormat="1" ht="12" x14ac:dyDescent="0.2">
      <c r="A875" s="1947" t="s">
        <v>2398</v>
      </c>
      <c r="B875" s="1947"/>
      <c r="C875" s="1947"/>
      <c r="D875" s="1947"/>
      <c r="E875" s="1947"/>
      <c r="F875" s="1947"/>
      <c r="G875" s="1947"/>
    </row>
    <row r="876" spans="1:13" s="393" customFormat="1" ht="12" x14ac:dyDescent="0.2">
      <c r="A876" s="148"/>
      <c r="B876" s="148"/>
      <c r="C876" s="149"/>
      <c r="D876" s="149"/>
      <c r="E876" s="149"/>
      <c r="F876" s="149"/>
    </row>
    <row r="877" spans="1:13" s="393" customFormat="1" ht="12" x14ac:dyDescent="0.2">
      <c r="A877" s="149" t="s">
        <v>649</v>
      </c>
      <c r="B877" s="149" t="s">
        <v>648</v>
      </c>
      <c r="C877" s="149"/>
      <c r="D877" s="149"/>
      <c r="E877" s="149"/>
      <c r="F877" s="191" t="s">
        <v>6</v>
      </c>
    </row>
    <row r="878" spans="1:13" s="393" customFormat="1" ht="12" x14ac:dyDescent="0.2">
      <c r="A878" s="340" t="s">
        <v>237</v>
      </c>
      <c r="B878" s="340" t="s">
        <v>647</v>
      </c>
      <c r="C878" s="149"/>
      <c r="D878" s="149"/>
      <c r="E878" s="149"/>
      <c r="F878" s="157" t="s">
        <v>482</v>
      </c>
    </row>
    <row r="879" spans="1:13" s="393" customFormat="1" ht="47.25" customHeight="1" x14ac:dyDescent="0.2">
      <c r="A879" s="340" t="s">
        <v>646</v>
      </c>
      <c r="B879" s="341" t="s">
        <v>2358</v>
      </c>
      <c r="C879" s="149"/>
      <c r="D879" s="149"/>
      <c r="E879" s="149"/>
      <c r="F879" s="149"/>
    </row>
    <row r="880" spans="1:13" s="393" customFormat="1" ht="12" x14ac:dyDescent="0.2">
      <c r="A880" s="149" t="s">
        <v>488</v>
      </c>
      <c r="B880" s="149" t="s">
        <v>513</v>
      </c>
      <c r="C880" s="149"/>
      <c r="D880" s="149"/>
      <c r="E880" s="149"/>
      <c r="F880" s="149"/>
    </row>
    <row r="881" spans="1:7" s="393" customFormat="1" ht="12" x14ac:dyDescent="0.2">
      <c r="A881" s="2036" t="s">
        <v>470</v>
      </c>
      <c r="B881" s="2036"/>
      <c r="C881" s="149"/>
      <c r="D881" s="149"/>
      <c r="E881" s="149"/>
      <c r="F881" s="149"/>
    </row>
    <row r="882" spans="1:7" x14ac:dyDescent="0.25">
      <c r="A882" s="187"/>
      <c r="B882" s="187"/>
      <c r="C882" s="187"/>
      <c r="D882" s="187"/>
      <c r="E882" s="187"/>
      <c r="F882" s="187"/>
      <c r="G882" s="187"/>
    </row>
    <row r="883" spans="1:7" s="393" customFormat="1" ht="24" x14ac:dyDescent="0.2">
      <c r="A883" s="415" t="s">
        <v>514</v>
      </c>
      <c r="B883" s="415" t="s">
        <v>11</v>
      </c>
      <c r="C883" s="2033" t="s">
        <v>12</v>
      </c>
      <c r="D883" s="2034"/>
      <c r="E883" s="416" t="s">
        <v>13</v>
      </c>
      <c r="F883" s="424" t="s">
        <v>14</v>
      </c>
      <c r="G883" s="417" t="s">
        <v>256</v>
      </c>
    </row>
    <row r="884" spans="1:7" s="393" customFormat="1" ht="12" x14ac:dyDescent="0.2">
      <c r="A884" s="418">
        <v>1</v>
      </c>
      <c r="B884" s="418">
        <v>2</v>
      </c>
      <c r="C884" s="2041">
        <v>3</v>
      </c>
      <c r="D884" s="2042"/>
      <c r="E884" s="419">
        <v>4</v>
      </c>
      <c r="F884" s="347">
        <v>5</v>
      </c>
      <c r="G884" s="417">
        <v>6</v>
      </c>
    </row>
    <row r="885" spans="1:7" x14ac:dyDescent="0.25">
      <c r="A885" s="493" t="s">
        <v>705</v>
      </c>
      <c r="B885" s="493" t="s">
        <v>277</v>
      </c>
      <c r="C885" s="493"/>
      <c r="D885" s="493"/>
      <c r="E885" s="503"/>
      <c r="F885" s="503"/>
      <c r="G885" s="493"/>
    </row>
    <row r="886" spans="1:7" ht="30" x14ac:dyDescent="0.25">
      <c r="A886" s="493" t="s">
        <v>704</v>
      </c>
      <c r="B886" s="302" t="s">
        <v>84</v>
      </c>
      <c r="C886" s="493"/>
      <c r="D886" s="493"/>
      <c r="E886" s="503"/>
      <c r="F886" s="503"/>
      <c r="G886" s="493"/>
    </row>
    <row r="887" spans="1:7" ht="30" x14ac:dyDescent="0.25">
      <c r="A887" s="493" t="s">
        <v>703</v>
      </c>
      <c r="B887" s="302" t="s">
        <v>679</v>
      </c>
      <c r="C887" s="493"/>
      <c r="D887" s="493"/>
      <c r="E887" s="503"/>
      <c r="F887" s="503"/>
      <c r="G887" s="493"/>
    </row>
    <row r="888" spans="1:7" x14ac:dyDescent="0.25">
      <c r="A888" s="493"/>
      <c r="B888" s="493" t="s">
        <v>1090</v>
      </c>
      <c r="C888" s="493">
        <v>300</v>
      </c>
      <c r="D888" s="493" t="s">
        <v>266</v>
      </c>
      <c r="E888" s="503">
        <v>350</v>
      </c>
      <c r="F888" s="503">
        <f t="shared" ref="F888:F898" si="22">C888*E888</f>
        <v>105000</v>
      </c>
      <c r="G888" s="493"/>
    </row>
    <row r="889" spans="1:7" x14ac:dyDescent="0.25">
      <c r="A889" s="493"/>
      <c r="B889" s="493"/>
      <c r="C889" s="493"/>
      <c r="D889" s="493"/>
      <c r="E889" s="503"/>
      <c r="F889" s="503">
        <f t="shared" si="22"/>
        <v>0</v>
      </c>
      <c r="G889" s="493"/>
    </row>
    <row r="890" spans="1:7" ht="30" x14ac:dyDescent="0.25">
      <c r="A890" s="493" t="s">
        <v>702</v>
      </c>
      <c r="B890" s="302" t="s">
        <v>307</v>
      </c>
      <c r="C890" s="493"/>
      <c r="D890" s="493"/>
      <c r="E890" s="503"/>
      <c r="F890" s="503">
        <f t="shared" si="22"/>
        <v>0</v>
      </c>
      <c r="G890" s="493"/>
    </row>
    <row r="891" spans="1:7" ht="30" x14ac:dyDescent="0.25">
      <c r="A891" s="493"/>
      <c r="B891" s="302" t="s">
        <v>1458</v>
      </c>
      <c r="C891" s="493">
        <v>30</v>
      </c>
      <c r="D891" s="493" t="s">
        <v>269</v>
      </c>
      <c r="E891" s="503">
        <v>20000</v>
      </c>
      <c r="F891" s="503">
        <f t="shared" si="22"/>
        <v>600000</v>
      </c>
      <c r="G891" s="493"/>
    </row>
    <row r="892" spans="1:7" x14ac:dyDescent="0.25">
      <c r="A892" s="493"/>
      <c r="B892" s="493"/>
      <c r="C892" s="493"/>
      <c r="D892" s="493"/>
      <c r="E892" s="503"/>
      <c r="F892" s="503">
        <f t="shared" si="22"/>
        <v>0</v>
      </c>
      <c r="G892" s="493"/>
    </row>
    <row r="893" spans="1:7" ht="30" x14ac:dyDescent="0.25">
      <c r="A893" s="493" t="s">
        <v>701</v>
      </c>
      <c r="B893" s="302" t="s">
        <v>325</v>
      </c>
      <c r="C893" s="493"/>
      <c r="D893" s="493"/>
      <c r="E893" s="503"/>
      <c r="F893" s="503">
        <f t="shared" si="22"/>
        <v>0</v>
      </c>
      <c r="G893" s="493"/>
    </row>
    <row r="894" spans="1:7" x14ac:dyDescent="0.25">
      <c r="A894" s="493"/>
      <c r="B894" s="493" t="s">
        <v>326</v>
      </c>
      <c r="C894" s="493">
        <v>1</v>
      </c>
      <c r="D894" s="493" t="s">
        <v>93</v>
      </c>
      <c r="E894" s="503">
        <v>90000</v>
      </c>
      <c r="F894" s="503">
        <f t="shared" si="22"/>
        <v>90000</v>
      </c>
      <c r="G894" s="493"/>
    </row>
    <row r="895" spans="1:7" x14ac:dyDescent="0.25">
      <c r="A895" s="493"/>
      <c r="B895" s="493"/>
      <c r="C895" s="493"/>
      <c r="D895" s="493"/>
      <c r="E895" s="503"/>
      <c r="F895" s="503">
        <f t="shared" si="22"/>
        <v>0</v>
      </c>
      <c r="G895" s="493"/>
    </row>
    <row r="896" spans="1:7" x14ac:dyDescent="0.25">
      <c r="A896" s="493" t="s">
        <v>699</v>
      </c>
      <c r="B896" s="493" t="s">
        <v>349</v>
      </c>
      <c r="C896" s="493"/>
      <c r="D896" s="493"/>
      <c r="E896" s="503"/>
      <c r="F896" s="503">
        <f t="shared" si="22"/>
        <v>0</v>
      </c>
      <c r="G896" s="493"/>
    </row>
    <row r="897" spans="1:13" ht="45" x14ac:dyDescent="0.25">
      <c r="A897" s="493" t="s">
        <v>699</v>
      </c>
      <c r="B897" s="302" t="s">
        <v>411</v>
      </c>
      <c r="C897" s="493"/>
      <c r="D897" s="493"/>
      <c r="E897" s="503"/>
      <c r="F897" s="503">
        <f t="shared" si="22"/>
        <v>0</v>
      </c>
      <c r="G897" s="493"/>
    </row>
    <row r="898" spans="1:13" x14ac:dyDescent="0.25">
      <c r="A898" s="493" t="s">
        <v>698</v>
      </c>
      <c r="B898" s="493" t="s">
        <v>1459</v>
      </c>
      <c r="C898" s="493">
        <v>1</v>
      </c>
      <c r="D898" s="493" t="s">
        <v>392</v>
      </c>
      <c r="E898" s="503">
        <v>300000</v>
      </c>
      <c r="F898" s="503">
        <f t="shared" si="22"/>
        <v>300000</v>
      </c>
      <c r="G898" s="493"/>
    </row>
    <row r="899" spans="1:13" x14ac:dyDescent="0.25">
      <c r="A899" s="493"/>
      <c r="B899" s="493"/>
      <c r="C899" s="493"/>
      <c r="D899" s="493"/>
      <c r="E899" s="503"/>
      <c r="F899" s="503"/>
      <c r="G899" s="493"/>
    </row>
    <row r="900" spans="1:13" x14ac:dyDescent="0.25">
      <c r="A900" s="493"/>
      <c r="B900" s="493" t="s">
        <v>26</v>
      </c>
      <c r="C900" s="493"/>
      <c r="D900" s="493"/>
      <c r="E900" s="503"/>
      <c r="F900" s="503">
        <f>SUM(F888:F899)</f>
        <v>1095000</v>
      </c>
      <c r="G900" s="493" t="s">
        <v>2177</v>
      </c>
      <c r="M900" s="139">
        <f>F900</f>
        <v>1095000</v>
      </c>
    </row>
    <row r="901" spans="1:13" s="393" customFormat="1" ht="12" x14ac:dyDescent="0.2"/>
    <row r="902" spans="1:13" x14ac:dyDescent="0.25">
      <c r="A902" s="1926" t="s">
        <v>516</v>
      </c>
      <c r="B902" s="1926"/>
      <c r="C902" s="152" t="s">
        <v>27</v>
      </c>
      <c r="D902" s="1926" t="s">
        <v>3654</v>
      </c>
      <c r="E902" s="1926"/>
      <c r="F902" s="1926"/>
      <c r="G902" s="152"/>
    </row>
    <row r="903" spans="1:13" x14ac:dyDescent="0.25">
      <c r="A903" s="1926" t="s">
        <v>28</v>
      </c>
      <c r="B903" s="1926"/>
      <c r="C903" s="152"/>
      <c r="D903" s="1927" t="s">
        <v>3565</v>
      </c>
      <c r="E903" s="1927"/>
      <c r="F903" s="1927"/>
      <c r="G903" s="152"/>
    </row>
    <row r="904" spans="1:13" x14ac:dyDescent="0.25">
      <c r="A904" s="150"/>
      <c r="B904" s="151"/>
      <c r="C904" s="152"/>
      <c r="D904" s="153"/>
      <c r="E904" s="1770"/>
      <c r="F904" s="182"/>
      <c r="G904" s="152"/>
    </row>
    <row r="905" spans="1:13" x14ac:dyDescent="0.25">
      <c r="A905" s="150"/>
      <c r="B905" s="151"/>
      <c r="C905" s="152"/>
      <c r="D905" s="153"/>
      <c r="E905" s="1770"/>
      <c r="F905" s="182"/>
      <c r="G905" s="152"/>
    </row>
    <row r="906" spans="1:13" x14ac:dyDescent="0.25">
      <c r="A906" s="1926"/>
      <c r="B906" s="1926"/>
      <c r="C906" s="152"/>
      <c r="D906" s="153"/>
      <c r="E906" s="1926"/>
      <c r="F906" s="1926"/>
      <c r="G906" s="152"/>
    </row>
    <row r="907" spans="1:13" x14ac:dyDescent="0.25">
      <c r="A907" s="1926" t="s">
        <v>29</v>
      </c>
      <c r="B907" s="1926"/>
      <c r="C907" s="152"/>
      <c r="D907" s="1926" t="s">
        <v>3564</v>
      </c>
      <c r="E907" s="1926"/>
      <c r="F907" s="1926"/>
      <c r="G907" s="152"/>
    </row>
    <row r="910" spans="1:13" x14ac:dyDescent="0.25">
      <c r="A910" s="1947" t="s">
        <v>0</v>
      </c>
      <c r="B910" s="1947"/>
      <c r="C910" s="1947"/>
      <c r="D910" s="1947"/>
      <c r="E910" s="1947"/>
      <c r="F910" s="1947"/>
      <c r="G910" s="149"/>
    </row>
    <row r="911" spans="1:13" x14ac:dyDescent="0.25">
      <c r="A911" s="1947" t="s">
        <v>1</v>
      </c>
      <c r="B911" s="1947"/>
      <c r="C911" s="1947"/>
      <c r="D911" s="1947"/>
      <c r="E911" s="1947"/>
      <c r="F911" s="1947"/>
      <c r="G911" s="149"/>
    </row>
    <row r="912" spans="1:13" x14ac:dyDescent="0.25">
      <c r="A912" s="1947" t="s">
        <v>2398</v>
      </c>
      <c r="B912" s="1947"/>
      <c r="C912" s="1947"/>
      <c r="D912" s="1947"/>
      <c r="E912" s="1947"/>
      <c r="F912" s="1947"/>
      <c r="G912" s="149"/>
    </row>
    <row r="913" spans="1:7" x14ac:dyDescent="0.25">
      <c r="A913" s="149" t="s">
        <v>649</v>
      </c>
      <c r="B913" s="149" t="s">
        <v>648</v>
      </c>
      <c r="C913" s="149"/>
      <c r="D913" s="149"/>
      <c r="E913" s="191" t="s">
        <v>6</v>
      </c>
      <c r="F913" s="191"/>
      <c r="G913" s="149"/>
    </row>
    <row r="914" spans="1:7" x14ac:dyDescent="0.25">
      <c r="A914" s="340" t="s">
        <v>237</v>
      </c>
      <c r="B914" s="340" t="s">
        <v>647</v>
      </c>
      <c r="C914" s="340"/>
      <c r="D914" s="148"/>
      <c r="E914" s="157" t="s">
        <v>482</v>
      </c>
      <c r="F914" s="157" t="s">
        <v>432</v>
      </c>
      <c r="G914" s="149"/>
    </row>
    <row r="915" spans="1:7" x14ac:dyDescent="0.25">
      <c r="A915" s="340" t="s">
        <v>646</v>
      </c>
      <c r="B915" s="340" t="s">
        <v>3491</v>
      </c>
      <c r="C915" s="340"/>
      <c r="D915" s="148"/>
      <c r="E915" s="414"/>
      <c r="F915" s="340"/>
      <c r="G915" s="149"/>
    </row>
    <row r="916" spans="1:7" x14ac:dyDescent="0.25">
      <c r="A916" s="149" t="s">
        <v>488</v>
      </c>
      <c r="B916" s="149" t="s">
        <v>513</v>
      </c>
      <c r="C916" s="149"/>
      <c r="D916" s="149"/>
      <c r="E916" s="149"/>
      <c r="F916" s="149"/>
      <c r="G916" s="149"/>
    </row>
    <row r="917" spans="1:7" x14ac:dyDescent="0.25">
      <c r="A917" s="2036" t="s">
        <v>470</v>
      </c>
      <c r="B917" s="2036"/>
      <c r="C917" s="149"/>
      <c r="D917" s="340"/>
      <c r="E917" s="382"/>
      <c r="F917" s="149"/>
      <c r="G917" s="149"/>
    </row>
    <row r="918" spans="1:7" x14ac:dyDescent="0.25">
      <c r="A918" s="393"/>
      <c r="B918" s="393"/>
      <c r="C918" s="393"/>
      <c r="D918" s="393"/>
      <c r="E918" s="393"/>
      <c r="F918" s="393"/>
      <c r="G918" s="393"/>
    </row>
    <row r="919" spans="1:7" x14ac:dyDescent="0.25">
      <c r="A919" s="393"/>
      <c r="B919" s="393"/>
      <c r="C919" s="393"/>
      <c r="D919" s="393"/>
      <c r="E919" s="393"/>
      <c r="F919" s="393"/>
      <c r="G919" s="393"/>
    </row>
    <row r="920" spans="1:7" ht="24" x14ac:dyDescent="0.25">
      <c r="A920" s="415" t="s">
        <v>514</v>
      </c>
      <c r="B920" s="415" t="s">
        <v>11</v>
      </c>
      <c r="C920" s="2033" t="s">
        <v>12</v>
      </c>
      <c r="D920" s="2034"/>
      <c r="E920" s="416" t="s">
        <v>13</v>
      </c>
      <c r="F920" s="415" t="s">
        <v>14</v>
      </c>
      <c r="G920" s="417" t="s">
        <v>256</v>
      </c>
    </row>
    <row r="921" spans="1:7" x14ac:dyDescent="0.25">
      <c r="A921" s="418">
        <v>1</v>
      </c>
      <c r="B921" s="418">
        <v>2</v>
      </c>
      <c r="C921" s="2041">
        <v>3</v>
      </c>
      <c r="D921" s="2042"/>
      <c r="E921" s="419">
        <v>4</v>
      </c>
      <c r="F921" s="418">
        <v>5</v>
      </c>
      <c r="G921" s="417">
        <v>6</v>
      </c>
    </row>
    <row r="922" spans="1:7" x14ac:dyDescent="0.25">
      <c r="A922" s="167"/>
      <c r="B922" s="316" t="s">
        <v>1478</v>
      </c>
      <c r="C922" s="169"/>
      <c r="D922" s="170"/>
      <c r="E922" s="161"/>
      <c r="F922" s="161"/>
      <c r="G922" s="171"/>
    </row>
    <row r="923" spans="1:7" x14ac:dyDescent="0.25">
      <c r="A923" s="167" t="s">
        <v>2343</v>
      </c>
      <c r="B923" s="168" t="s">
        <v>82</v>
      </c>
      <c r="C923" s="169"/>
      <c r="D923" s="170"/>
      <c r="E923" s="161"/>
      <c r="F923" s="161"/>
      <c r="G923" s="171"/>
    </row>
    <row r="924" spans="1:7" x14ac:dyDescent="0.25">
      <c r="A924" s="167" t="s">
        <v>2344</v>
      </c>
      <c r="B924" s="168" t="s">
        <v>84</v>
      </c>
      <c r="C924" s="169"/>
      <c r="D924" s="170"/>
      <c r="E924" s="161"/>
      <c r="F924" s="161"/>
      <c r="G924" s="171"/>
    </row>
    <row r="925" spans="1:7" ht="24" x14ac:dyDescent="0.25">
      <c r="A925" s="167" t="s">
        <v>2345</v>
      </c>
      <c r="B925" s="168" t="s">
        <v>278</v>
      </c>
      <c r="C925" s="169"/>
      <c r="D925" s="170"/>
      <c r="E925" s="141"/>
      <c r="F925" s="141"/>
      <c r="G925" s="171"/>
    </row>
    <row r="926" spans="1:7" x14ac:dyDescent="0.25">
      <c r="A926" s="167"/>
      <c r="B926" s="410" t="s">
        <v>2350</v>
      </c>
      <c r="C926" s="169">
        <v>20</v>
      </c>
      <c r="D926" s="170" t="s">
        <v>106</v>
      </c>
      <c r="E926" s="141">
        <v>5000</v>
      </c>
      <c r="F926" s="141">
        <f>C926*E926</f>
        <v>100000</v>
      </c>
      <c r="G926" s="171"/>
    </row>
    <row r="927" spans="1:7" x14ac:dyDescent="0.25">
      <c r="A927" s="167"/>
      <c r="B927" s="205" t="s">
        <v>2351</v>
      </c>
      <c r="C927" s="169">
        <v>20</v>
      </c>
      <c r="D927" s="170" t="s">
        <v>106</v>
      </c>
      <c r="E927" s="141">
        <v>7000</v>
      </c>
      <c r="F927" s="141">
        <f>C927*E927</f>
        <v>140000</v>
      </c>
      <c r="G927" s="171"/>
    </row>
    <row r="928" spans="1:7" x14ac:dyDescent="0.25">
      <c r="A928" s="167"/>
      <c r="B928" s="168"/>
      <c r="C928" s="169"/>
      <c r="D928" s="170"/>
      <c r="E928" s="141"/>
      <c r="F928" s="141"/>
      <c r="G928" s="171"/>
    </row>
    <row r="929" spans="1:7" ht="24" x14ac:dyDescent="0.25">
      <c r="A929" s="167" t="s">
        <v>2346</v>
      </c>
      <c r="B929" s="168" t="s">
        <v>307</v>
      </c>
      <c r="C929" s="169"/>
      <c r="D929" s="170"/>
      <c r="E929" s="141"/>
      <c r="F929" s="141"/>
      <c r="G929" s="171"/>
    </row>
    <row r="930" spans="1:7" ht="24" x14ac:dyDescent="0.25">
      <c r="A930" s="167"/>
      <c r="B930" s="168" t="s">
        <v>2352</v>
      </c>
      <c r="C930" s="169">
        <v>25</v>
      </c>
      <c r="D930" s="170" t="s">
        <v>269</v>
      </c>
      <c r="E930" s="141">
        <v>20000</v>
      </c>
      <c r="F930" s="141">
        <f>C930*E930</f>
        <v>500000</v>
      </c>
      <c r="G930" s="171"/>
    </row>
    <row r="931" spans="1:7" x14ac:dyDescent="0.25">
      <c r="A931" s="167" t="s">
        <v>2347</v>
      </c>
      <c r="B931" s="181" t="s">
        <v>973</v>
      </c>
      <c r="C931" s="178"/>
      <c r="D931" s="207"/>
      <c r="E931" s="179"/>
      <c r="F931" s="179"/>
      <c r="G931" s="181"/>
    </row>
    <row r="932" spans="1:7" x14ac:dyDescent="0.25">
      <c r="A932" s="219"/>
      <c r="B932" s="181" t="s">
        <v>2353</v>
      </c>
      <c r="C932" s="178">
        <v>1</v>
      </c>
      <c r="D932" s="207" t="s">
        <v>106</v>
      </c>
      <c r="E932" s="179">
        <v>90000</v>
      </c>
      <c r="F932" s="179">
        <f>E932*C932</f>
        <v>90000</v>
      </c>
      <c r="G932" s="171"/>
    </row>
    <row r="933" spans="1:7" x14ac:dyDescent="0.25">
      <c r="A933" s="167"/>
      <c r="B933" s="168"/>
      <c r="C933" s="169"/>
      <c r="D933" s="170"/>
      <c r="E933" s="141"/>
      <c r="F933" s="141"/>
      <c r="G933" s="171"/>
    </row>
    <row r="934" spans="1:7" x14ac:dyDescent="0.25">
      <c r="A934" s="167" t="s">
        <v>2348</v>
      </c>
      <c r="B934" s="168" t="s">
        <v>294</v>
      </c>
      <c r="C934" s="169"/>
      <c r="D934" s="170"/>
      <c r="E934" s="141"/>
      <c r="F934" s="141"/>
      <c r="G934" s="171"/>
    </row>
    <row r="935" spans="1:7" ht="24" x14ac:dyDescent="0.25">
      <c r="A935" s="167" t="s">
        <v>2349</v>
      </c>
      <c r="B935" s="168" t="s">
        <v>974</v>
      </c>
      <c r="C935" s="169"/>
      <c r="D935" s="170"/>
      <c r="E935" s="161"/>
      <c r="F935" s="161"/>
      <c r="G935" s="171"/>
    </row>
    <row r="936" spans="1:7" x14ac:dyDescent="0.25">
      <c r="A936" s="167"/>
      <c r="B936" s="168" t="s">
        <v>1479</v>
      </c>
      <c r="C936" s="169">
        <v>2</v>
      </c>
      <c r="D936" s="170" t="s">
        <v>1786</v>
      </c>
      <c r="E936" s="141">
        <v>300000</v>
      </c>
      <c r="F936" s="141">
        <f>C936*E936</f>
        <v>600000</v>
      </c>
      <c r="G936" s="171"/>
    </row>
    <row r="937" spans="1:7" x14ac:dyDescent="0.25">
      <c r="A937" s="167"/>
      <c r="B937" s="479"/>
      <c r="C937" s="169"/>
      <c r="D937" s="170"/>
      <c r="E937" s="141"/>
      <c r="F937" s="141"/>
      <c r="G937" s="171"/>
    </row>
    <row r="938" spans="1:7" x14ac:dyDescent="0.25">
      <c r="A938" s="219"/>
      <c r="B938" s="480" t="s">
        <v>1480</v>
      </c>
      <c r="C938" s="178"/>
      <c r="D938" s="207"/>
      <c r="E938" s="194"/>
      <c r="F938" s="194"/>
      <c r="G938" s="181"/>
    </row>
    <row r="939" spans="1:7" ht="24" x14ac:dyDescent="0.25">
      <c r="A939" s="167" t="s">
        <v>2346</v>
      </c>
      <c r="B939" s="168" t="s">
        <v>307</v>
      </c>
      <c r="C939" s="169"/>
      <c r="D939" s="170"/>
      <c r="E939" s="141"/>
      <c r="F939" s="141"/>
      <c r="G939" s="171"/>
    </row>
    <row r="940" spans="1:7" ht="36.75" x14ac:dyDescent="0.25">
      <c r="A940" s="219"/>
      <c r="B940" s="177" t="s">
        <v>3493</v>
      </c>
      <c r="C940" s="178">
        <f>20+10+3+2+1</f>
        <v>36</v>
      </c>
      <c r="D940" s="207" t="s">
        <v>269</v>
      </c>
      <c r="E940" s="179">
        <v>20000</v>
      </c>
      <c r="F940" s="179">
        <f>E940*C940</f>
        <v>720000</v>
      </c>
      <c r="G940" s="171"/>
    </row>
    <row r="941" spans="1:7" x14ac:dyDescent="0.25">
      <c r="A941" s="220"/>
      <c r="B941" s="181"/>
      <c r="C941" s="178"/>
      <c r="D941" s="207"/>
      <c r="E941" s="179"/>
      <c r="F941" s="180"/>
      <c r="G941" s="171"/>
    </row>
    <row r="942" spans="1:7" x14ac:dyDescent="0.25">
      <c r="A942" s="167" t="s">
        <v>2347</v>
      </c>
      <c r="B942" s="181" t="s">
        <v>973</v>
      </c>
      <c r="C942" s="178"/>
      <c r="D942" s="207"/>
      <c r="E942" s="179"/>
      <c r="F942" s="179"/>
      <c r="G942" s="181"/>
    </row>
    <row r="943" spans="1:7" x14ac:dyDescent="0.25">
      <c r="A943" s="219"/>
      <c r="B943" s="181" t="s">
        <v>972</v>
      </c>
      <c r="C943" s="178">
        <v>1</v>
      </c>
      <c r="D943" s="207" t="s">
        <v>106</v>
      </c>
      <c r="E943" s="179">
        <v>90000</v>
      </c>
      <c r="F943" s="179">
        <f>E943*C943</f>
        <v>90000</v>
      </c>
      <c r="G943" s="171"/>
    </row>
    <row r="944" spans="1:7" x14ac:dyDescent="0.25">
      <c r="A944" s="220"/>
      <c r="B944" s="181"/>
      <c r="C944" s="178"/>
      <c r="D944" s="207"/>
      <c r="E944" s="179"/>
      <c r="F944" s="179"/>
      <c r="G944" s="171"/>
    </row>
    <row r="945" spans="1:7" ht="24.75" x14ac:dyDescent="0.25">
      <c r="A945" s="167" t="s">
        <v>2354</v>
      </c>
      <c r="B945" s="177" t="s">
        <v>421</v>
      </c>
      <c r="C945" s="178"/>
      <c r="D945" s="362"/>
      <c r="E945" s="179"/>
      <c r="F945" s="398"/>
      <c r="G945" s="171"/>
    </row>
    <row r="946" spans="1:7" x14ac:dyDescent="0.25">
      <c r="A946" s="181"/>
      <c r="B946" s="181" t="s">
        <v>422</v>
      </c>
      <c r="C946" s="178">
        <v>1</v>
      </c>
      <c r="D946" s="207" t="s">
        <v>93</v>
      </c>
      <c r="E946" s="179">
        <v>50000</v>
      </c>
      <c r="F946" s="398">
        <f>E946*C946</f>
        <v>50000</v>
      </c>
      <c r="G946" s="177"/>
    </row>
    <row r="947" spans="1:7" x14ac:dyDescent="0.25">
      <c r="A947" s="181"/>
      <c r="B947" s="181" t="s">
        <v>275</v>
      </c>
      <c r="C947" s="178">
        <v>5</v>
      </c>
      <c r="D947" s="207" t="s">
        <v>158</v>
      </c>
      <c r="E947" s="179">
        <v>3000</v>
      </c>
      <c r="F947" s="398">
        <f>E947*C947</f>
        <v>15000</v>
      </c>
      <c r="G947" s="205"/>
    </row>
    <row r="948" spans="1:7" x14ac:dyDescent="0.25">
      <c r="A948" s="181"/>
      <c r="B948" s="181" t="s">
        <v>289</v>
      </c>
      <c r="C948" s="178">
        <v>1</v>
      </c>
      <c r="D948" s="207" t="s">
        <v>290</v>
      </c>
      <c r="E948" s="179">
        <v>10000</v>
      </c>
      <c r="F948" s="398">
        <f>E948*C948</f>
        <v>10000</v>
      </c>
      <c r="G948" s="205"/>
    </row>
    <row r="949" spans="1:7" x14ac:dyDescent="0.25">
      <c r="A949" s="221"/>
      <c r="B949" s="181"/>
      <c r="C949" s="178"/>
      <c r="D949" s="207"/>
      <c r="E949" s="179"/>
      <c r="F949" s="398"/>
      <c r="G949" s="482"/>
    </row>
    <row r="950" spans="1:7" x14ac:dyDescent="0.25">
      <c r="A950" s="167" t="s">
        <v>2348</v>
      </c>
      <c r="B950" s="181" t="s">
        <v>294</v>
      </c>
      <c r="C950" s="178"/>
      <c r="D950" s="207"/>
      <c r="E950" s="179"/>
      <c r="F950" s="179"/>
      <c r="G950" s="171"/>
    </row>
    <row r="951" spans="1:7" ht="24.75" x14ac:dyDescent="0.25">
      <c r="A951" s="167" t="s">
        <v>2355</v>
      </c>
      <c r="B951" s="177" t="s">
        <v>484</v>
      </c>
      <c r="C951" s="178"/>
      <c r="D951" s="207"/>
      <c r="E951" s="179"/>
      <c r="F951" s="179"/>
      <c r="G951" s="171"/>
    </row>
    <row r="952" spans="1:7" x14ac:dyDescent="0.25">
      <c r="A952" s="167"/>
      <c r="B952" s="181" t="s">
        <v>179</v>
      </c>
      <c r="C952" s="178">
        <v>1</v>
      </c>
      <c r="D952" s="207" t="s">
        <v>269</v>
      </c>
      <c r="E952" s="179">
        <v>300000</v>
      </c>
      <c r="F952" s="179">
        <f>E952*C952</f>
        <v>300000</v>
      </c>
      <c r="G952" s="171"/>
    </row>
    <row r="953" spans="1:7" x14ac:dyDescent="0.25">
      <c r="A953" s="167"/>
      <c r="B953" s="181" t="s">
        <v>180</v>
      </c>
      <c r="C953" s="178">
        <v>1</v>
      </c>
      <c r="D953" s="207" t="s">
        <v>269</v>
      </c>
      <c r="E953" s="179">
        <v>250000</v>
      </c>
      <c r="F953" s="179">
        <f>E953*C953</f>
        <v>250000</v>
      </c>
      <c r="G953" s="171"/>
    </row>
    <row r="954" spans="1:7" x14ac:dyDescent="0.25">
      <c r="A954" s="167"/>
      <c r="B954" s="181" t="s">
        <v>331</v>
      </c>
      <c r="C954" s="178">
        <v>1</v>
      </c>
      <c r="D954" s="207" t="s">
        <v>269</v>
      </c>
      <c r="E954" s="179">
        <v>200000</v>
      </c>
      <c r="F954" s="179">
        <f>E954*C954</f>
        <v>200000</v>
      </c>
      <c r="G954" s="171"/>
    </row>
    <row r="955" spans="1:7" x14ac:dyDescent="0.25">
      <c r="A955" s="167"/>
      <c r="B955" s="181"/>
      <c r="C955" s="178"/>
      <c r="D955" s="207"/>
      <c r="E955" s="179"/>
      <c r="F955" s="179"/>
      <c r="G955" s="171"/>
    </row>
    <row r="956" spans="1:7" ht="36.75" x14ac:dyDescent="0.25">
      <c r="A956" s="167" t="s">
        <v>2349</v>
      </c>
      <c r="B956" s="177" t="s">
        <v>842</v>
      </c>
      <c r="C956" s="178"/>
      <c r="D956" s="207"/>
      <c r="E956" s="194"/>
      <c r="F956" s="194"/>
      <c r="G956" s="181"/>
    </row>
    <row r="957" spans="1:7" x14ac:dyDescent="0.25">
      <c r="A957" s="219"/>
      <c r="B957" s="181" t="s">
        <v>3492</v>
      </c>
      <c r="C957" s="178">
        <v>10</v>
      </c>
      <c r="D957" s="207" t="s">
        <v>3488</v>
      </c>
      <c r="E957" s="194">
        <v>378000</v>
      </c>
      <c r="F957" s="194">
        <f>E957*C957</f>
        <v>3780000</v>
      </c>
      <c r="G957" s="171"/>
    </row>
    <row r="958" spans="1:7" x14ac:dyDescent="0.25">
      <c r="A958" s="220"/>
      <c r="B958" s="181"/>
      <c r="C958" s="178"/>
      <c r="D958" s="207"/>
      <c r="E958" s="194"/>
      <c r="F958" s="194"/>
      <c r="G958" s="171"/>
    </row>
    <row r="959" spans="1:7" ht="24.75" x14ac:dyDescent="0.25">
      <c r="A959" s="167" t="s">
        <v>2356</v>
      </c>
      <c r="B959" s="177" t="s">
        <v>971</v>
      </c>
      <c r="C959" s="178"/>
      <c r="D959" s="207"/>
      <c r="E959" s="194"/>
      <c r="F959" s="194"/>
      <c r="G959" s="171"/>
    </row>
    <row r="960" spans="1:7" ht="24.75" x14ac:dyDescent="0.25">
      <c r="A960" s="167" t="s">
        <v>2357</v>
      </c>
      <c r="B960" s="177" t="s">
        <v>970</v>
      </c>
      <c r="C960" s="178"/>
      <c r="D960" s="207"/>
      <c r="E960" s="179"/>
      <c r="F960" s="179"/>
      <c r="G960" s="181"/>
    </row>
    <row r="961" spans="1:22" x14ac:dyDescent="0.25">
      <c r="A961" s="219"/>
      <c r="B961" s="181" t="s">
        <v>906</v>
      </c>
      <c r="C961" s="178">
        <v>2</v>
      </c>
      <c r="D961" s="207" t="s">
        <v>269</v>
      </c>
      <c r="E961" s="179">
        <v>3000000</v>
      </c>
      <c r="F961" s="179">
        <f>C961*E961</f>
        <v>6000000</v>
      </c>
      <c r="G961" s="171"/>
    </row>
    <row r="962" spans="1:22" x14ac:dyDescent="0.25">
      <c r="A962" s="219"/>
      <c r="B962" s="181" t="s">
        <v>907</v>
      </c>
      <c r="C962" s="178">
        <v>2</v>
      </c>
      <c r="D962" s="207" t="s">
        <v>269</v>
      </c>
      <c r="E962" s="179">
        <v>2000000</v>
      </c>
      <c r="F962" s="179">
        <f>C962*E962</f>
        <v>4000000</v>
      </c>
      <c r="G962" s="171"/>
    </row>
    <row r="963" spans="1:22" x14ac:dyDescent="0.25">
      <c r="A963" s="219"/>
      <c r="B963" s="181" t="s">
        <v>908</v>
      </c>
      <c r="C963" s="178">
        <v>2</v>
      </c>
      <c r="D963" s="207" t="s">
        <v>269</v>
      </c>
      <c r="E963" s="179">
        <v>1500000</v>
      </c>
      <c r="F963" s="179">
        <f>C963*E963</f>
        <v>3000000</v>
      </c>
      <c r="G963" s="171"/>
    </row>
    <row r="964" spans="1:22" x14ac:dyDescent="0.25">
      <c r="A964" s="219"/>
      <c r="B964" s="181"/>
      <c r="C964" s="178"/>
      <c r="D964" s="207"/>
      <c r="E964" s="179"/>
      <c r="F964" s="179"/>
      <c r="G964" s="171"/>
    </row>
    <row r="965" spans="1:22" ht="24.75" x14ac:dyDescent="0.25">
      <c r="A965" s="181"/>
      <c r="B965" s="480" t="s">
        <v>26</v>
      </c>
      <c r="C965" s="483"/>
      <c r="D965" s="484"/>
      <c r="E965" s="480"/>
      <c r="F965" s="485">
        <f>SUM(F926:F963)</f>
        <v>19845000</v>
      </c>
      <c r="G965" s="410" t="s">
        <v>2253</v>
      </c>
      <c r="J965" s="139"/>
      <c r="L965" s="139"/>
      <c r="T965" s="139"/>
      <c r="U965" s="139"/>
      <c r="V965" s="139">
        <f>F965</f>
        <v>19845000</v>
      </c>
    </row>
    <row r="966" spans="1:22" x14ac:dyDescent="0.25">
      <c r="A966" s="1926" t="s">
        <v>516</v>
      </c>
      <c r="B966" s="1926"/>
      <c r="C966" s="152" t="s">
        <v>27</v>
      </c>
      <c r="D966" s="1926" t="s">
        <v>3654</v>
      </c>
      <c r="E966" s="1926"/>
      <c r="F966" s="1926"/>
      <c r="G966" s="152"/>
    </row>
    <row r="967" spans="1:22" x14ac:dyDescent="0.25">
      <c r="A967" s="1926" t="s">
        <v>28</v>
      </c>
      <c r="B967" s="1926"/>
      <c r="C967" s="152"/>
      <c r="D967" s="1927" t="s">
        <v>3565</v>
      </c>
      <c r="E967" s="1927"/>
      <c r="F967" s="1927"/>
      <c r="G967" s="152"/>
    </row>
    <row r="968" spans="1:22" x14ac:dyDescent="0.25">
      <c r="A968" s="150"/>
      <c r="B968" s="151"/>
      <c r="C968" s="152"/>
      <c r="D968" s="153"/>
      <c r="E968" s="1770"/>
      <c r="F968" s="182"/>
      <c r="G968" s="152"/>
    </row>
    <row r="969" spans="1:22" x14ac:dyDescent="0.25">
      <c r="A969" s="150"/>
      <c r="B969" s="151"/>
      <c r="C969" s="152"/>
      <c r="D969" s="153"/>
      <c r="E969" s="1770"/>
      <c r="F969" s="182"/>
      <c r="G969" s="152"/>
    </row>
    <row r="970" spans="1:22" x14ac:dyDescent="0.25">
      <c r="A970" s="1926"/>
      <c r="B970" s="1926"/>
      <c r="C970" s="152"/>
      <c r="D970" s="153"/>
      <c r="E970" s="1926"/>
      <c r="F970" s="1926"/>
      <c r="G970" s="152"/>
    </row>
    <row r="971" spans="1:22" x14ac:dyDescent="0.25">
      <c r="A971" s="1926" t="s">
        <v>29</v>
      </c>
      <c r="B971" s="1926"/>
      <c r="C971" s="152"/>
      <c r="D971" s="1926" t="s">
        <v>3564</v>
      </c>
      <c r="E971" s="1926"/>
      <c r="F971" s="1926"/>
      <c r="G971" s="152"/>
    </row>
    <row r="974" spans="1:22" s="393" customFormat="1" ht="12" x14ac:dyDescent="0.2">
      <c r="A974" s="1947" t="s">
        <v>0</v>
      </c>
      <c r="B974" s="1947"/>
      <c r="C974" s="1947"/>
      <c r="D974" s="1947"/>
      <c r="E974" s="1947"/>
      <c r="F974" s="1947"/>
      <c r="G974" s="149"/>
    </row>
    <row r="975" spans="1:22" s="393" customFormat="1" ht="12" x14ac:dyDescent="0.2">
      <c r="A975" s="1947" t="s">
        <v>1</v>
      </c>
      <c r="B975" s="1947"/>
      <c r="C975" s="1947"/>
      <c r="D975" s="1947"/>
      <c r="E975" s="1947"/>
      <c r="F975" s="1947"/>
      <c r="G975" s="149"/>
    </row>
    <row r="976" spans="1:22" s="393" customFormat="1" ht="12" x14ac:dyDescent="0.2">
      <c r="A976" s="1947" t="s">
        <v>2398</v>
      </c>
      <c r="B976" s="1947"/>
      <c r="C976" s="1947"/>
      <c r="D976" s="1947"/>
      <c r="E976" s="1947"/>
      <c r="F976" s="1947"/>
      <c r="G976" s="149"/>
    </row>
    <row r="977" spans="1:7" s="393" customFormat="1" ht="12" x14ac:dyDescent="0.2">
      <c r="A977" s="148"/>
      <c r="B977" s="148"/>
      <c r="C977" s="148"/>
      <c r="D977" s="148"/>
      <c r="E977" s="148"/>
      <c r="F977" s="148"/>
      <c r="G977" s="149"/>
    </row>
    <row r="978" spans="1:7" s="393" customFormat="1" ht="12" x14ac:dyDescent="0.2">
      <c r="A978" s="149" t="s">
        <v>731</v>
      </c>
      <c r="B978" s="149" t="s">
        <v>648</v>
      </c>
      <c r="C978" s="149"/>
      <c r="D978" s="149"/>
      <c r="E978" s="154" t="s">
        <v>6</v>
      </c>
      <c r="F978" s="154"/>
      <c r="G978" s="149"/>
    </row>
    <row r="979" spans="1:7" s="393" customFormat="1" ht="12" x14ac:dyDescent="0.2">
      <c r="A979" s="340" t="s">
        <v>237</v>
      </c>
      <c r="B979" s="340" t="s">
        <v>647</v>
      </c>
      <c r="C979" s="340"/>
      <c r="D979" s="148"/>
      <c r="E979" s="488" t="s">
        <v>482</v>
      </c>
      <c r="F979" s="488"/>
      <c r="G979" s="149"/>
    </row>
    <row r="980" spans="1:7" s="393" customFormat="1" ht="12" x14ac:dyDescent="0.2">
      <c r="A980" s="443" t="s">
        <v>730</v>
      </c>
      <c r="B980" s="441" t="s">
        <v>729</v>
      </c>
      <c r="C980" s="340"/>
      <c r="D980" s="148"/>
      <c r="G980" s="149"/>
    </row>
    <row r="981" spans="1:7" s="393" customFormat="1" ht="12" x14ac:dyDescent="0.2">
      <c r="A981" s="149" t="s">
        <v>488</v>
      </c>
      <c r="B981" s="149" t="s">
        <v>513</v>
      </c>
      <c r="C981" s="149"/>
      <c r="D981" s="149"/>
      <c r="E981" s="149"/>
      <c r="F981" s="149"/>
      <c r="G981" s="149"/>
    </row>
    <row r="982" spans="1:7" s="393" customFormat="1" ht="12" x14ac:dyDescent="0.2">
      <c r="A982" s="2036" t="s">
        <v>470</v>
      </c>
      <c r="B982" s="2036"/>
      <c r="C982" s="149"/>
      <c r="D982" s="148"/>
      <c r="E982" s="489"/>
      <c r="F982" s="149"/>
      <c r="G982" s="149"/>
    </row>
    <row r="983" spans="1:7" s="393" customFormat="1" ht="12" x14ac:dyDescent="0.2">
      <c r="A983" s="340"/>
      <c r="B983" s="340"/>
      <c r="C983" s="149"/>
      <c r="D983" s="148"/>
      <c r="E983" s="489"/>
      <c r="F983" s="149"/>
      <c r="G983" s="149"/>
    </row>
    <row r="984" spans="1:7" s="393" customFormat="1" ht="24" x14ac:dyDescent="0.2">
      <c r="A984" s="408" t="s">
        <v>30</v>
      </c>
      <c r="B984" s="408" t="s">
        <v>11</v>
      </c>
      <c r="C984" s="2050" t="s">
        <v>12</v>
      </c>
      <c r="D984" s="2051"/>
      <c r="E984" s="490" t="s">
        <v>13</v>
      </c>
      <c r="F984" s="408" t="s">
        <v>14</v>
      </c>
      <c r="G984" s="164" t="s">
        <v>34</v>
      </c>
    </row>
    <row r="985" spans="1:7" s="393" customFormat="1" ht="12" x14ac:dyDescent="0.2">
      <c r="A985" s="164">
        <v>1</v>
      </c>
      <c r="B985" s="164">
        <v>2</v>
      </c>
      <c r="C985" s="1943">
        <v>3</v>
      </c>
      <c r="D985" s="1943"/>
      <c r="E985" s="165">
        <v>4</v>
      </c>
      <c r="F985" s="164">
        <v>5</v>
      </c>
      <c r="G985" s="166">
        <v>6</v>
      </c>
    </row>
    <row r="986" spans="1:7" s="393" customFormat="1" ht="12" x14ac:dyDescent="0.2">
      <c r="A986" s="164"/>
      <c r="B986" s="346"/>
      <c r="C986" s="371"/>
      <c r="D986" s="372"/>
      <c r="E986" s="165"/>
      <c r="F986" s="164"/>
      <c r="G986" s="186"/>
    </row>
    <row r="987" spans="1:7" s="393" customFormat="1" ht="12" x14ac:dyDescent="0.2">
      <c r="A987" s="346" t="s">
        <v>728</v>
      </c>
      <c r="B987" s="456" t="s">
        <v>683</v>
      </c>
      <c r="C987" s="371"/>
      <c r="D987" s="372"/>
      <c r="E987" s="165"/>
      <c r="F987" s="164"/>
      <c r="G987" s="186"/>
    </row>
    <row r="988" spans="1:7" s="393" customFormat="1" ht="12" x14ac:dyDescent="0.2">
      <c r="A988" s="346" t="s">
        <v>727</v>
      </c>
      <c r="B988" s="456" t="s">
        <v>682</v>
      </c>
      <c r="C988" s="371"/>
      <c r="D988" s="372"/>
      <c r="E988" s="165"/>
      <c r="F988" s="164"/>
      <c r="G988" s="186"/>
    </row>
    <row r="989" spans="1:7" s="393" customFormat="1" ht="24" customHeight="1" x14ac:dyDescent="0.2">
      <c r="A989" s="346" t="s">
        <v>726</v>
      </c>
      <c r="B989" s="463" t="s">
        <v>725</v>
      </c>
      <c r="C989" s="178"/>
      <c r="D989" s="207"/>
      <c r="E989" s="179"/>
      <c r="F989" s="222"/>
      <c r="G989" s="186"/>
    </row>
    <row r="990" spans="1:7" s="393" customFormat="1" ht="12" x14ac:dyDescent="0.2">
      <c r="A990" s="220"/>
      <c r="B990" s="181" t="s">
        <v>1561</v>
      </c>
      <c r="C990" s="178">
        <v>120</v>
      </c>
      <c r="D990" s="207" t="s">
        <v>724</v>
      </c>
      <c r="E990" s="179">
        <v>20000</v>
      </c>
      <c r="F990" s="222">
        <f>E990*C990</f>
        <v>2400000</v>
      </c>
      <c r="G990" s="186"/>
    </row>
    <row r="991" spans="1:7" s="393" customFormat="1" ht="12" x14ac:dyDescent="0.2">
      <c r="A991" s="346" t="s">
        <v>723</v>
      </c>
      <c r="B991" s="480" t="s">
        <v>389</v>
      </c>
      <c r="C991" s="178"/>
      <c r="D991" s="207"/>
      <c r="E991" s="195"/>
      <c r="F991" s="222"/>
      <c r="G991" s="186"/>
    </row>
    <row r="992" spans="1:7" s="393" customFormat="1" ht="12" x14ac:dyDescent="0.2">
      <c r="A992" s="445"/>
      <c r="B992" s="181" t="s">
        <v>1562</v>
      </c>
      <c r="C992" s="178">
        <v>100</v>
      </c>
      <c r="D992" s="207" t="s">
        <v>721</v>
      </c>
      <c r="E992" s="179">
        <v>15000</v>
      </c>
      <c r="F992" s="222">
        <f t="shared" ref="F992:F998" si="23">E992*C992</f>
        <v>1500000</v>
      </c>
      <c r="G992" s="186"/>
    </row>
    <row r="993" spans="1:7" s="393" customFormat="1" ht="12" x14ac:dyDescent="0.2">
      <c r="A993" s="220"/>
      <c r="B993" s="181" t="s">
        <v>1563</v>
      </c>
      <c r="C993" s="178">
        <v>250</v>
      </c>
      <c r="D993" s="207" t="s">
        <v>721</v>
      </c>
      <c r="E993" s="179">
        <v>17000</v>
      </c>
      <c r="F993" s="222">
        <f t="shared" si="23"/>
        <v>4250000</v>
      </c>
      <c r="G993" s="186"/>
    </row>
    <row r="994" spans="1:7" s="393" customFormat="1" ht="12" x14ac:dyDescent="0.2">
      <c r="A994" s="220"/>
      <c r="B994" s="181" t="s">
        <v>722</v>
      </c>
      <c r="C994" s="178">
        <v>10</v>
      </c>
      <c r="D994" s="207" t="s">
        <v>721</v>
      </c>
      <c r="E994" s="179">
        <v>250000</v>
      </c>
      <c r="F994" s="222">
        <f t="shared" si="23"/>
        <v>2500000</v>
      </c>
      <c r="G994" s="186"/>
    </row>
    <row r="995" spans="1:7" s="393" customFormat="1" ht="12" x14ac:dyDescent="0.2">
      <c r="A995" s="220"/>
      <c r="B995" s="181" t="s">
        <v>311</v>
      </c>
      <c r="C995" s="178">
        <v>1</v>
      </c>
      <c r="D995" s="207" t="s">
        <v>724</v>
      </c>
      <c r="E995" s="179">
        <v>84000</v>
      </c>
      <c r="F995" s="222">
        <f t="shared" si="23"/>
        <v>84000</v>
      </c>
      <c r="G995" s="186"/>
    </row>
    <row r="996" spans="1:7" s="393" customFormat="1" ht="12" x14ac:dyDescent="0.2">
      <c r="A996" s="220"/>
      <c r="B996" s="181" t="s">
        <v>720</v>
      </c>
      <c r="C996" s="178">
        <v>10</v>
      </c>
      <c r="D996" s="207" t="s">
        <v>1564</v>
      </c>
      <c r="E996" s="179">
        <v>39000</v>
      </c>
      <c r="F996" s="222">
        <f t="shared" si="23"/>
        <v>390000</v>
      </c>
      <c r="G996" s="186"/>
    </row>
    <row r="997" spans="1:7" s="393" customFormat="1" ht="12" x14ac:dyDescent="0.2">
      <c r="A997" s="220"/>
      <c r="B997" s="181" t="s">
        <v>2192</v>
      </c>
      <c r="C997" s="178">
        <v>30</v>
      </c>
      <c r="D997" s="207" t="s">
        <v>391</v>
      </c>
      <c r="E997" s="179">
        <v>23000</v>
      </c>
      <c r="F997" s="222">
        <f t="shared" si="23"/>
        <v>690000</v>
      </c>
      <c r="G997" s="186"/>
    </row>
    <row r="998" spans="1:7" s="393" customFormat="1" ht="12" x14ac:dyDescent="0.2">
      <c r="A998" s="220"/>
      <c r="B998" s="181" t="s">
        <v>1565</v>
      </c>
      <c r="C998" s="178">
        <v>2</v>
      </c>
      <c r="D998" s="207" t="s">
        <v>391</v>
      </c>
      <c r="E998" s="377">
        <v>50000</v>
      </c>
      <c r="F998" s="222">
        <f t="shared" si="23"/>
        <v>100000</v>
      </c>
      <c r="G998" s="186"/>
    </row>
    <row r="999" spans="1:7" s="393" customFormat="1" ht="12" x14ac:dyDescent="0.2">
      <c r="A999" s="186" t="s">
        <v>719</v>
      </c>
      <c r="B999" s="386" t="s">
        <v>294</v>
      </c>
      <c r="C999" s="178"/>
      <c r="D999" s="362"/>
      <c r="E999" s="377"/>
      <c r="F999" s="222"/>
      <c r="G999" s="186"/>
    </row>
    <row r="1000" spans="1:7" s="393" customFormat="1" ht="36" x14ac:dyDescent="0.2">
      <c r="A1000" s="186" t="s">
        <v>718</v>
      </c>
      <c r="B1000" s="386" t="s">
        <v>717</v>
      </c>
      <c r="C1000" s="178"/>
      <c r="D1000" s="362"/>
      <c r="E1000" s="377"/>
      <c r="F1000" s="222"/>
      <c r="G1000" s="186"/>
    </row>
    <row r="1001" spans="1:7" s="393" customFormat="1" ht="12" x14ac:dyDescent="0.2">
      <c r="A1001" s="186"/>
      <c r="B1001" s="177" t="s">
        <v>402</v>
      </c>
      <c r="C1001" s="178">
        <v>1</v>
      </c>
      <c r="D1001" s="362"/>
      <c r="E1001" s="377">
        <v>300000</v>
      </c>
      <c r="F1001" s="222">
        <f>E1001*C1001</f>
        <v>300000</v>
      </c>
      <c r="G1001" s="186"/>
    </row>
    <row r="1002" spans="1:7" s="393" customFormat="1" ht="12" x14ac:dyDescent="0.2">
      <c r="A1002" s="186"/>
      <c r="B1002" s="177" t="s">
        <v>502</v>
      </c>
      <c r="C1002" s="178">
        <v>1</v>
      </c>
      <c r="D1002" s="362"/>
      <c r="E1002" s="377">
        <v>250000</v>
      </c>
      <c r="F1002" s="222">
        <f>E1002*C1002</f>
        <v>250000</v>
      </c>
      <c r="G1002" s="186"/>
    </row>
    <row r="1003" spans="1:7" s="393" customFormat="1" ht="12" x14ac:dyDescent="0.2">
      <c r="A1003" s="186"/>
      <c r="B1003" s="181" t="s">
        <v>485</v>
      </c>
      <c r="C1003" s="178">
        <v>1</v>
      </c>
      <c r="D1003" s="362"/>
      <c r="E1003" s="377">
        <v>200000</v>
      </c>
      <c r="F1003" s="222">
        <f>E1003*C1003</f>
        <v>200000</v>
      </c>
      <c r="G1003" s="186"/>
    </row>
    <row r="1004" spans="1:7" s="393" customFormat="1" ht="12" x14ac:dyDescent="0.2">
      <c r="A1004" s="186" t="s">
        <v>716</v>
      </c>
      <c r="B1004" s="481" t="s">
        <v>333</v>
      </c>
      <c r="C1004" s="505"/>
      <c r="D1004" s="439"/>
      <c r="E1004" s="205"/>
      <c r="F1004" s="205"/>
      <c r="G1004" s="186"/>
    </row>
    <row r="1005" spans="1:7" s="393" customFormat="1" ht="12" x14ac:dyDescent="0.2">
      <c r="A1005" s="186"/>
      <c r="B1005" s="221" t="s">
        <v>1566</v>
      </c>
      <c r="C1005" s="178">
        <v>30</v>
      </c>
      <c r="D1005" s="170" t="s">
        <v>381</v>
      </c>
      <c r="E1005" s="179">
        <v>100000</v>
      </c>
      <c r="F1005" s="222">
        <f>E1005*C1005</f>
        <v>3000000</v>
      </c>
      <c r="G1005" s="186"/>
    </row>
    <row r="1006" spans="1:7" s="393" customFormat="1" ht="12" x14ac:dyDescent="0.2">
      <c r="A1006" s="186" t="s">
        <v>715</v>
      </c>
      <c r="B1006" s="481" t="s">
        <v>714</v>
      </c>
      <c r="C1006" s="178"/>
      <c r="D1006" s="362"/>
      <c r="E1006" s="377"/>
      <c r="F1006" s="222"/>
      <c r="G1006" s="186"/>
    </row>
    <row r="1007" spans="1:7" s="393" customFormat="1" ht="12" x14ac:dyDescent="0.2">
      <c r="A1007" s="186" t="s">
        <v>713</v>
      </c>
      <c r="B1007" s="374" t="s">
        <v>2193</v>
      </c>
      <c r="C1007" s="178">
        <v>1</v>
      </c>
      <c r="D1007" s="170" t="s">
        <v>210</v>
      </c>
      <c r="E1007" s="179">
        <v>1865943</v>
      </c>
      <c r="F1007" s="363">
        <f>E1007*C1007</f>
        <v>1865943</v>
      </c>
      <c r="G1007" s="186"/>
    </row>
    <row r="1008" spans="1:7" s="393" customFormat="1" ht="12" x14ac:dyDescent="0.2">
      <c r="A1008" s="186"/>
      <c r="B1008" s="181"/>
      <c r="C1008" s="178"/>
      <c r="D1008" s="207"/>
      <c r="E1008" s="179"/>
      <c r="F1008" s="324"/>
      <c r="G1008" s="186"/>
    </row>
    <row r="1009" spans="1:20" s="393" customFormat="1" ht="24" x14ac:dyDescent="0.2">
      <c r="A1009" s="384"/>
      <c r="B1009" s="2074" t="s">
        <v>26</v>
      </c>
      <c r="C1009" s="2075"/>
      <c r="D1009" s="2075"/>
      <c r="E1009" s="2075"/>
      <c r="F1009" s="506">
        <f>SUM(F990:F1007)</f>
        <v>17529943</v>
      </c>
      <c r="G1009" s="325" t="s">
        <v>1777</v>
      </c>
      <c r="L1009" s="1066"/>
      <c r="R1009" s="1066"/>
      <c r="T1009" s="1066">
        <f>F1009</f>
        <v>17529943</v>
      </c>
    </row>
    <row r="1010" spans="1:20" s="393" customFormat="1" ht="12" x14ac:dyDescent="0.2"/>
    <row r="1011" spans="1:20" x14ac:dyDescent="0.25">
      <c r="A1011" s="1926" t="s">
        <v>516</v>
      </c>
      <c r="B1011" s="1926"/>
      <c r="C1011" s="152" t="s">
        <v>27</v>
      </c>
      <c r="D1011" s="1926" t="s">
        <v>3654</v>
      </c>
      <c r="E1011" s="1926"/>
      <c r="F1011" s="1926"/>
      <c r="G1011" s="152"/>
    </row>
    <row r="1012" spans="1:20" x14ac:dyDescent="0.25">
      <c r="A1012" s="1926" t="s">
        <v>28</v>
      </c>
      <c r="B1012" s="1926"/>
      <c r="C1012" s="152"/>
      <c r="D1012" s="1927" t="s">
        <v>3565</v>
      </c>
      <c r="E1012" s="1927"/>
      <c r="F1012" s="1927"/>
      <c r="G1012" s="152"/>
    </row>
    <row r="1013" spans="1:20" x14ac:dyDescent="0.25">
      <c r="A1013" s="150"/>
      <c r="B1013" s="151"/>
      <c r="C1013" s="152"/>
      <c r="D1013" s="153"/>
      <c r="E1013" s="1770"/>
      <c r="F1013" s="182"/>
      <c r="G1013" s="152"/>
    </row>
    <row r="1014" spans="1:20" x14ac:dyDescent="0.25">
      <c r="A1014" s="150"/>
      <c r="B1014" s="151"/>
      <c r="C1014" s="152"/>
      <c r="D1014" s="153"/>
      <c r="E1014" s="1770"/>
      <c r="F1014" s="182"/>
      <c r="G1014" s="152"/>
    </row>
    <row r="1015" spans="1:20" x14ac:dyDescent="0.25">
      <c r="A1015" s="1926"/>
      <c r="B1015" s="1926"/>
      <c r="C1015" s="152"/>
      <c r="D1015" s="153"/>
      <c r="E1015" s="1926"/>
      <c r="F1015" s="1926"/>
      <c r="G1015" s="152"/>
    </row>
    <row r="1016" spans="1:20" x14ac:dyDescent="0.25">
      <c r="A1016" s="1926" t="s">
        <v>29</v>
      </c>
      <c r="B1016" s="1926"/>
      <c r="C1016" s="152"/>
      <c r="D1016" s="1926" t="s">
        <v>3564</v>
      </c>
      <c r="E1016" s="1926"/>
      <c r="F1016" s="1926"/>
      <c r="G1016" s="152"/>
    </row>
    <row r="1017" spans="1:20" s="393" customFormat="1" ht="12" x14ac:dyDescent="0.2">
      <c r="A1017" s="1947" t="s">
        <v>0</v>
      </c>
      <c r="B1017" s="1947"/>
      <c r="C1017" s="1947"/>
      <c r="D1017" s="1947"/>
      <c r="E1017" s="1947"/>
      <c r="F1017" s="1947"/>
      <c r="G1017" s="1947"/>
    </row>
    <row r="1018" spans="1:20" s="393" customFormat="1" ht="12" x14ac:dyDescent="0.2">
      <c r="A1018" s="1947" t="s">
        <v>1</v>
      </c>
      <c r="B1018" s="1947"/>
      <c r="C1018" s="1947"/>
      <c r="D1018" s="1947"/>
      <c r="E1018" s="1947"/>
      <c r="F1018" s="1947"/>
      <c r="G1018" s="1947"/>
    </row>
    <row r="1019" spans="1:20" s="393" customFormat="1" ht="12" x14ac:dyDescent="0.2">
      <c r="A1019" s="1947" t="s">
        <v>2398</v>
      </c>
      <c r="B1019" s="1947"/>
      <c r="C1019" s="1947"/>
      <c r="D1019" s="1947"/>
      <c r="E1019" s="1947"/>
      <c r="F1019" s="1947"/>
      <c r="G1019" s="1947"/>
    </row>
    <row r="1020" spans="1:20" s="393" customFormat="1" ht="12" x14ac:dyDescent="0.2">
      <c r="A1020" s="148"/>
      <c r="B1020" s="148"/>
      <c r="C1020" s="148"/>
      <c r="D1020" s="148"/>
      <c r="E1020" s="148"/>
      <c r="F1020" s="148"/>
      <c r="G1020" s="148"/>
    </row>
    <row r="1021" spans="1:20" s="393" customFormat="1" ht="12" x14ac:dyDescent="0.2">
      <c r="A1021" s="332" t="s">
        <v>251</v>
      </c>
      <c r="B1021" s="332" t="s">
        <v>755</v>
      </c>
      <c r="C1021" s="332"/>
      <c r="D1021" s="332"/>
      <c r="E1021" s="507" t="s">
        <v>6</v>
      </c>
      <c r="F1021" s="154"/>
    </row>
    <row r="1022" spans="1:20" s="393" customFormat="1" ht="12" x14ac:dyDescent="0.2">
      <c r="A1022" s="332" t="s">
        <v>252</v>
      </c>
      <c r="B1022" s="332" t="s">
        <v>647</v>
      </c>
      <c r="C1022" s="332"/>
      <c r="D1022" s="332"/>
      <c r="E1022" s="508" t="s">
        <v>482</v>
      </c>
      <c r="F1022" s="488"/>
    </row>
    <row r="1023" spans="1:20" s="393" customFormat="1" ht="38.25" customHeight="1" x14ac:dyDescent="0.2">
      <c r="A1023" s="509" t="s">
        <v>253</v>
      </c>
      <c r="B1023" s="509" t="s">
        <v>754</v>
      </c>
      <c r="C1023" s="509"/>
      <c r="D1023" s="333"/>
      <c r="E1023" s="333"/>
      <c r="F1023" s="381"/>
    </row>
    <row r="1024" spans="1:20" s="393" customFormat="1" ht="12" x14ac:dyDescent="0.2">
      <c r="A1024" s="332" t="s">
        <v>37</v>
      </c>
      <c r="B1024" s="332" t="s">
        <v>60</v>
      </c>
      <c r="C1024" s="332"/>
      <c r="D1024" s="332"/>
      <c r="E1024" s="332"/>
      <c r="F1024" s="149"/>
    </row>
    <row r="1025" spans="1:12" s="393" customFormat="1" ht="12" x14ac:dyDescent="0.2">
      <c r="A1025" s="332" t="s">
        <v>61</v>
      </c>
      <c r="B1025" s="332" t="s">
        <v>62</v>
      </c>
      <c r="C1025" s="332"/>
      <c r="D1025" s="336"/>
      <c r="E1025" s="510"/>
      <c r="F1025" s="149"/>
    </row>
    <row r="1026" spans="1:12" s="393" customFormat="1" ht="6.75" customHeight="1" x14ac:dyDescent="0.2">
      <c r="A1026" s="151"/>
      <c r="B1026" s="151"/>
      <c r="C1026" s="151"/>
      <c r="D1026" s="151"/>
      <c r="E1026" s="151"/>
      <c r="F1026" s="151"/>
    </row>
    <row r="1027" spans="1:12" s="393" customFormat="1" ht="24" x14ac:dyDescent="0.2">
      <c r="A1027" s="162" t="s">
        <v>255</v>
      </c>
      <c r="B1027" s="162" t="s">
        <v>11</v>
      </c>
      <c r="C1027" s="1958" t="s">
        <v>12</v>
      </c>
      <c r="D1027" s="1958"/>
      <c r="E1027" s="230" t="s">
        <v>13</v>
      </c>
      <c r="F1027" s="231" t="s">
        <v>14</v>
      </c>
      <c r="G1027" s="418" t="s">
        <v>256</v>
      </c>
    </row>
    <row r="1028" spans="1:12" s="393" customFormat="1" ht="12" x14ac:dyDescent="0.2">
      <c r="A1028" s="162">
        <v>1</v>
      </c>
      <c r="B1028" s="162">
        <v>2</v>
      </c>
      <c r="C1028" s="1959">
        <v>3</v>
      </c>
      <c r="D1028" s="1960"/>
      <c r="E1028" s="232">
        <v>4</v>
      </c>
      <c r="F1028" s="231">
        <v>5</v>
      </c>
      <c r="G1028" s="417">
        <v>6</v>
      </c>
    </row>
    <row r="1029" spans="1:12" s="393" customFormat="1" ht="12" x14ac:dyDescent="0.2">
      <c r="A1029" s="346"/>
      <c r="B1029" s="456" t="s">
        <v>753</v>
      </c>
      <c r="C1029" s="511"/>
      <c r="D1029" s="372"/>
      <c r="E1029" s="512"/>
      <c r="F1029" s="164"/>
      <c r="G1029" s="205"/>
    </row>
    <row r="1030" spans="1:12" s="393" customFormat="1" ht="12" x14ac:dyDescent="0.2">
      <c r="A1030" s="346" t="s">
        <v>751</v>
      </c>
      <c r="B1030" s="456" t="s">
        <v>683</v>
      </c>
      <c r="C1030" s="511"/>
      <c r="D1030" s="372"/>
      <c r="E1030" s="512"/>
      <c r="F1030" s="164"/>
      <c r="G1030" s="205"/>
    </row>
    <row r="1031" spans="1:12" s="393" customFormat="1" ht="12" x14ac:dyDescent="0.2">
      <c r="A1031" s="346" t="s">
        <v>750</v>
      </c>
      <c r="B1031" s="456" t="s">
        <v>682</v>
      </c>
      <c r="C1031" s="511"/>
      <c r="D1031" s="372"/>
      <c r="E1031" s="512"/>
      <c r="F1031" s="164"/>
      <c r="G1031" s="205"/>
    </row>
    <row r="1032" spans="1:12" s="393" customFormat="1" ht="24" x14ac:dyDescent="0.2">
      <c r="A1032" s="513" t="s">
        <v>749</v>
      </c>
      <c r="B1032" s="386" t="s">
        <v>307</v>
      </c>
      <c r="C1032" s="169"/>
      <c r="D1032" s="170"/>
      <c r="E1032" s="179"/>
      <c r="F1032" s="363"/>
      <c r="G1032" s="205"/>
    </row>
    <row r="1033" spans="1:12" s="393" customFormat="1" ht="12" x14ac:dyDescent="0.2">
      <c r="A1033" s="513"/>
      <c r="B1033" s="193" t="s">
        <v>1525</v>
      </c>
      <c r="C1033" s="169">
        <v>30</v>
      </c>
      <c r="D1033" s="170" t="s">
        <v>269</v>
      </c>
      <c r="E1033" s="179">
        <v>20000</v>
      </c>
      <c r="F1033" s="363">
        <f>E1033*C1033</f>
        <v>600000</v>
      </c>
      <c r="G1033" s="205" t="s">
        <v>1222</v>
      </c>
      <c r="L1033" s="1066">
        <f>F1033</f>
        <v>600000</v>
      </c>
    </row>
    <row r="1034" spans="1:12" s="393" customFormat="1" ht="24" x14ac:dyDescent="0.2">
      <c r="A1034" s="513"/>
      <c r="B1034" s="177" t="s">
        <v>1526</v>
      </c>
      <c r="C1034" s="169">
        <v>1300</v>
      </c>
      <c r="D1034" s="170" t="s">
        <v>269</v>
      </c>
      <c r="E1034" s="514">
        <v>20000</v>
      </c>
      <c r="F1034" s="515">
        <f>E1034*C1034</f>
        <v>26000000</v>
      </c>
      <c r="G1034" s="205" t="s">
        <v>1222</v>
      </c>
      <c r="L1034" s="1066">
        <f t="shared" ref="L1034:L1055" si="24">F1034</f>
        <v>26000000</v>
      </c>
    </row>
    <row r="1035" spans="1:12" s="393" customFormat="1" ht="24" x14ac:dyDescent="0.2">
      <c r="A1035" s="513" t="s">
        <v>748</v>
      </c>
      <c r="B1035" s="386" t="s">
        <v>325</v>
      </c>
      <c r="C1035" s="169"/>
      <c r="D1035" s="170"/>
      <c r="E1035" s="179"/>
      <c r="F1035" s="363"/>
      <c r="G1035" s="205"/>
      <c r="L1035" s="1066">
        <f t="shared" si="24"/>
        <v>0</v>
      </c>
    </row>
    <row r="1036" spans="1:12" s="393" customFormat="1" ht="12" x14ac:dyDescent="0.2">
      <c r="A1036" s="513"/>
      <c r="B1036" s="181" t="s">
        <v>326</v>
      </c>
      <c r="C1036" s="169">
        <v>13</v>
      </c>
      <c r="D1036" s="170" t="s">
        <v>93</v>
      </c>
      <c r="E1036" s="179">
        <v>90000</v>
      </c>
      <c r="F1036" s="363">
        <f>E1036*C1036</f>
        <v>1170000</v>
      </c>
      <c r="G1036" s="205" t="s">
        <v>1222</v>
      </c>
      <c r="L1036" s="1066">
        <f t="shared" si="24"/>
        <v>1170000</v>
      </c>
    </row>
    <row r="1037" spans="1:12" s="393" customFormat="1" ht="12" x14ac:dyDescent="0.2">
      <c r="A1037" s="513"/>
      <c r="B1037" s="181" t="s">
        <v>1527</v>
      </c>
      <c r="C1037" s="169">
        <v>1</v>
      </c>
      <c r="D1037" s="170" t="s">
        <v>126</v>
      </c>
      <c r="E1037" s="179">
        <v>1500000</v>
      </c>
      <c r="F1037" s="363">
        <f>E1037*C1037</f>
        <v>1500000</v>
      </c>
      <c r="G1037" s="205" t="s">
        <v>1222</v>
      </c>
      <c r="L1037" s="1066">
        <f t="shared" si="24"/>
        <v>1500000</v>
      </c>
    </row>
    <row r="1038" spans="1:12" s="393" customFormat="1" ht="12" x14ac:dyDescent="0.2">
      <c r="A1038" s="346"/>
      <c r="B1038" s="345" t="s">
        <v>752</v>
      </c>
      <c r="C1038" s="169"/>
      <c r="D1038" s="170"/>
      <c r="E1038" s="179"/>
      <c r="F1038" s="363"/>
      <c r="G1038" s="205"/>
      <c r="L1038" s="1066">
        <f t="shared" si="24"/>
        <v>0</v>
      </c>
    </row>
    <row r="1039" spans="1:12" s="393" customFormat="1" ht="12" x14ac:dyDescent="0.2">
      <c r="A1039" s="346" t="s">
        <v>751</v>
      </c>
      <c r="B1039" s="456" t="s">
        <v>683</v>
      </c>
      <c r="C1039" s="169"/>
      <c r="D1039" s="170"/>
      <c r="E1039" s="179"/>
      <c r="F1039" s="363"/>
      <c r="G1039" s="205"/>
      <c r="L1039" s="1066">
        <f t="shared" si="24"/>
        <v>0</v>
      </c>
    </row>
    <row r="1040" spans="1:12" s="393" customFormat="1" ht="12" x14ac:dyDescent="0.2">
      <c r="A1040" s="346" t="s">
        <v>750</v>
      </c>
      <c r="B1040" s="456" t="s">
        <v>682</v>
      </c>
      <c r="C1040" s="169"/>
      <c r="D1040" s="170"/>
      <c r="E1040" s="179"/>
      <c r="F1040" s="363"/>
      <c r="G1040" s="205"/>
      <c r="L1040" s="1066">
        <f t="shared" si="24"/>
        <v>0</v>
      </c>
    </row>
    <row r="1041" spans="1:12" s="393" customFormat="1" ht="24" x14ac:dyDescent="0.2">
      <c r="A1041" s="513" t="s">
        <v>749</v>
      </c>
      <c r="B1041" s="387" t="s">
        <v>307</v>
      </c>
      <c r="C1041" s="169"/>
      <c r="D1041" s="170"/>
      <c r="E1041" s="179"/>
      <c r="F1041" s="363"/>
      <c r="G1041" s="205"/>
      <c r="L1041" s="1066">
        <f t="shared" si="24"/>
        <v>0</v>
      </c>
    </row>
    <row r="1042" spans="1:12" s="393" customFormat="1" ht="36" x14ac:dyDescent="0.2">
      <c r="A1042" s="513"/>
      <c r="B1042" s="465" t="s">
        <v>1528</v>
      </c>
      <c r="C1042" s="169">
        <v>63</v>
      </c>
      <c r="D1042" s="170" t="s">
        <v>269</v>
      </c>
      <c r="E1042" s="514">
        <v>20000</v>
      </c>
      <c r="F1042" s="515">
        <f>E1042*C1042</f>
        <v>1260000</v>
      </c>
      <c r="G1042" s="205" t="s">
        <v>1222</v>
      </c>
      <c r="L1042" s="1066">
        <f t="shared" si="24"/>
        <v>1260000</v>
      </c>
    </row>
    <row r="1043" spans="1:12" s="393" customFormat="1" ht="24" x14ac:dyDescent="0.2">
      <c r="A1043" s="513" t="s">
        <v>747</v>
      </c>
      <c r="B1043" s="386" t="s">
        <v>746</v>
      </c>
      <c r="C1043" s="169"/>
      <c r="D1043" s="170"/>
      <c r="E1043" s="179"/>
      <c r="F1043" s="324"/>
      <c r="G1043" s="205"/>
      <c r="L1043" s="1066">
        <f t="shared" si="24"/>
        <v>0</v>
      </c>
    </row>
    <row r="1044" spans="1:12" s="393" customFormat="1" ht="12" x14ac:dyDescent="0.2">
      <c r="A1044" s="513"/>
      <c r="B1044" s="181" t="s">
        <v>1581</v>
      </c>
      <c r="C1044" s="169">
        <v>4</v>
      </c>
      <c r="D1044" s="170" t="s">
        <v>93</v>
      </c>
      <c r="E1044" s="179">
        <v>199000</v>
      </c>
      <c r="F1044" s="324">
        <f>E1044*C1044</f>
        <v>796000</v>
      </c>
      <c r="G1044" s="205" t="s">
        <v>1222</v>
      </c>
      <c r="L1044" s="1066">
        <f t="shared" si="24"/>
        <v>796000</v>
      </c>
    </row>
    <row r="1045" spans="1:12" s="393" customFormat="1" ht="12" x14ac:dyDescent="0.2">
      <c r="A1045" s="513"/>
      <c r="B1045" s="181" t="s">
        <v>1582</v>
      </c>
      <c r="C1045" s="169">
        <v>4</v>
      </c>
      <c r="D1045" s="170" t="s">
        <v>93</v>
      </c>
      <c r="E1045" s="179">
        <v>123000</v>
      </c>
      <c r="F1045" s="324">
        <f>E1045*C1045</f>
        <v>492000</v>
      </c>
      <c r="G1045" s="205" t="s">
        <v>1222</v>
      </c>
      <c r="L1045" s="1066">
        <f t="shared" si="24"/>
        <v>492000</v>
      </c>
    </row>
    <row r="1046" spans="1:12" s="393" customFormat="1" ht="12" x14ac:dyDescent="0.2">
      <c r="A1046" s="513"/>
      <c r="B1046" s="181" t="s">
        <v>745</v>
      </c>
      <c r="C1046" s="169">
        <v>4</v>
      </c>
      <c r="D1046" s="170" t="s">
        <v>93</v>
      </c>
      <c r="E1046" s="179">
        <v>161000</v>
      </c>
      <c r="F1046" s="324">
        <f>E1046*C1046</f>
        <v>644000</v>
      </c>
      <c r="G1046" s="205" t="s">
        <v>1222</v>
      </c>
      <c r="L1046" s="1066">
        <f t="shared" si="24"/>
        <v>644000</v>
      </c>
    </row>
    <row r="1047" spans="1:12" s="393" customFormat="1" ht="12" x14ac:dyDescent="0.2">
      <c r="A1047" s="513"/>
      <c r="B1047" s="181" t="s">
        <v>744</v>
      </c>
      <c r="C1047" s="169">
        <v>4</v>
      </c>
      <c r="D1047" s="170" t="s">
        <v>93</v>
      </c>
      <c r="E1047" s="179">
        <v>307000</v>
      </c>
      <c r="F1047" s="324">
        <f>E1047*C1047</f>
        <v>1228000</v>
      </c>
      <c r="G1047" s="205" t="s">
        <v>1222</v>
      </c>
      <c r="L1047" s="1066">
        <f t="shared" si="24"/>
        <v>1228000</v>
      </c>
    </row>
    <row r="1048" spans="1:12" s="393" customFormat="1" ht="12" x14ac:dyDescent="0.2">
      <c r="A1048" s="513"/>
      <c r="B1048" s="181" t="s">
        <v>743</v>
      </c>
      <c r="C1048" s="169">
        <v>4</v>
      </c>
      <c r="D1048" s="170" t="s">
        <v>93</v>
      </c>
      <c r="E1048" s="179">
        <v>155000</v>
      </c>
      <c r="F1048" s="324">
        <f>E1048*C1048</f>
        <v>620000</v>
      </c>
      <c r="G1048" s="205" t="s">
        <v>1222</v>
      </c>
      <c r="L1048" s="1066">
        <f t="shared" si="24"/>
        <v>620000</v>
      </c>
    </row>
    <row r="1049" spans="1:12" s="393" customFormat="1" ht="12" x14ac:dyDescent="0.2">
      <c r="A1049" s="513" t="s">
        <v>742</v>
      </c>
      <c r="B1049" s="481" t="s">
        <v>741</v>
      </c>
      <c r="C1049" s="169"/>
      <c r="D1049" s="170"/>
      <c r="E1049" s="377"/>
      <c r="F1049" s="363"/>
      <c r="G1049" s="205"/>
      <c r="L1049" s="1066">
        <f t="shared" si="24"/>
        <v>0</v>
      </c>
    </row>
    <row r="1050" spans="1:12" s="393" customFormat="1" ht="24" x14ac:dyDescent="0.2">
      <c r="A1050" s="193" t="s">
        <v>740</v>
      </c>
      <c r="B1050" s="386" t="s">
        <v>707</v>
      </c>
      <c r="C1050" s="169"/>
      <c r="D1050" s="170"/>
      <c r="E1050" s="179"/>
      <c r="F1050" s="324"/>
      <c r="G1050" s="205"/>
      <c r="L1050" s="1066">
        <f t="shared" si="24"/>
        <v>0</v>
      </c>
    </row>
    <row r="1051" spans="1:12" s="393" customFormat="1" ht="12" x14ac:dyDescent="0.2">
      <c r="A1051" s="513"/>
      <c r="B1051" s="181" t="s">
        <v>179</v>
      </c>
      <c r="C1051" s="169">
        <v>1</v>
      </c>
      <c r="D1051" s="170" t="s">
        <v>709</v>
      </c>
      <c r="E1051" s="179">
        <v>300000</v>
      </c>
      <c r="F1051" s="324">
        <f>E1051*C1051</f>
        <v>300000</v>
      </c>
      <c r="G1051" s="205" t="s">
        <v>1222</v>
      </c>
      <c r="L1051" s="1066">
        <f t="shared" si="24"/>
        <v>300000</v>
      </c>
    </row>
    <row r="1052" spans="1:12" s="393" customFormat="1" ht="12" x14ac:dyDescent="0.2">
      <c r="A1052" s="513"/>
      <c r="B1052" s="181" t="s">
        <v>180</v>
      </c>
      <c r="C1052" s="169">
        <v>1</v>
      </c>
      <c r="D1052" s="170" t="s">
        <v>709</v>
      </c>
      <c r="E1052" s="179">
        <v>250000</v>
      </c>
      <c r="F1052" s="324">
        <f>E1052*C1052</f>
        <v>250000</v>
      </c>
      <c r="G1052" s="205" t="s">
        <v>1222</v>
      </c>
      <c r="L1052" s="1066">
        <f t="shared" si="24"/>
        <v>250000</v>
      </c>
    </row>
    <row r="1053" spans="1:12" s="393" customFormat="1" ht="12" x14ac:dyDescent="0.2">
      <c r="A1053" s="513"/>
      <c r="B1053" s="181" t="s">
        <v>331</v>
      </c>
      <c r="C1053" s="169">
        <v>3</v>
      </c>
      <c r="D1053" s="170" t="s">
        <v>709</v>
      </c>
      <c r="E1053" s="179">
        <v>200000</v>
      </c>
      <c r="F1053" s="324">
        <f>E1053*C1053</f>
        <v>600000</v>
      </c>
      <c r="G1053" s="205" t="s">
        <v>1222</v>
      </c>
      <c r="L1053" s="1066">
        <f t="shared" si="24"/>
        <v>600000</v>
      </c>
    </row>
    <row r="1054" spans="1:12" s="393" customFormat="1" ht="48" x14ac:dyDescent="0.2">
      <c r="A1054" s="513" t="s">
        <v>739</v>
      </c>
      <c r="B1054" s="386" t="s">
        <v>656</v>
      </c>
      <c r="C1054" s="169"/>
      <c r="D1054" s="170"/>
      <c r="E1054" s="377"/>
      <c r="F1054" s="324"/>
      <c r="G1054" s="205"/>
      <c r="L1054" s="1066">
        <f t="shared" si="24"/>
        <v>0</v>
      </c>
    </row>
    <row r="1055" spans="1:12" s="393" customFormat="1" ht="12" x14ac:dyDescent="0.2">
      <c r="A1055" s="513"/>
      <c r="B1055" s="193" t="s">
        <v>1529</v>
      </c>
      <c r="C1055" s="169">
        <f>4*3</f>
        <v>12</v>
      </c>
      <c r="D1055" s="170" t="s">
        <v>1550</v>
      </c>
      <c r="E1055" s="377">
        <v>378000</v>
      </c>
      <c r="F1055" s="324">
        <f>E1055*C1055</f>
        <v>4536000</v>
      </c>
      <c r="G1055" s="205" t="s">
        <v>1222</v>
      </c>
      <c r="L1055" s="1066">
        <f t="shared" si="24"/>
        <v>4536000</v>
      </c>
    </row>
    <row r="1056" spans="1:12" s="393" customFormat="1" ht="24" x14ac:dyDescent="0.2">
      <c r="A1056" s="513" t="s">
        <v>738</v>
      </c>
      <c r="B1056" s="516" t="s">
        <v>737</v>
      </c>
      <c r="C1056" s="169"/>
      <c r="D1056" s="170"/>
      <c r="E1056" s="179"/>
      <c r="F1056" s="363"/>
      <c r="G1056" s="205"/>
    </row>
    <row r="1057" spans="1:21" s="393" customFormat="1" ht="12" x14ac:dyDescent="0.2">
      <c r="A1057" s="513" t="s">
        <v>736</v>
      </c>
      <c r="B1057" s="480" t="s">
        <v>735</v>
      </c>
      <c r="C1057" s="169"/>
      <c r="D1057" s="170"/>
      <c r="E1057" s="179"/>
      <c r="F1057" s="324"/>
      <c r="G1057" s="205"/>
      <c r="U1057" s="1066">
        <f>F1058</f>
        <v>5000000</v>
      </c>
    </row>
    <row r="1058" spans="1:21" s="393" customFormat="1" ht="12" x14ac:dyDescent="0.2">
      <c r="A1058" s="186"/>
      <c r="B1058" s="181" t="s">
        <v>734</v>
      </c>
      <c r="C1058" s="169">
        <v>1</v>
      </c>
      <c r="D1058" s="170" t="s">
        <v>126</v>
      </c>
      <c r="E1058" s="179">
        <v>5000000</v>
      </c>
      <c r="F1058" s="324">
        <f>E1058*C1058</f>
        <v>5000000</v>
      </c>
      <c r="G1058" s="205" t="s">
        <v>3534</v>
      </c>
      <c r="U1058" s="1066">
        <f t="shared" ref="U1058:U1059" si="25">F1059</f>
        <v>4000000</v>
      </c>
    </row>
    <row r="1059" spans="1:21" s="393" customFormat="1" ht="12" x14ac:dyDescent="0.2">
      <c r="A1059" s="186"/>
      <c r="B1059" s="181" t="s">
        <v>733</v>
      </c>
      <c r="C1059" s="169">
        <v>1</v>
      </c>
      <c r="D1059" s="170" t="s">
        <v>126</v>
      </c>
      <c r="E1059" s="179">
        <v>4000000</v>
      </c>
      <c r="F1059" s="324">
        <f>E1059*C1059</f>
        <v>4000000</v>
      </c>
      <c r="G1059" s="205" t="s">
        <v>3534</v>
      </c>
      <c r="U1059" s="1066">
        <f t="shared" si="25"/>
        <v>3000000</v>
      </c>
    </row>
    <row r="1060" spans="1:21" s="393" customFormat="1" ht="12" x14ac:dyDescent="0.2">
      <c r="A1060" s="186"/>
      <c r="B1060" s="181" t="s">
        <v>732</v>
      </c>
      <c r="C1060" s="169">
        <v>1</v>
      </c>
      <c r="D1060" s="170" t="s">
        <v>126</v>
      </c>
      <c r="E1060" s="179">
        <v>3000000</v>
      </c>
      <c r="F1060" s="324">
        <f>E1060*C1060</f>
        <v>3000000</v>
      </c>
      <c r="G1060" s="205" t="s">
        <v>3534</v>
      </c>
      <c r="U1060" s="1066"/>
    </row>
    <row r="1061" spans="1:21" s="393" customFormat="1" ht="12" x14ac:dyDescent="0.2">
      <c r="A1061" s="383"/>
      <c r="B1061" s="181"/>
      <c r="C1061" s="2058"/>
      <c r="D1061" s="2058"/>
      <c r="E1061" s="179"/>
      <c r="F1061" s="324"/>
      <c r="G1061" s="205"/>
      <c r="U1061" s="1066"/>
    </row>
    <row r="1062" spans="1:21" s="393" customFormat="1" ht="24" customHeight="1" x14ac:dyDescent="0.2">
      <c r="A1062" s="384"/>
      <c r="B1062" s="2059" t="s">
        <v>26</v>
      </c>
      <c r="C1062" s="2060"/>
      <c r="D1062" s="2060"/>
      <c r="E1062" s="2060"/>
      <c r="F1062" s="517">
        <f>SUM(F1033:F1060)</f>
        <v>51996000</v>
      </c>
      <c r="G1062" s="205"/>
      <c r="L1062" s="1066"/>
      <c r="T1062" s="1066"/>
    </row>
    <row r="1063" spans="1:21" x14ac:dyDescent="0.25">
      <c r="A1063" s="1926" t="s">
        <v>516</v>
      </c>
      <c r="B1063" s="1926"/>
      <c r="C1063" s="152" t="s">
        <v>27</v>
      </c>
      <c r="D1063" s="1926" t="s">
        <v>3654</v>
      </c>
      <c r="E1063" s="1926"/>
      <c r="F1063" s="1926"/>
      <c r="G1063" s="152"/>
    </row>
    <row r="1064" spans="1:21" x14ac:dyDescent="0.25">
      <c r="A1064" s="1926" t="s">
        <v>28</v>
      </c>
      <c r="B1064" s="1926"/>
      <c r="C1064" s="152"/>
      <c r="D1064" s="1927" t="s">
        <v>3570</v>
      </c>
      <c r="E1064" s="1927"/>
      <c r="F1064" s="1927"/>
      <c r="G1064" s="152"/>
    </row>
    <row r="1065" spans="1:21" x14ac:dyDescent="0.25">
      <c r="A1065" s="150"/>
      <c r="B1065" s="151"/>
      <c r="C1065" s="152"/>
      <c r="D1065" s="153"/>
      <c r="E1065" s="182"/>
      <c r="F1065" s="1208"/>
      <c r="G1065" s="152"/>
    </row>
    <row r="1066" spans="1:21" x14ac:dyDescent="0.25">
      <c r="A1066" s="150"/>
      <c r="B1066" s="151"/>
      <c r="C1066" s="152"/>
      <c r="D1066" s="153"/>
      <c r="E1066" s="182"/>
      <c r="F1066" s="1208"/>
      <c r="G1066" s="152"/>
    </row>
    <row r="1067" spans="1:21" x14ac:dyDescent="0.25">
      <c r="A1067" s="1926"/>
      <c r="B1067" s="1926"/>
      <c r="C1067" s="152"/>
      <c r="D1067" s="153"/>
      <c r="E1067" s="2003"/>
      <c r="F1067" s="2003"/>
      <c r="G1067" s="152"/>
    </row>
    <row r="1068" spans="1:21" x14ac:dyDescent="0.25">
      <c r="A1068" s="1926" t="s">
        <v>29</v>
      </c>
      <c r="B1068" s="1926"/>
      <c r="C1068" s="152"/>
      <c r="D1068" s="1926" t="s">
        <v>3548</v>
      </c>
      <c r="E1068" s="1926"/>
      <c r="F1068" s="1926"/>
      <c r="G1068" s="152"/>
    </row>
    <row r="1069" spans="1:21" s="393" customFormat="1" ht="12" x14ac:dyDescent="0.2">
      <c r="A1069" s="1947" t="s">
        <v>0</v>
      </c>
      <c r="B1069" s="1947"/>
      <c r="C1069" s="1947"/>
      <c r="D1069" s="1947"/>
      <c r="E1069" s="1947"/>
      <c r="F1069" s="1947"/>
      <c r="G1069" s="1947"/>
    </row>
    <row r="1070" spans="1:21" s="393" customFormat="1" ht="12" x14ac:dyDescent="0.2">
      <c r="A1070" s="1947" t="s">
        <v>1</v>
      </c>
      <c r="B1070" s="1947"/>
      <c r="C1070" s="1947"/>
      <c r="D1070" s="1947"/>
      <c r="E1070" s="1947"/>
      <c r="F1070" s="1947"/>
      <c r="G1070" s="1947"/>
    </row>
    <row r="1071" spans="1:21" s="393" customFormat="1" ht="12" x14ac:dyDescent="0.2">
      <c r="A1071" s="1947" t="s">
        <v>2398</v>
      </c>
      <c r="B1071" s="1947"/>
      <c r="C1071" s="1947"/>
      <c r="D1071" s="1947"/>
      <c r="E1071" s="1947"/>
      <c r="F1071" s="1947"/>
      <c r="G1071" s="1947"/>
    </row>
    <row r="1072" spans="1:21" s="393" customFormat="1" ht="12" x14ac:dyDescent="0.2">
      <c r="A1072" s="149" t="s">
        <v>649</v>
      </c>
      <c r="B1072" s="149" t="s">
        <v>648</v>
      </c>
      <c r="C1072" s="149"/>
      <c r="D1072" s="149"/>
      <c r="E1072" s="191" t="s">
        <v>6</v>
      </c>
      <c r="F1072" s="426" t="s">
        <v>1470</v>
      </c>
    </row>
    <row r="1073" spans="1:7" s="393" customFormat="1" ht="12" x14ac:dyDescent="0.2">
      <c r="A1073" s="340" t="s">
        <v>237</v>
      </c>
      <c r="B1073" s="340" t="s">
        <v>647</v>
      </c>
      <c r="C1073" s="149"/>
      <c r="D1073" s="149"/>
      <c r="E1073" s="157" t="s">
        <v>482</v>
      </c>
      <c r="F1073" s="157"/>
    </row>
    <row r="1074" spans="1:7" s="393" customFormat="1" ht="20.25" customHeight="1" x14ac:dyDescent="0.2">
      <c r="A1074" s="340" t="s">
        <v>646</v>
      </c>
      <c r="B1074" s="182" t="s">
        <v>2359</v>
      </c>
      <c r="C1074" s="149"/>
      <c r="D1074" s="149"/>
      <c r="E1074" s="149"/>
      <c r="F1074" s="149"/>
    </row>
    <row r="1075" spans="1:7" s="393" customFormat="1" ht="12" x14ac:dyDescent="0.2">
      <c r="A1075" s="149" t="s">
        <v>488</v>
      </c>
      <c r="B1075" s="149" t="s">
        <v>513</v>
      </c>
      <c r="C1075" s="149"/>
      <c r="D1075" s="149"/>
      <c r="E1075" s="149"/>
      <c r="F1075" s="149"/>
    </row>
    <row r="1076" spans="1:7" s="393" customFormat="1" ht="12" x14ac:dyDescent="0.2">
      <c r="A1076" s="2036" t="s">
        <v>470</v>
      </c>
      <c r="B1076" s="2036"/>
      <c r="C1076" s="149"/>
      <c r="D1076" s="149"/>
      <c r="E1076" s="149"/>
      <c r="F1076" s="149"/>
    </row>
    <row r="1077" spans="1:7" s="393" customFormat="1" ht="24" x14ac:dyDescent="0.2">
      <c r="A1077" s="415" t="s">
        <v>514</v>
      </c>
      <c r="B1077" s="415" t="s">
        <v>11</v>
      </c>
      <c r="C1077" s="2033" t="s">
        <v>12</v>
      </c>
      <c r="D1077" s="2034"/>
      <c r="E1077" s="416" t="s">
        <v>13</v>
      </c>
      <c r="F1077" s="424" t="s">
        <v>14</v>
      </c>
      <c r="G1077" s="417" t="s">
        <v>256</v>
      </c>
    </row>
    <row r="1078" spans="1:7" s="393" customFormat="1" ht="12" x14ac:dyDescent="0.2">
      <c r="A1078" s="418">
        <v>1</v>
      </c>
      <c r="B1078" s="418">
        <v>2</v>
      </c>
      <c r="C1078" s="2041">
        <v>3</v>
      </c>
      <c r="D1078" s="2042"/>
      <c r="E1078" s="419">
        <v>4</v>
      </c>
      <c r="F1078" s="347">
        <v>5</v>
      </c>
      <c r="G1078" s="417">
        <v>6</v>
      </c>
    </row>
    <row r="1079" spans="1:7" s="393" customFormat="1" ht="26.25" customHeight="1" x14ac:dyDescent="0.2">
      <c r="A1079" s="167" t="s">
        <v>759</v>
      </c>
      <c r="B1079" s="168" t="s">
        <v>82</v>
      </c>
      <c r="C1079" s="169"/>
      <c r="D1079" s="170"/>
      <c r="E1079" s="171"/>
      <c r="F1079" s="161"/>
      <c r="G1079" s="205"/>
    </row>
    <row r="1080" spans="1:7" s="393" customFormat="1" ht="28.5" customHeight="1" x14ac:dyDescent="0.2">
      <c r="A1080" s="167" t="s">
        <v>758</v>
      </c>
      <c r="B1080" s="177" t="s">
        <v>84</v>
      </c>
      <c r="C1080" s="178"/>
      <c r="D1080" s="170"/>
      <c r="E1080" s="181"/>
      <c r="F1080" s="181"/>
      <c r="G1080" s="205"/>
    </row>
    <row r="1081" spans="1:7" s="393" customFormat="1" ht="34.5" customHeight="1" x14ac:dyDescent="0.2">
      <c r="A1081" s="167" t="s">
        <v>757</v>
      </c>
      <c r="B1081" s="197" t="s">
        <v>86</v>
      </c>
      <c r="C1081" s="178"/>
      <c r="D1081" s="170"/>
      <c r="E1081" s="181"/>
      <c r="F1081" s="181"/>
      <c r="G1081" s="205"/>
    </row>
    <row r="1082" spans="1:7" s="393" customFormat="1" ht="12" x14ac:dyDescent="0.2">
      <c r="A1082" s="176"/>
      <c r="B1082" s="177" t="s">
        <v>2636</v>
      </c>
      <c r="C1082" s="178">
        <v>2</v>
      </c>
      <c r="D1082" s="170" t="s">
        <v>106</v>
      </c>
      <c r="E1082" s="179">
        <v>45000</v>
      </c>
      <c r="F1082" s="179">
        <f t="shared" ref="F1082:F1086" si="26">E1082*C1082</f>
        <v>90000</v>
      </c>
      <c r="G1082" s="205"/>
    </row>
    <row r="1083" spans="1:7" s="393" customFormat="1" ht="18.75" customHeight="1" x14ac:dyDescent="0.2">
      <c r="A1083" s="176"/>
      <c r="B1083" s="177" t="s">
        <v>1471</v>
      </c>
      <c r="C1083" s="178">
        <v>2</v>
      </c>
      <c r="D1083" s="170" t="s">
        <v>93</v>
      </c>
      <c r="E1083" s="179">
        <v>25000</v>
      </c>
      <c r="F1083" s="179">
        <f t="shared" si="26"/>
        <v>50000</v>
      </c>
      <c r="G1083" s="205"/>
    </row>
    <row r="1084" spans="1:7" s="393" customFormat="1" ht="12" x14ac:dyDescent="0.2">
      <c r="A1084" s="176"/>
      <c r="B1084" s="205" t="s">
        <v>1752</v>
      </c>
      <c r="C1084" s="178">
        <v>5</v>
      </c>
      <c r="D1084" s="170" t="s">
        <v>93</v>
      </c>
      <c r="E1084" s="194">
        <v>9000</v>
      </c>
      <c r="F1084" s="179">
        <f t="shared" si="26"/>
        <v>45000</v>
      </c>
      <c r="G1084" s="205"/>
    </row>
    <row r="1085" spans="1:7" s="393" customFormat="1" ht="20.25" customHeight="1" x14ac:dyDescent="0.2">
      <c r="A1085" s="176"/>
      <c r="B1085" s="177" t="s">
        <v>2637</v>
      </c>
      <c r="C1085" s="178">
        <v>5</v>
      </c>
      <c r="D1085" s="170" t="s">
        <v>93</v>
      </c>
      <c r="E1085" s="194">
        <v>8000</v>
      </c>
      <c r="F1085" s="179">
        <f t="shared" si="26"/>
        <v>40000</v>
      </c>
      <c r="G1085" s="205"/>
    </row>
    <row r="1086" spans="1:7" s="393" customFormat="1" ht="12" x14ac:dyDescent="0.2">
      <c r="A1086" s="167"/>
      <c r="B1086" s="325" t="s">
        <v>1462</v>
      </c>
      <c r="C1086" s="178">
        <v>20</v>
      </c>
      <c r="D1086" s="170" t="s">
        <v>93</v>
      </c>
      <c r="E1086" s="179">
        <v>8000</v>
      </c>
      <c r="F1086" s="194">
        <f t="shared" si="26"/>
        <v>160000</v>
      </c>
      <c r="G1086" s="205"/>
    </row>
    <row r="1087" spans="1:7" s="393" customFormat="1" ht="12" x14ac:dyDescent="0.2">
      <c r="A1087" s="167"/>
      <c r="B1087" s="177"/>
      <c r="C1087" s="178"/>
      <c r="D1087" s="170"/>
      <c r="E1087" s="194"/>
      <c r="F1087" s="194"/>
      <c r="G1087" s="205"/>
    </row>
    <row r="1088" spans="1:7" s="393" customFormat="1" ht="12" x14ac:dyDescent="0.2">
      <c r="A1088" s="167"/>
      <c r="B1088" s="177"/>
      <c r="C1088" s="178"/>
      <c r="D1088" s="170"/>
      <c r="E1088" s="194"/>
      <c r="F1088" s="179"/>
      <c r="G1088" s="205"/>
    </row>
    <row r="1089" spans="1:19" s="393" customFormat="1" ht="48.75" customHeight="1" x14ac:dyDescent="0.2">
      <c r="A1089" s="167" t="s">
        <v>756</v>
      </c>
      <c r="B1089" s="197" t="s">
        <v>146</v>
      </c>
      <c r="C1089" s="178"/>
      <c r="D1089" s="170"/>
      <c r="E1089" s="194"/>
      <c r="F1089" s="179"/>
      <c r="G1089" s="205"/>
    </row>
    <row r="1090" spans="1:19" s="393" customFormat="1" ht="27.75" customHeight="1" x14ac:dyDescent="0.2">
      <c r="A1090" s="167"/>
      <c r="B1090" s="177" t="s">
        <v>2194</v>
      </c>
      <c r="C1090" s="178">
        <v>200</v>
      </c>
      <c r="D1090" s="170" t="s">
        <v>269</v>
      </c>
      <c r="E1090" s="194">
        <v>20000</v>
      </c>
      <c r="F1090" s="179">
        <f>E1090*C1090</f>
        <v>4000000</v>
      </c>
      <c r="G1090" s="205"/>
    </row>
    <row r="1091" spans="1:19" s="393" customFormat="1" ht="12" x14ac:dyDescent="0.2">
      <c r="A1091" s="167"/>
      <c r="B1091" s="177"/>
      <c r="C1091" s="178"/>
      <c r="D1091" s="170"/>
      <c r="E1091" s="194"/>
      <c r="F1091" s="194"/>
      <c r="G1091" s="205"/>
    </row>
    <row r="1092" spans="1:19" s="393" customFormat="1" ht="24" customHeight="1" x14ac:dyDescent="0.2">
      <c r="A1092" s="167" t="s">
        <v>1236</v>
      </c>
      <c r="B1092" s="177" t="s">
        <v>294</v>
      </c>
      <c r="C1092" s="178"/>
      <c r="D1092" s="170"/>
      <c r="E1092" s="194"/>
      <c r="F1092" s="179"/>
      <c r="G1092" s="205"/>
    </row>
    <row r="1093" spans="1:19" s="393" customFormat="1" ht="12" x14ac:dyDescent="0.2">
      <c r="A1093" s="221" t="s">
        <v>1472</v>
      </c>
      <c r="B1093" s="181" t="s">
        <v>1473</v>
      </c>
      <c r="C1093" s="178"/>
      <c r="D1093" s="362"/>
      <c r="E1093" s="179"/>
      <c r="F1093" s="324"/>
      <c r="G1093" s="205"/>
    </row>
    <row r="1094" spans="1:19" s="393" customFormat="1" ht="33" customHeight="1" x14ac:dyDescent="0.2">
      <c r="A1094" s="176"/>
      <c r="B1094" s="177" t="s">
        <v>1237</v>
      </c>
      <c r="C1094" s="178">
        <v>16</v>
      </c>
      <c r="D1094" s="170" t="s">
        <v>21</v>
      </c>
      <c r="E1094" s="194">
        <v>100000</v>
      </c>
      <c r="F1094" s="194">
        <f>E1094*C1094</f>
        <v>1600000</v>
      </c>
      <c r="G1094" s="205"/>
    </row>
    <row r="1095" spans="1:19" s="393" customFormat="1" ht="12" x14ac:dyDescent="0.2">
      <c r="A1095" s="176"/>
      <c r="B1095" s="177"/>
      <c r="C1095" s="178"/>
      <c r="D1095" s="170"/>
      <c r="E1095" s="194"/>
      <c r="F1095" s="194"/>
      <c r="G1095" s="205"/>
    </row>
    <row r="1096" spans="1:19" s="393" customFormat="1" ht="12" x14ac:dyDescent="0.2">
      <c r="A1096" s="1944" t="s">
        <v>26</v>
      </c>
      <c r="B1096" s="1945"/>
      <c r="C1096" s="402"/>
      <c r="D1096" s="403"/>
      <c r="E1096" s="177"/>
      <c r="F1096" s="392">
        <f>SUM(F1079:F1095)</f>
        <v>5985000</v>
      </c>
      <c r="G1096" s="205" t="s">
        <v>2179</v>
      </c>
      <c r="S1096" s="1151">
        <f>F1096</f>
        <v>5985000</v>
      </c>
    </row>
    <row r="1097" spans="1:19" s="393" customFormat="1" ht="12" x14ac:dyDescent="0.2"/>
    <row r="1098" spans="1:19" x14ac:dyDescent="0.25">
      <c r="A1098" s="1926" t="s">
        <v>516</v>
      </c>
      <c r="B1098" s="1926"/>
      <c r="C1098" s="152" t="s">
        <v>27</v>
      </c>
      <c r="D1098" s="1926" t="s">
        <v>3654</v>
      </c>
      <c r="E1098" s="1926"/>
      <c r="F1098" s="1926"/>
      <c r="G1098" s="152"/>
    </row>
    <row r="1099" spans="1:19" x14ac:dyDescent="0.25">
      <c r="A1099" s="1926" t="s">
        <v>28</v>
      </c>
      <c r="B1099" s="1926"/>
      <c r="C1099" s="152"/>
      <c r="D1099" s="1927" t="s">
        <v>3565</v>
      </c>
      <c r="E1099" s="1927"/>
      <c r="F1099" s="1927"/>
      <c r="G1099" s="152"/>
    </row>
    <row r="1100" spans="1:19" x14ac:dyDescent="0.25">
      <c r="A1100" s="150"/>
      <c r="B1100" s="151"/>
      <c r="C1100" s="152"/>
      <c r="D1100" s="153"/>
      <c r="E1100" s="1770"/>
      <c r="F1100" s="182"/>
      <c r="G1100" s="152"/>
    </row>
    <row r="1101" spans="1:19" x14ac:dyDescent="0.25">
      <c r="A1101" s="150"/>
      <c r="B1101" s="151"/>
      <c r="C1101" s="152"/>
      <c r="D1101" s="153"/>
      <c r="E1101" s="1770"/>
      <c r="F1101" s="182"/>
      <c r="G1101" s="152"/>
    </row>
    <row r="1102" spans="1:19" x14ac:dyDescent="0.25">
      <c r="A1102" s="1926"/>
      <c r="B1102" s="1926"/>
      <c r="C1102" s="152"/>
      <c r="D1102" s="153"/>
      <c r="E1102" s="1926"/>
      <c r="F1102" s="1926"/>
      <c r="G1102" s="152"/>
    </row>
    <row r="1103" spans="1:19" x14ac:dyDescent="0.25">
      <c r="A1103" s="1926" t="s">
        <v>29</v>
      </c>
      <c r="B1103" s="1926"/>
      <c r="C1103" s="152"/>
      <c r="D1103" s="1926" t="s">
        <v>3564</v>
      </c>
      <c r="E1103" s="1926"/>
      <c r="F1103" s="1926"/>
      <c r="G1103" s="152"/>
    </row>
    <row r="1104" spans="1:19" s="393" customFormat="1" ht="12" x14ac:dyDescent="0.2">
      <c r="A1104" s="1947" t="s">
        <v>0</v>
      </c>
      <c r="B1104" s="1947"/>
      <c r="C1104" s="1947"/>
      <c r="D1104" s="1947"/>
      <c r="E1104" s="1947"/>
      <c r="F1104" s="1947"/>
      <c r="G1104" s="1947"/>
    </row>
    <row r="1105" spans="1:7" s="393" customFormat="1" ht="12" x14ac:dyDescent="0.2">
      <c r="A1105" s="1947" t="s">
        <v>1</v>
      </c>
      <c r="B1105" s="1947"/>
      <c r="C1105" s="1947"/>
      <c r="D1105" s="1947"/>
      <c r="E1105" s="1947"/>
      <c r="F1105" s="1947"/>
      <c r="G1105" s="1947"/>
    </row>
    <row r="1106" spans="1:7" s="393" customFormat="1" ht="12" x14ac:dyDescent="0.2">
      <c r="A1106" s="1947" t="s">
        <v>2398</v>
      </c>
      <c r="B1106" s="1947"/>
      <c r="C1106" s="1947"/>
      <c r="D1106" s="1947"/>
      <c r="E1106" s="1947"/>
      <c r="F1106" s="1947"/>
      <c r="G1106" s="1947"/>
    </row>
    <row r="1107" spans="1:7" s="393" customFormat="1" ht="12" x14ac:dyDescent="0.2">
      <c r="A1107" s="149" t="s">
        <v>649</v>
      </c>
      <c r="B1107" s="149" t="s">
        <v>648</v>
      </c>
      <c r="C1107" s="149"/>
      <c r="D1107" s="149"/>
      <c r="E1107" s="191" t="s">
        <v>6</v>
      </c>
      <c r="F1107" s="191" t="s">
        <v>62</v>
      </c>
      <c r="G1107" s="149"/>
    </row>
    <row r="1108" spans="1:7" s="393" customFormat="1" ht="12" x14ac:dyDescent="0.2">
      <c r="A1108" s="340" t="s">
        <v>237</v>
      </c>
      <c r="B1108" s="340" t="s">
        <v>647</v>
      </c>
      <c r="C1108" s="340"/>
      <c r="D1108" s="148"/>
      <c r="E1108" s="157" t="s">
        <v>482</v>
      </c>
      <c r="F1108" s="157" t="s">
        <v>62</v>
      </c>
      <c r="G1108" s="149"/>
    </row>
    <row r="1109" spans="1:7" s="393" customFormat="1" ht="23.25" customHeight="1" x14ac:dyDescent="0.2">
      <c r="A1109" s="443" t="s">
        <v>646</v>
      </c>
      <c r="B1109" s="341" t="s">
        <v>2360</v>
      </c>
      <c r="C1109" s="340"/>
      <c r="D1109" s="148"/>
      <c r="E1109" s="414"/>
      <c r="F1109" s="340"/>
      <c r="G1109" s="149"/>
    </row>
    <row r="1110" spans="1:7" s="393" customFormat="1" ht="24" x14ac:dyDescent="0.2">
      <c r="A1110" s="415" t="s">
        <v>514</v>
      </c>
      <c r="B1110" s="415" t="s">
        <v>11</v>
      </c>
      <c r="C1110" s="2033" t="s">
        <v>12</v>
      </c>
      <c r="D1110" s="2034"/>
      <c r="E1110" s="416" t="s">
        <v>13</v>
      </c>
      <c r="F1110" s="424" t="s">
        <v>14</v>
      </c>
      <c r="G1110" s="417" t="s">
        <v>256</v>
      </c>
    </row>
    <row r="1111" spans="1:7" s="393" customFormat="1" ht="12" x14ac:dyDescent="0.2">
      <c r="A1111" s="418">
        <v>1</v>
      </c>
      <c r="B1111" s="418">
        <v>2</v>
      </c>
      <c r="C1111" s="2041">
        <v>3</v>
      </c>
      <c r="D1111" s="2042"/>
      <c r="E1111" s="419">
        <v>4</v>
      </c>
      <c r="F1111" s="347">
        <v>5</v>
      </c>
      <c r="G1111" s="417">
        <v>6</v>
      </c>
    </row>
    <row r="1112" spans="1:7" s="393" customFormat="1" ht="12" x14ac:dyDescent="0.2">
      <c r="A1112" s="346" t="s">
        <v>759</v>
      </c>
      <c r="B1112" s="410" t="s">
        <v>277</v>
      </c>
      <c r="C1112" s="420"/>
      <c r="D1112" s="421"/>
      <c r="E1112" s="422"/>
      <c r="F1112" s="450"/>
      <c r="G1112" s="205"/>
    </row>
    <row r="1113" spans="1:7" s="393" customFormat="1" ht="17.25" customHeight="1" x14ac:dyDescent="0.2">
      <c r="A1113" s="346" t="s">
        <v>758</v>
      </c>
      <c r="B1113" s="410" t="s">
        <v>84</v>
      </c>
      <c r="C1113" s="420"/>
      <c r="D1113" s="421"/>
      <c r="E1113" s="422"/>
      <c r="F1113" s="450"/>
      <c r="G1113" s="205"/>
    </row>
    <row r="1114" spans="1:7" s="393" customFormat="1" ht="27" customHeight="1" x14ac:dyDescent="0.2">
      <c r="A1114" s="346" t="s">
        <v>757</v>
      </c>
      <c r="B1114" s="410" t="s">
        <v>679</v>
      </c>
      <c r="C1114" s="420"/>
      <c r="D1114" s="421"/>
      <c r="E1114" s="422"/>
      <c r="F1114" s="450"/>
      <c r="G1114" s="205"/>
    </row>
    <row r="1115" spans="1:7" s="393" customFormat="1" ht="12" x14ac:dyDescent="0.2">
      <c r="A1115" s="205"/>
      <c r="B1115" s="181" t="s">
        <v>1090</v>
      </c>
      <c r="C1115" s="178">
        <v>300</v>
      </c>
      <c r="D1115" s="362" t="s">
        <v>266</v>
      </c>
      <c r="E1115" s="179">
        <v>350</v>
      </c>
      <c r="F1115" s="450">
        <f>E1115*C1115</f>
        <v>105000</v>
      </c>
      <c r="G1115" s="205"/>
    </row>
    <row r="1116" spans="1:7" s="393" customFormat="1" ht="12" x14ac:dyDescent="0.2">
      <c r="A1116" s="205"/>
      <c r="B1116" s="205" t="s">
        <v>1752</v>
      </c>
      <c r="C1116" s="178">
        <v>35</v>
      </c>
      <c r="D1116" s="362" t="s">
        <v>93</v>
      </c>
      <c r="E1116" s="179">
        <v>5000</v>
      </c>
      <c r="F1116" s="450">
        <f>E1116*C1116</f>
        <v>175000</v>
      </c>
      <c r="G1116" s="205"/>
    </row>
    <row r="1117" spans="1:7" s="393" customFormat="1" ht="12" x14ac:dyDescent="0.2">
      <c r="A1117" s="205"/>
      <c r="B1117" s="205" t="s">
        <v>1460</v>
      </c>
      <c r="C1117" s="178">
        <v>35</v>
      </c>
      <c r="D1117" s="362" t="s">
        <v>93</v>
      </c>
      <c r="E1117" s="179">
        <v>7000</v>
      </c>
      <c r="F1117" s="450">
        <f>E1117*C1117</f>
        <v>245000</v>
      </c>
      <c r="G1117" s="205"/>
    </row>
    <row r="1118" spans="1:7" s="393" customFormat="1" ht="12" x14ac:dyDescent="0.2">
      <c r="A1118" s="205"/>
      <c r="B1118" s="181"/>
      <c r="C1118" s="178"/>
      <c r="D1118" s="362"/>
      <c r="E1118" s="179"/>
      <c r="F1118" s="450"/>
      <c r="G1118" s="205"/>
    </row>
    <row r="1119" spans="1:7" s="393" customFormat="1" ht="29.25" customHeight="1" x14ac:dyDescent="0.2">
      <c r="A1119" s="346" t="s">
        <v>756</v>
      </c>
      <c r="B1119" s="177" t="s">
        <v>307</v>
      </c>
      <c r="C1119" s="178"/>
      <c r="D1119" s="362"/>
      <c r="E1119" s="179"/>
      <c r="F1119" s="450"/>
      <c r="G1119" s="205"/>
    </row>
    <row r="1120" spans="1:7" s="393" customFormat="1" ht="12" x14ac:dyDescent="0.2">
      <c r="A1120" s="205"/>
      <c r="B1120" s="181" t="s">
        <v>2638</v>
      </c>
      <c r="C1120" s="178">
        <v>35</v>
      </c>
      <c r="D1120" s="362" t="s">
        <v>474</v>
      </c>
      <c r="E1120" s="179">
        <v>75000</v>
      </c>
      <c r="F1120" s="450">
        <f>E1120*C1120</f>
        <v>2625000</v>
      </c>
      <c r="G1120" s="205"/>
    </row>
    <row r="1121" spans="1:19" s="393" customFormat="1" ht="12" x14ac:dyDescent="0.2">
      <c r="A1121" s="420"/>
      <c r="B1121" s="181"/>
      <c r="C1121" s="178"/>
      <c r="D1121" s="362"/>
      <c r="E1121" s="179"/>
      <c r="F1121" s="450"/>
      <c r="G1121" s="205"/>
    </row>
    <row r="1122" spans="1:19" s="393" customFormat="1" ht="24.75" customHeight="1" x14ac:dyDescent="0.2">
      <c r="A1122" s="346" t="s">
        <v>1376</v>
      </c>
      <c r="B1122" s="177" t="s">
        <v>325</v>
      </c>
      <c r="C1122" s="178"/>
      <c r="D1122" s="362"/>
      <c r="E1122" s="179"/>
      <c r="F1122" s="450"/>
      <c r="G1122" s="205"/>
    </row>
    <row r="1123" spans="1:19" s="393" customFormat="1" ht="12" x14ac:dyDescent="0.2">
      <c r="A1123" s="420"/>
      <c r="B1123" s="181" t="s">
        <v>326</v>
      </c>
      <c r="C1123" s="178">
        <v>1</v>
      </c>
      <c r="D1123" s="362" t="s">
        <v>93</v>
      </c>
      <c r="E1123" s="179">
        <v>90000</v>
      </c>
      <c r="F1123" s="450">
        <f>E1123*C1123</f>
        <v>90000</v>
      </c>
      <c r="G1123" s="205"/>
    </row>
    <row r="1124" spans="1:19" s="393" customFormat="1" ht="12" x14ac:dyDescent="0.2">
      <c r="A1124" s="420"/>
      <c r="B1124" s="181"/>
      <c r="C1124" s="178"/>
      <c r="D1124" s="362"/>
      <c r="E1124" s="179"/>
      <c r="F1124" s="450"/>
      <c r="G1124" s="205"/>
    </row>
    <row r="1125" spans="1:19" s="393" customFormat="1" ht="33" customHeight="1" x14ac:dyDescent="0.2">
      <c r="A1125" s="346" t="s">
        <v>1464</v>
      </c>
      <c r="B1125" s="410" t="s">
        <v>1465</v>
      </c>
      <c r="C1125" s="178"/>
      <c r="D1125" s="362"/>
      <c r="E1125" s="179"/>
      <c r="F1125" s="450"/>
      <c r="G1125" s="205"/>
    </row>
    <row r="1126" spans="1:19" s="393" customFormat="1" ht="33" customHeight="1" x14ac:dyDescent="0.2">
      <c r="A1126" s="346" t="s">
        <v>1466</v>
      </c>
      <c r="B1126" s="410" t="s">
        <v>359</v>
      </c>
      <c r="C1126" s="178"/>
      <c r="D1126" s="362"/>
      <c r="E1126" s="179"/>
      <c r="F1126" s="450"/>
      <c r="G1126" s="205"/>
    </row>
    <row r="1127" spans="1:19" s="393" customFormat="1" ht="21.75" customHeight="1" x14ac:dyDescent="0.2">
      <c r="A1127" s="518"/>
      <c r="B1127" s="410" t="s">
        <v>1467</v>
      </c>
      <c r="C1127" s="178">
        <v>35</v>
      </c>
      <c r="D1127" s="362" t="s">
        <v>1468</v>
      </c>
      <c r="E1127" s="179">
        <v>50000</v>
      </c>
      <c r="F1127" s="450">
        <f>E1127*C1127</f>
        <v>1750000</v>
      </c>
      <c r="G1127" s="205"/>
    </row>
    <row r="1128" spans="1:19" s="393" customFormat="1" ht="12" x14ac:dyDescent="0.2">
      <c r="A1128" s="420"/>
      <c r="B1128" s="181"/>
      <c r="C1128" s="178"/>
      <c r="D1128" s="362"/>
      <c r="E1128" s="179"/>
      <c r="F1128" s="450"/>
      <c r="G1128" s="205"/>
    </row>
    <row r="1129" spans="1:19" s="393" customFormat="1" ht="12" x14ac:dyDescent="0.2">
      <c r="A1129" s="205"/>
      <c r="B1129" s="476"/>
      <c r="C1129" s="198"/>
      <c r="D1129" s="400"/>
      <c r="E1129" s="377"/>
      <c r="F1129" s="455"/>
      <c r="G1129" s="205"/>
    </row>
    <row r="1130" spans="1:19" s="393" customFormat="1" ht="12" x14ac:dyDescent="0.2">
      <c r="A1130" s="205"/>
      <c r="B1130" s="2076" t="s">
        <v>26</v>
      </c>
      <c r="C1130" s="2076"/>
      <c r="D1130" s="2076"/>
      <c r="E1130" s="2076"/>
      <c r="F1130" s="423">
        <f>SUM(F1113:F1129)</f>
        <v>4990000</v>
      </c>
      <c r="G1130" s="205" t="s">
        <v>2179</v>
      </c>
      <c r="S1130" s="1066">
        <f>F1130</f>
        <v>4990000</v>
      </c>
    </row>
    <row r="1131" spans="1:19" x14ac:dyDescent="0.25">
      <c r="A1131" s="1926" t="s">
        <v>516</v>
      </c>
      <c r="B1131" s="1926"/>
      <c r="C1131" s="152" t="s">
        <v>27</v>
      </c>
      <c r="D1131" s="1926" t="s">
        <v>3654</v>
      </c>
      <c r="E1131" s="1926"/>
      <c r="F1131" s="1926"/>
      <c r="G1131" s="152"/>
    </row>
    <row r="1132" spans="1:19" x14ac:dyDescent="0.25">
      <c r="A1132" s="1926" t="s">
        <v>28</v>
      </c>
      <c r="B1132" s="1926"/>
      <c r="C1132" s="152"/>
      <c r="D1132" s="1927" t="s">
        <v>3565</v>
      </c>
      <c r="E1132" s="1927"/>
      <c r="F1132" s="1927"/>
      <c r="G1132" s="152"/>
    </row>
    <row r="1133" spans="1:19" x14ac:dyDescent="0.25">
      <c r="A1133" s="150"/>
      <c r="B1133" s="151"/>
      <c r="C1133" s="152"/>
      <c r="D1133" s="153"/>
      <c r="E1133" s="1770"/>
      <c r="F1133" s="182"/>
      <c r="G1133" s="152"/>
    </row>
    <row r="1134" spans="1:19" x14ac:dyDescent="0.25">
      <c r="A1134" s="150"/>
      <c r="B1134" s="151"/>
      <c r="C1134" s="152"/>
      <c r="D1134" s="153"/>
      <c r="E1134" s="1770"/>
      <c r="F1134" s="182"/>
      <c r="G1134" s="152"/>
    </row>
    <row r="1135" spans="1:19" x14ac:dyDescent="0.25">
      <c r="A1135" s="1926"/>
      <c r="B1135" s="1926"/>
      <c r="C1135" s="152"/>
      <c r="D1135" s="153"/>
      <c r="E1135" s="1926"/>
      <c r="F1135" s="1926"/>
      <c r="G1135" s="152"/>
    </row>
    <row r="1136" spans="1:19" x14ac:dyDescent="0.25">
      <c r="A1136" s="1926" t="s">
        <v>29</v>
      </c>
      <c r="B1136" s="1926"/>
      <c r="C1136" s="152"/>
      <c r="D1136" s="1926" t="s">
        <v>3564</v>
      </c>
      <c r="E1136" s="1926"/>
      <c r="F1136" s="1926"/>
      <c r="G1136" s="152"/>
    </row>
    <row r="1137" spans="1:7" x14ac:dyDescent="0.25">
      <c r="A1137" s="1928" t="s">
        <v>1285</v>
      </c>
      <c r="B1137" s="1928"/>
      <c r="C1137" s="1928"/>
      <c r="D1137" s="1928"/>
      <c r="E1137" s="1928"/>
      <c r="F1137" s="1928"/>
      <c r="G1137" s="1928"/>
    </row>
    <row r="1138" spans="1:7" x14ac:dyDescent="0.25">
      <c r="A1138" s="1928" t="s">
        <v>1</v>
      </c>
      <c r="B1138" s="1928"/>
      <c r="C1138" s="1928"/>
      <c r="D1138" s="1928"/>
      <c r="E1138" s="1928"/>
      <c r="F1138" s="1928"/>
      <c r="G1138" s="1928"/>
    </row>
    <row r="1139" spans="1:7" x14ac:dyDescent="0.25">
      <c r="A1139" s="1928" t="s">
        <v>2398</v>
      </c>
      <c r="B1139" s="1928"/>
      <c r="C1139" s="1928"/>
      <c r="D1139" s="1928"/>
      <c r="E1139" s="1928"/>
      <c r="F1139" s="1928"/>
      <c r="G1139" s="1928"/>
    </row>
    <row r="1140" spans="1:7" x14ac:dyDescent="0.25">
      <c r="A1140" s="329"/>
      <c r="B1140" s="330"/>
      <c r="C1140" s="331"/>
      <c r="D1140" s="331"/>
      <c r="E1140" s="332"/>
      <c r="F1140" s="332"/>
      <c r="G1140" s="332"/>
    </row>
    <row r="1141" spans="1:7" x14ac:dyDescent="0.25">
      <c r="A1141" s="332" t="s">
        <v>1263</v>
      </c>
      <c r="B1141" s="333"/>
      <c r="C1141" s="334"/>
      <c r="D1141" s="334"/>
      <c r="E1141" s="335"/>
      <c r="F1141" s="335"/>
      <c r="G1141" s="332"/>
    </row>
    <row r="1142" spans="1:7" ht="24.75" x14ac:dyDescent="0.25">
      <c r="A1142" s="336" t="s">
        <v>659</v>
      </c>
      <c r="B1142" s="337" t="s">
        <v>1283</v>
      </c>
      <c r="C1142" s="334"/>
      <c r="D1142" s="334"/>
      <c r="E1142" s="335" t="s">
        <v>1264</v>
      </c>
      <c r="F1142" s="335"/>
      <c r="G1142" s="332"/>
    </row>
    <row r="1143" spans="1:7" ht="60" x14ac:dyDescent="0.25">
      <c r="A1143" s="338" t="s">
        <v>685</v>
      </c>
      <c r="B1143" s="339" t="s">
        <v>3327</v>
      </c>
      <c r="C1143" s="334"/>
      <c r="D1143" s="334"/>
      <c r="E1143" s="335" t="s">
        <v>1265</v>
      </c>
      <c r="F1143" s="335"/>
      <c r="G1143" s="336"/>
    </row>
    <row r="1144" spans="1:7" ht="45" x14ac:dyDescent="0.25">
      <c r="A1144" s="338" t="s">
        <v>1266</v>
      </c>
      <c r="B1144" s="339" t="s">
        <v>3494</v>
      </c>
      <c r="C1144" s="334"/>
      <c r="D1144" s="334"/>
      <c r="E1144" s="335"/>
      <c r="F1144" s="335"/>
      <c r="G1144" s="336"/>
    </row>
    <row r="1145" spans="1:7" x14ac:dyDescent="0.25">
      <c r="A1145" s="332" t="s">
        <v>1267</v>
      </c>
      <c r="B1145" s="333" t="s">
        <v>60</v>
      </c>
      <c r="C1145" s="334"/>
      <c r="D1145" s="334"/>
      <c r="E1145" s="332"/>
      <c r="F1145" s="332"/>
      <c r="G1145" s="332"/>
    </row>
    <row r="1146" spans="1:7" x14ac:dyDescent="0.25">
      <c r="A1146" s="336" t="s">
        <v>61</v>
      </c>
      <c r="B1146" s="337" t="s">
        <v>62</v>
      </c>
      <c r="C1146" s="334"/>
      <c r="D1146" s="334"/>
      <c r="E1146" s="336"/>
      <c r="F1146" s="336"/>
      <c r="G1146" s="336"/>
    </row>
    <row r="1147" spans="1:7" x14ac:dyDescent="0.25">
      <c r="A1147" s="340"/>
      <c r="B1147" s="341"/>
      <c r="C1147" s="342"/>
      <c r="D1147" s="342"/>
      <c r="E1147" s="340"/>
      <c r="F1147" s="340"/>
      <c r="G1147" s="340"/>
    </row>
    <row r="1148" spans="1:7" ht="24" x14ac:dyDescent="0.25">
      <c r="A1148" s="343" t="s">
        <v>30</v>
      </c>
      <c r="B1148" s="343" t="s">
        <v>11</v>
      </c>
      <c r="C1148" s="1929" t="s">
        <v>12</v>
      </c>
      <c r="D1148" s="1930"/>
      <c r="E1148" s="121" t="s">
        <v>13</v>
      </c>
      <c r="F1148" s="344" t="s">
        <v>14</v>
      </c>
      <c r="G1148" s="872" t="s">
        <v>256</v>
      </c>
    </row>
    <row r="1149" spans="1:7" x14ac:dyDescent="0.25">
      <c r="A1149" s="161">
        <v>1</v>
      </c>
      <c r="B1149" s="162">
        <v>2</v>
      </c>
      <c r="C1149" s="1931">
        <v>3</v>
      </c>
      <c r="D1149" s="1932"/>
      <c r="E1149" s="2">
        <v>4</v>
      </c>
      <c r="F1149" s="169">
        <v>5</v>
      </c>
      <c r="G1149" s="367">
        <v>7</v>
      </c>
    </row>
    <row r="1150" spans="1:7" x14ac:dyDescent="0.25">
      <c r="A1150" s="346" t="s">
        <v>1683</v>
      </c>
      <c r="B1150" s="122" t="s">
        <v>1284</v>
      </c>
      <c r="C1150" s="123"/>
      <c r="D1150" s="124"/>
      <c r="E1150" s="125"/>
      <c r="F1150" s="126"/>
      <c r="G1150" s="367"/>
    </row>
    <row r="1151" spans="1:7" x14ac:dyDescent="0.25">
      <c r="A1151" s="346" t="s">
        <v>1684</v>
      </c>
      <c r="B1151" s="122" t="s">
        <v>1658</v>
      </c>
      <c r="C1151" s="123"/>
      <c r="D1151" s="124"/>
      <c r="E1151" s="125"/>
      <c r="F1151" s="126"/>
      <c r="G1151" s="367"/>
    </row>
    <row r="1152" spans="1:7" ht="24" x14ac:dyDescent="0.25">
      <c r="A1152" s="346" t="s">
        <v>1685</v>
      </c>
      <c r="B1152" s="122" t="s">
        <v>1279</v>
      </c>
      <c r="C1152" s="347"/>
      <c r="D1152" s="124"/>
      <c r="E1152" s="125"/>
      <c r="F1152" s="126"/>
      <c r="G1152" s="367"/>
    </row>
    <row r="1153" spans="1:7" ht="15.75" thickBot="1" x14ac:dyDescent="0.3">
      <c r="A1153" s="220"/>
      <c r="B1153" s="127" t="s">
        <v>1660</v>
      </c>
      <c r="C1153" s="347">
        <v>1</v>
      </c>
      <c r="D1153" s="124" t="s">
        <v>444</v>
      </c>
      <c r="E1153" s="125">
        <v>697000</v>
      </c>
      <c r="F1153" s="126">
        <f>E1153*C1153</f>
        <v>697000</v>
      </c>
      <c r="G1153" s="367"/>
    </row>
    <row r="1154" spans="1:7" ht="15.75" thickBot="1" x14ac:dyDescent="0.3">
      <c r="A1154" s="171"/>
      <c r="B1154" s="1933" t="s">
        <v>515</v>
      </c>
      <c r="C1154" s="1934"/>
      <c r="D1154" s="1934"/>
      <c r="E1154" s="1935"/>
      <c r="F1154" s="132">
        <f>SUM(F1153:F1153)</f>
        <v>697000</v>
      </c>
      <c r="G1154" s="367"/>
    </row>
    <row r="1155" spans="1:7" x14ac:dyDescent="0.25">
      <c r="A1155" s="346" t="s">
        <v>1686</v>
      </c>
      <c r="B1155" s="349" t="s">
        <v>1268</v>
      </c>
      <c r="C1155" s="174"/>
      <c r="D1155" s="175"/>
      <c r="E1155" s="171"/>
      <c r="F1155" s="133"/>
      <c r="G1155" s="367"/>
    </row>
    <row r="1156" spans="1:7" x14ac:dyDescent="0.25">
      <c r="A1156" s="346"/>
      <c r="B1156" s="350" t="s">
        <v>1269</v>
      </c>
      <c r="C1156" s="169">
        <v>28</v>
      </c>
      <c r="D1156" s="170" t="s">
        <v>392</v>
      </c>
      <c r="E1156" s="141">
        <v>150000</v>
      </c>
      <c r="F1156" s="126">
        <f>E1156*C1156</f>
        <v>4200000</v>
      </c>
      <c r="G1156" s="367"/>
    </row>
    <row r="1157" spans="1:7" ht="15.75" thickBot="1" x14ac:dyDescent="0.3">
      <c r="A1157" s="346"/>
      <c r="B1157" s="351" t="s">
        <v>1270</v>
      </c>
      <c r="C1157" s="352">
        <v>60</v>
      </c>
      <c r="D1157" s="199" t="s">
        <v>392</v>
      </c>
      <c r="E1157" s="140">
        <v>120000</v>
      </c>
      <c r="F1157" s="131">
        <f>E1157*C1157</f>
        <v>7200000</v>
      </c>
      <c r="G1157" s="367"/>
    </row>
    <row r="1158" spans="1:7" ht="15.75" thickBot="1" x14ac:dyDescent="0.3">
      <c r="A1158" s="353"/>
      <c r="B1158" s="1936" t="s">
        <v>515</v>
      </c>
      <c r="C1158" s="1937"/>
      <c r="D1158" s="1937"/>
      <c r="E1158" s="1938"/>
      <c r="F1158" s="132">
        <f>SUM(F1156:F1157)</f>
        <v>11400000</v>
      </c>
      <c r="G1158" s="871"/>
    </row>
    <row r="1159" spans="1:7" x14ac:dyDescent="0.25">
      <c r="A1159" s="346" t="s">
        <v>1687</v>
      </c>
      <c r="B1159" s="316" t="s">
        <v>1271</v>
      </c>
      <c r="C1159" s="174"/>
      <c r="D1159" s="175"/>
      <c r="E1159" s="171"/>
      <c r="F1159" s="133"/>
      <c r="G1159" s="367"/>
    </row>
    <row r="1160" spans="1:7" x14ac:dyDescent="0.25">
      <c r="A1160" s="171"/>
      <c r="B1160" s="177" t="s">
        <v>1281</v>
      </c>
      <c r="C1160" s="873">
        <v>109</v>
      </c>
      <c r="D1160" s="170" t="s">
        <v>1275</v>
      </c>
      <c r="E1160" s="179">
        <v>152000</v>
      </c>
      <c r="F1160" s="126">
        <f>E1160*C1160</f>
        <v>16568000</v>
      </c>
      <c r="G1160" s="367"/>
    </row>
    <row r="1161" spans="1:7" x14ac:dyDescent="0.25">
      <c r="A1161" s="171"/>
      <c r="B1161" s="177" t="s">
        <v>1280</v>
      </c>
      <c r="C1161" s="873">
        <v>11</v>
      </c>
      <c r="D1161" s="170" t="s">
        <v>767</v>
      </c>
      <c r="E1161" s="179">
        <v>187000</v>
      </c>
      <c r="F1161" s="126">
        <f t="shared" ref="F1161:F1163" si="27">E1161*C1161</f>
        <v>2057000</v>
      </c>
      <c r="G1161" s="367"/>
    </row>
    <row r="1162" spans="1:7" x14ac:dyDescent="0.25">
      <c r="A1162" s="171"/>
      <c r="B1162" s="127" t="s">
        <v>1273</v>
      </c>
      <c r="C1162" s="347">
        <v>660</v>
      </c>
      <c r="D1162" s="124" t="s">
        <v>154</v>
      </c>
      <c r="E1162" s="125">
        <v>3000</v>
      </c>
      <c r="F1162" s="126">
        <f t="shared" si="27"/>
        <v>1980000</v>
      </c>
      <c r="G1162" s="367"/>
    </row>
    <row r="1163" spans="1:7" x14ac:dyDescent="0.25">
      <c r="A1163" s="346"/>
      <c r="B1163" s="127" t="s">
        <v>1282</v>
      </c>
      <c r="C1163" s="347">
        <v>7</v>
      </c>
      <c r="D1163" s="124" t="s">
        <v>106</v>
      </c>
      <c r="E1163" s="125">
        <v>164000</v>
      </c>
      <c r="F1163" s="126">
        <f t="shared" si="27"/>
        <v>1148000</v>
      </c>
      <c r="G1163" s="367"/>
    </row>
    <row r="1164" spans="1:7" x14ac:dyDescent="0.25">
      <c r="A1164" s="355"/>
      <c r="B1164" s="128" t="s">
        <v>1276</v>
      </c>
      <c r="C1164" s="348">
        <v>1</v>
      </c>
      <c r="D1164" s="129" t="s">
        <v>106</v>
      </c>
      <c r="E1164" s="130">
        <v>250000</v>
      </c>
      <c r="F1164" s="131">
        <f>E1164*C1164</f>
        <v>250000</v>
      </c>
      <c r="G1164" s="367"/>
    </row>
    <row r="1165" spans="1:7" x14ac:dyDescent="0.25">
      <c r="A1165" s="355"/>
      <c r="B1165" s="128" t="s">
        <v>1277</v>
      </c>
      <c r="C1165" s="348">
        <v>1</v>
      </c>
      <c r="D1165" s="129" t="s">
        <v>106</v>
      </c>
      <c r="E1165" s="130">
        <v>500000</v>
      </c>
      <c r="F1165" s="131">
        <f t="shared" ref="F1165:F1167" si="28">E1165*C1165</f>
        <v>500000</v>
      </c>
      <c r="G1165" s="367"/>
    </row>
    <row r="1166" spans="1:7" ht="16.5" x14ac:dyDescent="0.25">
      <c r="A1166" s="355"/>
      <c r="B1166" s="146" t="s">
        <v>1672</v>
      </c>
      <c r="C1166" s="174">
        <v>2</v>
      </c>
      <c r="D1166" s="175" t="s">
        <v>767</v>
      </c>
      <c r="E1166" s="866">
        <v>210000</v>
      </c>
      <c r="F1166" s="133">
        <f t="shared" si="28"/>
        <v>420000</v>
      </c>
      <c r="G1166" s="166"/>
    </row>
    <row r="1167" spans="1:7" ht="17.25" thickBot="1" x14ac:dyDescent="0.3">
      <c r="A1167" s="355"/>
      <c r="B1167" s="1112" t="s">
        <v>1673</v>
      </c>
      <c r="C1167" s="174">
        <v>2</v>
      </c>
      <c r="D1167" s="175" t="s">
        <v>767</v>
      </c>
      <c r="E1167" s="866">
        <v>281000</v>
      </c>
      <c r="F1167" s="133">
        <f t="shared" si="28"/>
        <v>562000</v>
      </c>
      <c r="G1167" s="166"/>
    </row>
    <row r="1168" spans="1:7" ht="15.75" thickBot="1" x14ac:dyDescent="0.3">
      <c r="A1168" s="174"/>
      <c r="B1168" s="1933" t="s">
        <v>515</v>
      </c>
      <c r="C1168" s="1934"/>
      <c r="D1168" s="1934"/>
      <c r="E1168" s="1935"/>
      <c r="F1168" s="132">
        <f>SUM(F1160:F1167)</f>
        <v>23485000</v>
      </c>
      <c r="G1168" s="871"/>
    </row>
    <row r="1169" spans="1:12" ht="15.75" thickBot="1" x14ac:dyDescent="0.3">
      <c r="A1169" s="174"/>
      <c r="B1169" s="1933" t="s">
        <v>26</v>
      </c>
      <c r="C1169" s="1934"/>
      <c r="D1169" s="1934"/>
      <c r="E1169" s="1935"/>
      <c r="F1169" s="1618">
        <f>F1168+F1158+F1154</f>
        <v>35582000</v>
      </c>
      <c r="G1169" s="871" t="s">
        <v>1222</v>
      </c>
      <c r="L1169" s="139">
        <f>F1169</f>
        <v>35582000</v>
      </c>
    </row>
    <row r="1170" spans="1:12" x14ac:dyDescent="0.25">
      <c r="E1170" s="23"/>
      <c r="F1170" s="23"/>
    </row>
    <row r="1171" spans="1:12" x14ac:dyDescent="0.25">
      <c r="A1171" s="1926" t="s">
        <v>516</v>
      </c>
      <c r="B1171" s="1926"/>
      <c r="C1171" s="152" t="s">
        <v>27</v>
      </c>
      <c r="D1171" s="1926" t="s">
        <v>3654</v>
      </c>
      <c r="E1171" s="1926"/>
      <c r="F1171" s="1926"/>
      <c r="G1171" s="152"/>
    </row>
    <row r="1172" spans="1:12" x14ac:dyDescent="0.25">
      <c r="A1172" s="1926" t="s">
        <v>28</v>
      </c>
      <c r="B1172" s="1926"/>
      <c r="C1172" s="152"/>
      <c r="D1172" s="1927" t="s">
        <v>3565</v>
      </c>
      <c r="E1172" s="1927"/>
      <c r="F1172" s="1927"/>
      <c r="G1172" s="152"/>
    </row>
    <row r="1173" spans="1:12" x14ac:dyDescent="0.25">
      <c r="A1173" s="150"/>
      <c r="B1173" s="151"/>
      <c r="C1173" s="152"/>
      <c r="D1173" s="153"/>
      <c r="E1173" s="1770"/>
      <c r="F1173" s="182"/>
      <c r="G1173" s="152"/>
    </row>
    <row r="1174" spans="1:12" x14ac:dyDescent="0.25">
      <c r="A1174" s="150"/>
      <c r="B1174" s="151"/>
      <c r="C1174" s="152"/>
      <c r="D1174" s="153"/>
      <c r="E1174" s="1770"/>
      <c r="F1174" s="182"/>
      <c r="G1174" s="152"/>
    </row>
    <row r="1175" spans="1:12" x14ac:dyDescent="0.25">
      <c r="A1175" s="1926"/>
      <c r="B1175" s="1926"/>
      <c r="C1175" s="152"/>
      <c r="D1175" s="153"/>
      <c r="E1175" s="1926"/>
      <c r="F1175" s="1926"/>
      <c r="G1175" s="152"/>
    </row>
    <row r="1176" spans="1:12" x14ac:dyDescent="0.25">
      <c r="A1176" s="1926" t="s">
        <v>29</v>
      </c>
      <c r="B1176" s="1926"/>
      <c r="C1176" s="152"/>
      <c r="D1176" s="1926" t="s">
        <v>3564</v>
      </c>
      <c r="E1176" s="1926"/>
      <c r="F1176" s="1926"/>
      <c r="G1176" s="152"/>
    </row>
    <row r="1177" spans="1:12" x14ac:dyDescent="0.25">
      <c r="A1177" s="2010" t="s">
        <v>1285</v>
      </c>
      <c r="B1177" s="2010"/>
      <c r="C1177" s="2010"/>
      <c r="D1177" s="2010"/>
      <c r="E1177" s="2010"/>
      <c r="F1177" s="2010"/>
      <c r="G1177" s="2010"/>
    </row>
    <row r="1178" spans="1:12" x14ac:dyDescent="0.25">
      <c r="A1178" s="2010" t="s">
        <v>1</v>
      </c>
      <c r="B1178" s="2010"/>
      <c r="C1178" s="2010"/>
      <c r="D1178" s="2010"/>
      <c r="E1178" s="2010"/>
      <c r="F1178" s="2010"/>
      <c r="G1178" s="2010"/>
    </row>
    <row r="1179" spans="1:12" x14ac:dyDescent="0.25">
      <c r="A1179" s="2010" t="s">
        <v>2398</v>
      </c>
      <c r="B1179" s="2010"/>
      <c r="C1179" s="2010"/>
      <c r="D1179" s="2010"/>
      <c r="E1179" s="2010"/>
      <c r="F1179" s="2010"/>
      <c r="G1179" s="2010"/>
    </row>
    <row r="1180" spans="1:12" x14ac:dyDescent="0.25">
      <c r="A1180" s="1209"/>
      <c r="B1180" s="1210"/>
      <c r="C1180" s="1211"/>
      <c r="D1180" s="1211"/>
      <c r="E1180" s="1212"/>
      <c r="F1180" s="1212"/>
      <c r="G1180" s="1212"/>
    </row>
    <row r="1181" spans="1:12" x14ac:dyDescent="0.25">
      <c r="A1181" s="1212" t="s">
        <v>1263</v>
      </c>
      <c r="B1181" s="1213"/>
      <c r="C1181" s="1214"/>
      <c r="D1181" s="1214"/>
      <c r="E1181" s="1215"/>
      <c r="F1181" s="1215"/>
      <c r="G1181" s="1212"/>
    </row>
    <row r="1182" spans="1:12" ht="24.75" x14ac:dyDescent="0.25">
      <c r="A1182" s="1216" t="s">
        <v>659</v>
      </c>
      <c r="B1182" s="1217" t="s">
        <v>1283</v>
      </c>
      <c r="C1182" s="1214"/>
      <c r="D1182" s="1214"/>
      <c r="E1182" s="1215" t="s">
        <v>1264</v>
      </c>
      <c r="F1182" s="1215"/>
      <c r="G1182" s="1212"/>
    </row>
    <row r="1183" spans="1:12" ht="45" x14ac:dyDescent="0.25">
      <c r="A1183" s="1218" t="s">
        <v>685</v>
      </c>
      <c r="B1183" s="1219" t="s">
        <v>3123</v>
      </c>
      <c r="C1183" s="1214"/>
      <c r="D1183" s="1214"/>
      <c r="E1183" s="1215" t="s">
        <v>1265</v>
      </c>
      <c r="F1183" s="1215"/>
      <c r="G1183" s="1216"/>
    </row>
    <row r="1184" spans="1:12" ht="45" x14ac:dyDescent="0.25">
      <c r="A1184" s="1218" t="s">
        <v>1266</v>
      </c>
      <c r="B1184" s="1219" t="s">
        <v>3124</v>
      </c>
      <c r="C1184" s="1214"/>
      <c r="D1184" s="1214"/>
      <c r="E1184" s="1215"/>
      <c r="F1184" s="1215"/>
      <c r="G1184" s="1216"/>
    </row>
    <row r="1185" spans="1:7" x14ac:dyDescent="0.25">
      <c r="A1185" s="1212" t="s">
        <v>1267</v>
      </c>
      <c r="B1185" s="1213" t="s">
        <v>60</v>
      </c>
      <c r="C1185" s="1214"/>
      <c r="D1185" s="1214"/>
      <c r="E1185" s="1212"/>
      <c r="F1185" s="1212"/>
      <c r="G1185" s="1212"/>
    </row>
    <row r="1186" spans="1:7" x14ac:dyDescent="0.25">
      <c r="A1186" s="1216" t="s">
        <v>61</v>
      </c>
      <c r="B1186" s="1217" t="s">
        <v>62</v>
      </c>
      <c r="C1186" s="1214"/>
      <c r="D1186" s="1214"/>
      <c r="E1186" s="1216"/>
      <c r="F1186" s="1216"/>
      <c r="G1186" s="1216"/>
    </row>
    <row r="1187" spans="1:7" x14ac:dyDescent="0.25">
      <c r="A1187" s="1220"/>
      <c r="B1187" s="1221"/>
      <c r="C1187" s="1222"/>
      <c r="D1187" s="1222"/>
      <c r="E1187" s="1220"/>
      <c r="F1187" s="1220"/>
      <c r="G1187" s="1220"/>
    </row>
    <row r="1188" spans="1:7" ht="24" x14ac:dyDescent="0.25">
      <c r="A1188" s="1223" t="s">
        <v>30</v>
      </c>
      <c r="B1188" s="1223" t="s">
        <v>11</v>
      </c>
      <c r="C1188" s="2011" t="s">
        <v>12</v>
      </c>
      <c r="D1188" s="2012"/>
      <c r="E1188" s="1225" t="s">
        <v>13</v>
      </c>
      <c r="F1188" s="1224" t="s">
        <v>14</v>
      </c>
      <c r="G1188" s="1226" t="s">
        <v>256</v>
      </c>
    </row>
    <row r="1189" spans="1:7" x14ac:dyDescent="0.25">
      <c r="A1189" s="1227">
        <v>1</v>
      </c>
      <c r="B1189" s="1228">
        <v>2</v>
      </c>
      <c r="C1189" s="2013">
        <v>3</v>
      </c>
      <c r="D1189" s="2014"/>
      <c r="E1189" s="1231">
        <v>4</v>
      </c>
      <c r="F1189" s="1229">
        <v>5</v>
      </c>
      <c r="G1189" s="1232">
        <v>7</v>
      </c>
    </row>
    <row r="1190" spans="1:7" x14ac:dyDescent="0.25">
      <c r="A1190" s="1233" t="s">
        <v>1683</v>
      </c>
      <c r="B1190" s="1234" t="s">
        <v>1284</v>
      </c>
      <c r="C1190" s="1235"/>
      <c r="D1190" s="1236"/>
      <c r="E1190" s="1237"/>
      <c r="F1190" s="1238"/>
      <c r="G1190" s="1232"/>
    </row>
    <row r="1191" spans="1:7" x14ac:dyDescent="0.25">
      <c r="A1191" s="1233" t="s">
        <v>1684</v>
      </c>
      <c r="B1191" s="1234" t="s">
        <v>1658</v>
      </c>
      <c r="C1191" s="1235"/>
      <c r="D1191" s="1236"/>
      <c r="E1191" s="1237"/>
      <c r="F1191" s="1238"/>
      <c r="G1191" s="1232"/>
    </row>
    <row r="1192" spans="1:7" ht="24" x14ac:dyDescent="0.25">
      <c r="A1192" s="1233" t="s">
        <v>1685</v>
      </c>
      <c r="B1192" s="1234" t="s">
        <v>1279</v>
      </c>
      <c r="C1192" s="1239"/>
      <c r="D1192" s="1236"/>
      <c r="E1192" s="1237"/>
      <c r="F1192" s="1238"/>
      <c r="G1192" s="1232"/>
    </row>
    <row r="1193" spans="1:7" ht="15.75" thickBot="1" x14ac:dyDescent="0.3">
      <c r="A1193" s="1240"/>
      <c r="B1193" s="1241" t="s">
        <v>179</v>
      </c>
      <c r="C1193" s="1239">
        <v>1</v>
      </c>
      <c r="D1193" s="1236" t="s">
        <v>444</v>
      </c>
      <c r="E1193" s="1237">
        <v>2200000</v>
      </c>
      <c r="F1193" s="1238">
        <f>E1193*C1193</f>
        <v>2200000</v>
      </c>
      <c r="G1193" s="1232"/>
    </row>
    <row r="1194" spans="1:7" ht="15.75" thickBot="1" x14ac:dyDescent="0.3">
      <c r="A1194" s="1242"/>
      <c r="B1194" s="2015" t="s">
        <v>515</v>
      </c>
      <c r="C1194" s="2016"/>
      <c r="D1194" s="2016"/>
      <c r="E1194" s="2017"/>
      <c r="F1194" s="1243">
        <f>SUM(F1193:F1193)</f>
        <v>2200000</v>
      </c>
      <c r="G1194" s="1232"/>
    </row>
    <row r="1195" spans="1:7" x14ac:dyDescent="0.25">
      <c r="A1195" s="1233" t="s">
        <v>1686</v>
      </c>
      <c r="B1195" s="1244" t="s">
        <v>1268</v>
      </c>
      <c r="C1195" s="1245"/>
      <c r="D1195" s="1246"/>
      <c r="E1195" s="1242"/>
      <c r="F1195" s="1247"/>
      <c r="G1195" s="1232"/>
    </row>
    <row r="1196" spans="1:7" x14ac:dyDescent="0.25">
      <c r="A1196" s="1233"/>
      <c r="B1196" s="1263" t="s">
        <v>1269</v>
      </c>
      <c r="C1196" s="1229">
        <v>90</v>
      </c>
      <c r="D1196" s="1230" t="s">
        <v>392</v>
      </c>
      <c r="E1196" s="1264">
        <v>150000</v>
      </c>
      <c r="F1196" s="1238">
        <f>E1196*C1196</f>
        <v>13500000</v>
      </c>
      <c r="G1196" s="1232"/>
    </row>
    <row r="1197" spans="1:7" ht="15.75" thickBot="1" x14ac:dyDescent="0.3">
      <c r="A1197" s="1233"/>
      <c r="B1197" s="1248" t="s">
        <v>1270</v>
      </c>
      <c r="C1197" s="1249">
        <v>214</v>
      </c>
      <c r="D1197" s="1250" t="s">
        <v>392</v>
      </c>
      <c r="E1197" s="1251">
        <v>120000</v>
      </c>
      <c r="F1197" s="1252">
        <f>E1197*C1197</f>
        <v>25680000</v>
      </c>
      <c r="G1197" s="1232"/>
    </row>
    <row r="1198" spans="1:7" ht="15.75" thickBot="1" x14ac:dyDescent="0.3">
      <c r="A1198" s="1253"/>
      <c r="B1198" s="2018" t="s">
        <v>515</v>
      </c>
      <c r="C1198" s="2019"/>
      <c r="D1198" s="2019"/>
      <c r="E1198" s="2020"/>
      <c r="F1198" s="1243">
        <f>SUM(F1196:F1197)</f>
        <v>39180000</v>
      </c>
      <c r="G1198" s="1254"/>
    </row>
    <row r="1199" spans="1:7" x14ac:dyDescent="0.25">
      <c r="A1199" s="1233" t="s">
        <v>1687</v>
      </c>
      <c r="B1199" s="1265" t="s">
        <v>1271</v>
      </c>
      <c r="C1199" s="1245"/>
      <c r="D1199" s="1246"/>
      <c r="E1199" s="1242"/>
      <c r="F1199" s="1247"/>
      <c r="G1199" s="1232"/>
    </row>
    <row r="1200" spans="1:7" x14ac:dyDescent="0.25">
      <c r="A1200" s="1242"/>
      <c r="B1200" s="911" t="s">
        <v>1281</v>
      </c>
      <c r="C1200" s="1456">
        <v>239</v>
      </c>
      <c r="D1200" s="1230" t="s">
        <v>1275</v>
      </c>
      <c r="E1200" s="945">
        <v>152000</v>
      </c>
      <c r="F1200" s="1238">
        <f>E1200*C1200</f>
        <v>36328000</v>
      </c>
      <c r="G1200" s="1232"/>
    </row>
    <row r="1201" spans="1:12" x14ac:dyDescent="0.25">
      <c r="A1201" s="1242"/>
      <c r="B1201" s="911" t="s">
        <v>1280</v>
      </c>
      <c r="C1201" s="1456">
        <v>24</v>
      </c>
      <c r="D1201" s="1230" t="s">
        <v>767</v>
      </c>
      <c r="E1201" s="945">
        <v>187000</v>
      </c>
      <c r="F1201" s="1238">
        <f t="shared" ref="F1201:F1204" si="29">E1201*C1201</f>
        <v>4488000</v>
      </c>
      <c r="G1201" s="1232"/>
    </row>
    <row r="1202" spans="1:12" x14ac:dyDescent="0.25">
      <c r="A1202" s="1242"/>
      <c r="B1202" s="1241" t="s">
        <v>1273</v>
      </c>
      <c r="C1202" s="1239">
        <v>220</v>
      </c>
      <c r="D1202" s="1236" t="s">
        <v>154</v>
      </c>
      <c r="E1202" s="1237">
        <v>3000</v>
      </c>
      <c r="F1202" s="1238">
        <f t="shared" si="29"/>
        <v>660000</v>
      </c>
      <c r="G1202" s="1232"/>
    </row>
    <row r="1203" spans="1:12" x14ac:dyDescent="0.25">
      <c r="A1203" s="1242"/>
      <c r="B1203" s="1241" t="s">
        <v>1722</v>
      </c>
      <c r="C1203" s="1239">
        <v>189</v>
      </c>
      <c r="D1203" s="1236" t="s">
        <v>106</v>
      </c>
      <c r="E1203" s="1237">
        <v>164000</v>
      </c>
      <c r="F1203" s="1238">
        <f t="shared" si="29"/>
        <v>30996000</v>
      </c>
      <c r="G1203" s="1232"/>
    </row>
    <row r="1204" spans="1:12" x14ac:dyDescent="0.25">
      <c r="A1204" s="1233"/>
      <c r="B1204" s="1241" t="s">
        <v>1282</v>
      </c>
      <c r="C1204" s="1239">
        <v>21</v>
      </c>
      <c r="D1204" s="1236" t="s">
        <v>106</v>
      </c>
      <c r="E1204" s="1237">
        <v>96000</v>
      </c>
      <c r="F1204" s="1238">
        <f t="shared" si="29"/>
        <v>2016000</v>
      </c>
      <c r="G1204" s="1232"/>
    </row>
    <row r="1205" spans="1:12" x14ac:dyDescent="0.25">
      <c r="A1205" s="1266"/>
      <c r="B1205" s="1255" t="s">
        <v>1276</v>
      </c>
      <c r="C1205" s="1256">
        <v>1</v>
      </c>
      <c r="D1205" s="1257" t="s">
        <v>106</v>
      </c>
      <c r="E1205" s="1258">
        <v>250000</v>
      </c>
      <c r="F1205" s="1252">
        <f>E1205*C1205</f>
        <v>250000</v>
      </c>
      <c r="G1205" s="1232"/>
    </row>
    <row r="1206" spans="1:12" ht="15.75" thickBot="1" x14ac:dyDescent="0.3">
      <c r="A1206" s="1266"/>
      <c r="B1206" s="1255" t="s">
        <v>1277</v>
      </c>
      <c r="C1206" s="1256">
        <v>1</v>
      </c>
      <c r="D1206" s="1257" t="s">
        <v>106</v>
      </c>
      <c r="E1206" s="1258">
        <v>500000</v>
      </c>
      <c r="F1206" s="1252">
        <f t="shared" ref="F1206" si="30">E1206*C1206</f>
        <v>500000</v>
      </c>
      <c r="G1206" s="1232"/>
    </row>
    <row r="1207" spans="1:12" ht="15.75" thickBot="1" x14ac:dyDescent="0.3">
      <c r="A1207" s="1245"/>
      <c r="B1207" s="2015" t="s">
        <v>515</v>
      </c>
      <c r="C1207" s="2016"/>
      <c r="D1207" s="2016"/>
      <c r="E1207" s="2017"/>
      <c r="F1207" s="1243">
        <f>SUM(F1200:F1206)</f>
        <v>75238000</v>
      </c>
      <c r="G1207" s="1254"/>
    </row>
    <row r="1208" spans="1:12" ht="15.75" thickBot="1" x14ac:dyDescent="0.3">
      <c r="A1208" s="1245"/>
      <c r="B1208" s="2015" t="s">
        <v>26</v>
      </c>
      <c r="C1208" s="2016"/>
      <c r="D1208" s="2016"/>
      <c r="E1208" s="2017"/>
      <c r="F1208" s="1243">
        <f>F1207+F1198+F1194</f>
        <v>116618000</v>
      </c>
      <c r="G1208" s="1254"/>
      <c r="L1208" s="139"/>
    </row>
    <row r="1209" spans="1:12" x14ac:dyDescent="0.25">
      <c r="A1209" s="1260"/>
      <c r="B1209" s="1457"/>
      <c r="C1209" s="1457"/>
      <c r="D1209" s="1457"/>
      <c r="E1209" s="1457"/>
      <c r="F1209" s="1458"/>
      <c r="G1209" s="1377"/>
    </row>
    <row r="1210" spans="1:12" x14ac:dyDescent="0.25">
      <c r="A1210" s="1969" t="s">
        <v>516</v>
      </c>
      <c r="B1210" s="1969"/>
      <c r="C1210" s="1259" t="s">
        <v>27</v>
      </c>
      <c r="D1210" s="1969" t="s">
        <v>1224</v>
      </c>
      <c r="E1210" s="1969"/>
      <c r="F1210" s="1969"/>
      <c r="G1210" s="1969"/>
    </row>
    <row r="1211" spans="1:12" x14ac:dyDescent="0.25">
      <c r="A1211" s="1969" t="s">
        <v>28</v>
      </c>
      <c r="B1211" s="1969"/>
      <c r="C1211" s="1259"/>
      <c r="D1211" s="1971" t="s">
        <v>2443</v>
      </c>
      <c r="E1211" s="1971"/>
      <c r="F1211" s="1971"/>
      <c r="G1211" s="1971"/>
    </row>
    <row r="1212" spans="1:12" x14ac:dyDescent="0.25">
      <c r="A1212" s="1261"/>
      <c r="B1212" s="1262"/>
      <c r="C1212" s="1259"/>
      <c r="D1212" s="1260"/>
      <c r="E1212" s="948"/>
      <c r="F1212" s="948"/>
      <c r="G1212" s="1259"/>
    </row>
    <row r="1213" spans="1:12" x14ac:dyDescent="0.25">
      <c r="A1213" s="1261"/>
      <c r="B1213" s="1262"/>
      <c r="C1213" s="1259"/>
      <c r="D1213" s="1260"/>
      <c r="E1213" s="948"/>
      <c r="F1213" s="993"/>
      <c r="G1213" s="1259"/>
    </row>
    <row r="1214" spans="1:12" x14ac:dyDescent="0.25">
      <c r="A1214" s="1969"/>
      <c r="B1214" s="1969"/>
      <c r="C1214" s="1259"/>
      <c r="D1214" s="1260"/>
      <c r="E1214" s="2009"/>
      <c r="F1214" s="1969"/>
      <c r="G1214" s="1259"/>
    </row>
    <row r="1215" spans="1:12" x14ac:dyDescent="0.25">
      <c r="A1215" s="1969" t="s">
        <v>29</v>
      </c>
      <c r="B1215" s="1969"/>
      <c r="C1215" s="1259"/>
      <c r="D1215" s="1969" t="s">
        <v>517</v>
      </c>
      <c r="E1215" s="1969"/>
      <c r="F1215" s="1969"/>
      <c r="G1215" s="1969"/>
    </row>
    <row r="1217" spans="1:7" x14ac:dyDescent="0.25">
      <c r="A1217" s="2010" t="s">
        <v>1285</v>
      </c>
      <c r="B1217" s="2010"/>
      <c r="C1217" s="2010"/>
      <c r="D1217" s="2010"/>
      <c r="E1217" s="2010"/>
      <c r="F1217" s="2010"/>
      <c r="G1217" s="2010"/>
    </row>
    <row r="1218" spans="1:7" x14ac:dyDescent="0.25">
      <c r="A1218" s="2010" t="s">
        <v>1</v>
      </c>
      <c r="B1218" s="2010"/>
      <c r="C1218" s="2010"/>
      <c r="D1218" s="2010"/>
      <c r="E1218" s="2010"/>
      <c r="F1218" s="2010"/>
      <c r="G1218" s="2010"/>
    </row>
    <row r="1219" spans="1:7" x14ac:dyDescent="0.25">
      <c r="A1219" s="2010" t="s">
        <v>2398</v>
      </c>
      <c r="B1219" s="2010"/>
      <c r="C1219" s="2010"/>
      <c r="D1219" s="2010"/>
      <c r="E1219" s="2010"/>
      <c r="F1219" s="2010"/>
      <c r="G1219" s="2010"/>
    </row>
    <row r="1220" spans="1:7" x14ac:dyDescent="0.25">
      <c r="A1220" s="1209"/>
      <c r="B1220" s="1210"/>
      <c r="C1220" s="1211"/>
      <c r="D1220" s="1211"/>
      <c r="E1220" s="1212"/>
      <c r="F1220" s="1212"/>
      <c r="G1220" s="1212"/>
    </row>
    <row r="1221" spans="1:7" x14ac:dyDescent="0.25">
      <c r="A1221" s="1212" t="s">
        <v>1263</v>
      </c>
      <c r="B1221" s="1213"/>
      <c r="C1221" s="1214"/>
      <c r="D1221" s="1214"/>
      <c r="E1221" s="1215"/>
      <c r="F1221" s="1215"/>
      <c r="G1221" s="1212"/>
    </row>
    <row r="1222" spans="1:7" ht="24.75" x14ac:dyDescent="0.25">
      <c r="A1222" s="1216" t="s">
        <v>659</v>
      </c>
      <c r="B1222" s="1217" t="s">
        <v>1283</v>
      </c>
      <c r="C1222" s="1214"/>
      <c r="D1222" s="1214"/>
      <c r="E1222" s="1215" t="s">
        <v>1264</v>
      </c>
      <c r="F1222" s="1215"/>
      <c r="G1222" s="1212"/>
    </row>
    <row r="1223" spans="1:7" ht="60" x14ac:dyDescent="0.25">
      <c r="A1223" s="1218" t="s">
        <v>685</v>
      </c>
      <c r="B1223" s="1219" t="s">
        <v>3125</v>
      </c>
      <c r="C1223" s="1214"/>
      <c r="D1223" s="1214"/>
      <c r="E1223" s="1215" t="s">
        <v>1265</v>
      </c>
      <c r="F1223" s="1215"/>
      <c r="G1223" s="1216"/>
    </row>
    <row r="1224" spans="1:7" x14ac:dyDescent="0.25">
      <c r="A1224" s="1218" t="s">
        <v>1266</v>
      </c>
      <c r="B1224" s="1219" t="s">
        <v>3126</v>
      </c>
      <c r="C1224" s="1214"/>
      <c r="D1224" s="1214">
        <f>84.4/43</f>
        <v>1.9627906976744187</v>
      </c>
      <c r="E1224" s="1215"/>
      <c r="F1224" s="1215"/>
      <c r="G1224" s="1216"/>
    </row>
    <row r="1225" spans="1:7" x14ac:dyDescent="0.25">
      <c r="A1225" s="1212" t="s">
        <v>1267</v>
      </c>
      <c r="B1225" s="1213" t="s">
        <v>60</v>
      </c>
      <c r="C1225" s="1214"/>
      <c r="D1225" s="1214"/>
      <c r="E1225" s="1212"/>
      <c r="F1225" s="1212"/>
      <c r="G1225" s="1212"/>
    </row>
    <row r="1226" spans="1:7" x14ac:dyDescent="0.25">
      <c r="A1226" s="1216" t="s">
        <v>61</v>
      </c>
      <c r="B1226" s="1217" t="s">
        <v>62</v>
      </c>
      <c r="C1226" s="1214"/>
      <c r="D1226" s="1214"/>
      <c r="E1226" s="1216"/>
      <c r="F1226" s="1216"/>
      <c r="G1226" s="1216"/>
    </row>
    <row r="1227" spans="1:7" x14ac:dyDescent="0.25">
      <c r="A1227" s="1220"/>
      <c r="B1227" s="1221"/>
      <c r="C1227" s="1222"/>
      <c r="D1227" s="1222"/>
      <c r="E1227" s="1220"/>
      <c r="F1227" s="1220"/>
      <c r="G1227" s="1220"/>
    </row>
    <row r="1228" spans="1:7" ht="24" x14ac:dyDescent="0.25">
      <c r="A1228" s="1223" t="s">
        <v>30</v>
      </c>
      <c r="B1228" s="1223" t="s">
        <v>11</v>
      </c>
      <c r="C1228" s="2011" t="s">
        <v>12</v>
      </c>
      <c r="D1228" s="2012"/>
      <c r="E1228" s="1225" t="s">
        <v>13</v>
      </c>
      <c r="F1228" s="1224" t="s">
        <v>14</v>
      </c>
      <c r="G1228" s="1226" t="s">
        <v>256</v>
      </c>
    </row>
    <row r="1229" spans="1:7" x14ac:dyDescent="0.25">
      <c r="A1229" s="1227">
        <v>1</v>
      </c>
      <c r="B1229" s="1228">
        <v>2</v>
      </c>
      <c r="C1229" s="2013">
        <v>3</v>
      </c>
      <c r="D1229" s="2014"/>
      <c r="E1229" s="1231">
        <v>4</v>
      </c>
      <c r="F1229" s="1229">
        <v>5</v>
      </c>
      <c r="G1229" s="1232">
        <v>7</v>
      </c>
    </row>
    <row r="1230" spans="1:7" x14ac:dyDescent="0.25">
      <c r="A1230" s="1233" t="s">
        <v>1683</v>
      </c>
      <c r="B1230" s="1234" t="s">
        <v>1284</v>
      </c>
      <c r="C1230" s="1235"/>
      <c r="D1230" s="1236"/>
      <c r="E1230" s="1237"/>
      <c r="F1230" s="1238"/>
      <c r="G1230" s="1232"/>
    </row>
    <row r="1231" spans="1:7" x14ac:dyDescent="0.25">
      <c r="A1231" s="1233" t="s">
        <v>1684</v>
      </c>
      <c r="B1231" s="1234" t="s">
        <v>1658</v>
      </c>
      <c r="C1231" s="1235"/>
      <c r="D1231" s="1236"/>
      <c r="E1231" s="1237"/>
      <c r="F1231" s="1238"/>
      <c r="G1231" s="1232"/>
    </row>
    <row r="1232" spans="1:7" ht="24" x14ac:dyDescent="0.25">
      <c r="A1232" s="1233" t="s">
        <v>1685</v>
      </c>
      <c r="B1232" s="1234" t="s">
        <v>1279</v>
      </c>
      <c r="C1232" s="1239"/>
      <c r="D1232" s="1236"/>
      <c r="E1232" s="1237"/>
      <c r="F1232" s="1238"/>
      <c r="G1232" s="1232"/>
    </row>
    <row r="1233" spans="1:12" ht="15.75" thickBot="1" x14ac:dyDescent="0.3">
      <c r="A1233" s="1240"/>
      <c r="B1233" s="1241" t="s">
        <v>1660</v>
      </c>
      <c r="C1233" s="1239">
        <v>1</v>
      </c>
      <c r="D1233" s="1236" t="s">
        <v>213</v>
      </c>
      <c r="E1233" s="1237">
        <v>100000</v>
      </c>
      <c r="F1233" s="1238">
        <f>E1233*C1233</f>
        <v>100000</v>
      </c>
      <c r="G1233" s="1232"/>
    </row>
    <row r="1234" spans="1:12" ht="15.75" thickBot="1" x14ac:dyDescent="0.3">
      <c r="A1234" s="1242"/>
      <c r="B1234" s="2015" t="s">
        <v>515</v>
      </c>
      <c r="C1234" s="2016"/>
      <c r="D1234" s="2016"/>
      <c r="E1234" s="2017"/>
      <c r="F1234" s="1243">
        <f>SUM(F1233:F1233)</f>
        <v>100000</v>
      </c>
      <c r="G1234" s="1232"/>
    </row>
    <row r="1235" spans="1:12" x14ac:dyDescent="0.25">
      <c r="A1235" s="1233" t="s">
        <v>1686</v>
      </c>
      <c r="B1235" s="1244" t="s">
        <v>1268</v>
      </c>
      <c r="C1235" s="1245"/>
      <c r="D1235" s="1246"/>
      <c r="E1235" s="1242"/>
      <c r="F1235" s="1247"/>
      <c r="G1235" s="1232"/>
    </row>
    <row r="1236" spans="1:12" x14ac:dyDescent="0.25">
      <c r="A1236" s="1233"/>
      <c r="B1236" s="1263" t="s">
        <v>1269</v>
      </c>
      <c r="C1236" s="1229">
        <v>2</v>
      </c>
      <c r="D1236" s="1230" t="s">
        <v>392</v>
      </c>
      <c r="E1236" s="1264">
        <v>150000</v>
      </c>
      <c r="F1236" s="1238">
        <f>E1236*C1236</f>
        <v>300000</v>
      </c>
      <c r="G1236" s="1232"/>
    </row>
    <row r="1237" spans="1:12" ht="15.75" thickBot="1" x14ac:dyDescent="0.3">
      <c r="A1237" s="1315"/>
      <c r="B1237" s="1248" t="s">
        <v>1270</v>
      </c>
      <c r="C1237" s="1249">
        <v>5</v>
      </c>
      <c r="D1237" s="1250" t="s">
        <v>392</v>
      </c>
      <c r="E1237" s="1251">
        <v>120000</v>
      </c>
      <c r="F1237" s="1252">
        <f>E1237*C1237</f>
        <v>600000</v>
      </c>
      <c r="G1237" s="1232"/>
    </row>
    <row r="1238" spans="1:12" ht="15.75" thickBot="1" x14ac:dyDescent="0.3">
      <c r="A1238" s="1253"/>
      <c r="B1238" s="2018" t="s">
        <v>515</v>
      </c>
      <c r="C1238" s="2019"/>
      <c r="D1238" s="2019"/>
      <c r="E1238" s="2020"/>
      <c r="F1238" s="1243">
        <f>SUM(F1236:F1237)</f>
        <v>900000</v>
      </c>
      <c r="G1238" s="1254"/>
    </row>
    <row r="1239" spans="1:12" x14ac:dyDescent="0.25">
      <c r="A1239" s="1233" t="s">
        <v>1687</v>
      </c>
      <c r="B1239" s="1265" t="s">
        <v>1271</v>
      </c>
      <c r="C1239" s="1245"/>
      <c r="D1239" s="1246"/>
      <c r="E1239" s="1242"/>
      <c r="F1239" s="1247"/>
      <c r="G1239" s="1232"/>
    </row>
    <row r="1240" spans="1:12" ht="16.5" x14ac:dyDescent="0.25">
      <c r="A1240" s="1266"/>
      <c r="B1240" s="1311" t="s">
        <v>1665</v>
      </c>
      <c r="C1240" s="1245">
        <v>978</v>
      </c>
      <c r="D1240" s="1246" t="s">
        <v>1671</v>
      </c>
      <c r="E1240" s="1313">
        <v>3000</v>
      </c>
      <c r="F1240" s="1247">
        <f>E1240*C1240</f>
        <v>2934000</v>
      </c>
      <c r="G1240" s="1232"/>
    </row>
    <row r="1241" spans="1:12" ht="16.5" x14ac:dyDescent="0.25">
      <c r="A1241" s="1266"/>
      <c r="B1241" s="1314" t="s">
        <v>1672</v>
      </c>
      <c r="C1241" s="1245">
        <v>2</v>
      </c>
      <c r="D1241" s="1246" t="s">
        <v>767</v>
      </c>
      <c r="E1241" s="1313">
        <v>210000</v>
      </c>
      <c r="F1241" s="1247">
        <f t="shared" ref="F1241:F1242" si="31">E1241*C1241</f>
        <v>420000</v>
      </c>
      <c r="G1241" s="1232"/>
    </row>
    <row r="1242" spans="1:12" ht="16.5" x14ac:dyDescent="0.25">
      <c r="A1242" s="1266"/>
      <c r="B1242" s="1311" t="s">
        <v>1673</v>
      </c>
      <c r="C1242" s="1245">
        <v>3</v>
      </c>
      <c r="D1242" s="1246" t="s">
        <v>767</v>
      </c>
      <c r="E1242" s="1313">
        <v>281000</v>
      </c>
      <c r="F1242" s="1247">
        <f t="shared" si="31"/>
        <v>843000</v>
      </c>
      <c r="G1242" s="1232"/>
    </row>
    <row r="1243" spans="1:12" ht="15.75" thickBot="1" x14ac:dyDescent="0.3">
      <c r="A1243" s="1240"/>
      <c r="B1243" s="1255"/>
      <c r="C1243" s="1256"/>
      <c r="D1243" s="1257"/>
      <c r="E1243" s="1258"/>
      <c r="F1243" s="1252"/>
      <c r="G1243" s="1232"/>
    </row>
    <row r="1244" spans="1:12" ht="15.75" thickBot="1" x14ac:dyDescent="0.3">
      <c r="A1244" s="1245"/>
      <c r="B1244" s="2015" t="s">
        <v>515</v>
      </c>
      <c r="C1244" s="2016"/>
      <c r="D1244" s="2016"/>
      <c r="E1244" s="2017"/>
      <c r="F1244" s="1243">
        <f>SUM(F1240:F1242)</f>
        <v>4197000</v>
      </c>
      <c r="G1244" s="1254"/>
    </row>
    <row r="1245" spans="1:12" ht="15.75" thickBot="1" x14ac:dyDescent="0.3">
      <c r="A1245" s="1245"/>
      <c r="B1245" s="2015" t="s">
        <v>26</v>
      </c>
      <c r="C1245" s="2016"/>
      <c r="D1245" s="2016"/>
      <c r="E1245" s="2017"/>
      <c r="F1245" s="1243">
        <f>F1244+F1238+F1234</f>
        <v>5197000</v>
      </c>
      <c r="G1245" s="1254"/>
      <c r="L1245" s="139"/>
    </row>
    <row r="1246" spans="1:12" x14ac:dyDescent="0.25">
      <c r="A1246" s="1260"/>
      <c r="B1246" s="1457"/>
      <c r="C1246" s="1457"/>
      <c r="D1246" s="1457"/>
      <c r="E1246" s="1457"/>
      <c r="F1246" s="1458"/>
      <c r="G1246" s="1377"/>
    </row>
    <row r="1247" spans="1:12" x14ac:dyDescent="0.25">
      <c r="A1247" s="1969" t="s">
        <v>516</v>
      </c>
      <c r="B1247" s="1969"/>
      <c r="C1247" s="1259" t="s">
        <v>27</v>
      </c>
      <c r="D1247" s="1969" t="s">
        <v>1224</v>
      </c>
      <c r="E1247" s="1969"/>
      <c r="F1247" s="1969"/>
      <c r="G1247" s="1969"/>
    </row>
    <row r="1248" spans="1:12" x14ac:dyDescent="0.25">
      <c r="A1248" s="1969" t="s">
        <v>28</v>
      </c>
      <c r="B1248" s="1969"/>
      <c r="C1248" s="1259"/>
      <c r="D1248" s="1971" t="s">
        <v>2443</v>
      </c>
      <c r="E1248" s="1971"/>
      <c r="F1248" s="1971"/>
      <c r="G1248" s="1971"/>
    </row>
    <row r="1249" spans="1:7" x14ac:dyDescent="0.25">
      <c r="A1249" s="1261"/>
      <c r="B1249" s="1262"/>
      <c r="C1249" s="1259"/>
      <c r="D1249" s="1260"/>
      <c r="E1249" s="948"/>
      <c r="F1249" s="948"/>
      <c r="G1249" s="1259"/>
    </row>
    <row r="1250" spans="1:7" x14ac:dyDescent="0.25">
      <c r="A1250" s="1261"/>
      <c r="B1250" s="1262"/>
      <c r="C1250" s="1259"/>
      <c r="D1250" s="1260"/>
      <c r="E1250" s="948"/>
      <c r="F1250" s="993"/>
      <c r="G1250" s="1259"/>
    </row>
    <row r="1251" spans="1:7" x14ac:dyDescent="0.25">
      <c r="A1251" s="1969"/>
      <c r="B1251" s="1969"/>
      <c r="C1251" s="1259"/>
      <c r="D1251" s="1260"/>
      <c r="E1251" s="2009"/>
      <c r="F1251" s="1969"/>
      <c r="G1251" s="1259"/>
    </row>
    <row r="1252" spans="1:7" x14ac:dyDescent="0.25">
      <c r="A1252" s="1969" t="s">
        <v>29</v>
      </c>
      <c r="B1252" s="1969"/>
      <c r="C1252" s="1259"/>
      <c r="D1252" s="1969" t="s">
        <v>517</v>
      </c>
      <c r="E1252" s="1969"/>
      <c r="F1252" s="1969"/>
      <c r="G1252" s="1969"/>
    </row>
    <row r="1254" spans="1:7" x14ac:dyDescent="0.25">
      <c r="A1254" s="2010" t="s">
        <v>1285</v>
      </c>
      <c r="B1254" s="2010"/>
      <c r="C1254" s="2010"/>
      <c r="D1254" s="2010"/>
      <c r="E1254" s="2010"/>
      <c r="F1254" s="2010"/>
      <c r="G1254" s="2010"/>
    </row>
    <row r="1255" spans="1:7" x14ac:dyDescent="0.25">
      <c r="A1255" s="2010" t="s">
        <v>1</v>
      </c>
      <c r="B1255" s="2010"/>
      <c r="C1255" s="2010"/>
      <c r="D1255" s="2010"/>
      <c r="E1255" s="2010"/>
      <c r="F1255" s="2010"/>
      <c r="G1255" s="2010"/>
    </row>
    <row r="1256" spans="1:7" x14ac:dyDescent="0.25">
      <c r="A1256" s="2010" t="s">
        <v>2398</v>
      </c>
      <c r="B1256" s="2010"/>
      <c r="C1256" s="2010"/>
      <c r="D1256" s="2010"/>
      <c r="E1256" s="2010"/>
      <c r="F1256" s="2010"/>
      <c r="G1256" s="2010"/>
    </row>
    <row r="1257" spans="1:7" x14ac:dyDescent="0.25">
      <c r="A1257" s="1209"/>
      <c r="B1257" s="1210"/>
      <c r="C1257" s="1211"/>
      <c r="D1257" s="1211"/>
      <c r="E1257" s="1212"/>
      <c r="F1257" s="1212"/>
      <c r="G1257" s="1212"/>
    </row>
    <row r="1258" spans="1:7" x14ac:dyDescent="0.25">
      <c r="A1258" s="1212" t="s">
        <v>1263</v>
      </c>
      <c r="B1258" s="1213"/>
      <c r="C1258" s="1214"/>
      <c r="D1258" s="1214"/>
      <c r="E1258" s="1215"/>
      <c r="F1258" s="1215"/>
      <c r="G1258" s="1212"/>
    </row>
    <row r="1259" spans="1:7" ht="24.75" x14ac:dyDescent="0.25">
      <c r="A1259" s="1216" t="s">
        <v>659</v>
      </c>
      <c r="B1259" s="1217" t="s">
        <v>1283</v>
      </c>
      <c r="C1259" s="1214"/>
      <c r="D1259" s="1214"/>
      <c r="E1259" s="1215" t="s">
        <v>1264</v>
      </c>
      <c r="F1259" s="1215"/>
      <c r="G1259" s="1212"/>
    </row>
    <row r="1260" spans="1:7" ht="60" x14ac:dyDescent="0.25">
      <c r="A1260" s="1218" t="s">
        <v>685</v>
      </c>
      <c r="B1260" s="1219" t="s">
        <v>3127</v>
      </c>
      <c r="C1260" s="1214"/>
      <c r="D1260" s="1214"/>
      <c r="E1260" s="1215" t="s">
        <v>1265</v>
      </c>
      <c r="F1260" s="1215"/>
      <c r="G1260" s="1216"/>
    </row>
    <row r="1261" spans="1:7" ht="30" x14ac:dyDescent="0.25">
      <c r="A1261" s="1218" t="s">
        <v>1266</v>
      </c>
      <c r="B1261" s="1219" t="s">
        <v>3128</v>
      </c>
      <c r="C1261" s="1214"/>
      <c r="D1261" s="1214"/>
      <c r="E1261" s="1215"/>
      <c r="F1261" s="1215"/>
      <c r="G1261" s="1216"/>
    </row>
    <row r="1262" spans="1:7" x14ac:dyDescent="0.25">
      <c r="A1262" s="1212" t="s">
        <v>1267</v>
      </c>
      <c r="B1262" s="1213" t="s">
        <v>60</v>
      </c>
      <c r="C1262" s="1214"/>
      <c r="D1262" s="1214"/>
      <c r="E1262" s="1212"/>
      <c r="F1262" s="1212"/>
      <c r="G1262" s="1212"/>
    </row>
    <row r="1263" spans="1:7" x14ac:dyDescent="0.25">
      <c r="A1263" s="1216" t="s">
        <v>61</v>
      </c>
      <c r="B1263" s="1217" t="s">
        <v>62</v>
      </c>
      <c r="C1263" s="1214"/>
      <c r="D1263" s="1214"/>
      <c r="E1263" s="1216"/>
      <c r="F1263" s="1216"/>
      <c r="G1263" s="1216"/>
    </row>
    <row r="1264" spans="1:7" x14ac:dyDescent="0.25">
      <c r="A1264" s="1220"/>
      <c r="B1264" s="1221"/>
      <c r="C1264" s="1222"/>
      <c r="D1264" s="1222"/>
      <c r="E1264" s="1220"/>
      <c r="F1264" s="1220"/>
      <c r="G1264" s="1220"/>
    </row>
    <row r="1265" spans="1:12" ht="24" x14ac:dyDescent="0.25">
      <c r="A1265" s="1223" t="s">
        <v>30</v>
      </c>
      <c r="B1265" s="1223" t="s">
        <v>11</v>
      </c>
      <c r="C1265" s="2011" t="s">
        <v>12</v>
      </c>
      <c r="D1265" s="2012"/>
      <c r="E1265" s="1225" t="s">
        <v>13</v>
      </c>
      <c r="F1265" s="1224" t="s">
        <v>14</v>
      </c>
      <c r="G1265" s="1226" t="s">
        <v>256</v>
      </c>
    </row>
    <row r="1266" spans="1:12" x14ac:dyDescent="0.25">
      <c r="A1266" s="1227">
        <v>1</v>
      </c>
      <c r="B1266" s="1228">
        <v>2</v>
      </c>
      <c r="C1266" s="2013">
        <v>3</v>
      </c>
      <c r="D1266" s="2014"/>
      <c r="E1266" s="1231">
        <v>4</v>
      </c>
      <c r="F1266" s="1229">
        <v>5</v>
      </c>
      <c r="G1266" s="1232">
        <v>7</v>
      </c>
    </row>
    <row r="1267" spans="1:12" x14ac:dyDescent="0.25">
      <c r="A1267" s="1233" t="s">
        <v>1683</v>
      </c>
      <c r="B1267" s="1234" t="s">
        <v>1284</v>
      </c>
      <c r="C1267" s="1235"/>
      <c r="D1267" s="1236"/>
      <c r="E1267" s="1237"/>
      <c r="F1267" s="1238"/>
      <c r="G1267" s="1232"/>
    </row>
    <row r="1268" spans="1:12" x14ac:dyDescent="0.25">
      <c r="A1268" s="1233" t="s">
        <v>1684</v>
      </c>
      <c r="B1268" s="1234" t="s">
        <v>1658</v>
      </c>
      <c r="C1268" s="1235"/>
      <c r="D1268" s="1236"/>
      <c r="E1268" s="1237"/>
      <c r="F1268" s="1238"/>
      <c r="G1268" s="1232"/>
    </row>
    <row r="1269" spans="1:12" ht="24" x14ac:dyDescent="0.25">
      <c r="A1269" s="1233" t="s">
        <v>1685</v>
      </c>
      <c r="B1269" s="1234" t="s">
        <v>1279</v>
      </c>
      <c r="C1269" s="1239"/>
      <c r="D1269" s="1236"/>
      <c r="E1269" s="1237"/>
      <c r="F1269" s="1238"/>
      <c r="G1269" s="1232"/>
    </row>
    <row r="1270" spans="1:12" ht="15.75" thickBot="1" x14ac:dyDescent="0.3">
      <c r="A1270" s="1240"/>
      <c r="B1270" s="1241" t="s">
        <v>1660</v>
      </c>
      <c r="C1270" s="1239">
        <v>1</v>
      </c>
      <c r="D1270" s="1236" t="s">
        <v>213</v>
      </c>
      <c r="E1270" s="1237">
        <v>14000</v>
      </c>
      <c r="F1270" s="1238">
        <f>E1270*C1270</f>
        <v>14000</v>
      </c>
      <c r="G1270" s="1232"/>
    </row>
    <row r="1271" spans="1:12" ht="15.75" thickBot="1" x14ac:dyDescent="0.3">
      <c r="A1271" s="1242"/>
      <c r="B1271" s="2015" t="s">
        <v>515</v>
      </c>
      <c r="C1271" s="2016"/>
      <c r="D1271" s="2016"/>
      <c r="E1271" s="2017"/>
      <c r="F1271" s="1243">
        <f>SUM(F1270:F1270)</f>
        <v>14000</v>
      </c>
      <c r="G1271" s="1232"/>
    </row>
    <row r="1272" spans="1:12" x14ac:dyDescent="0.25">
      <c r="A1272" s="1233" t="s">
        <v>1686</v>
      </c>
      <c r="B1272" s="1244" t="s">
        <v>1268</v>
      </c>
      <c r="C1272" s="1245"/>
      <c r="D1272" s="1246"/>
      <c r="E1272" s="1242"/>
      <c r="F1272" s="1247"/>
      <c r="G1272" s="1232"/>
    </row>
    <row r="1273" spans="1:12" ht="15.75" thickBot="1" x14ac:dyDescent="0.3">
      <c r="A1273" s="1233"/>
      <c r="B1273" s="1248" t="s">
        <v>1270</v>
      </c>
      <c r="C1273" s="1249">
        <v>6</v>
      </c>
      <c r="D1273" s="1250" t="s">
        <v>392</v>
      </c>
      <c r="E1273" s="1251">
        <v>120000</v>
      </c>
      <c r="F1273" s="1252">
        <f>E1273*C1273</f>
        <v>720000</v>
      </c>
      <c r="G1273" s="1232"/>
      <c r="H1273" s="23"/>
    </row>
    <row r="1274" spans="1:12" ht="15.75" thickBot="1" x14ac:dyDescent="0.3">
      <c r="A1274" s="1253"/>
      <c r="B1274" s="2018" t="s">
        <v>515</v>
      </c>
      <c r="C1274" s="2019"/>
      <c r="D1274" s="2019"/>
      <c r="E1274" s="2020"/>
      <c r="F1274" s="1243">
        <f>SUM(F1273:F1273)</f>
        <v>720000</v>
      </c>
      <c r="G1274" s="1254"/>
    </row>
    <row r="1275" spans="1:12" ht="15.75" thickBot="1" x14ac:dyDescent="0.3">
      <c r="A1275" s="1240"/>
      <c r="B1275" s="1255"/>
      <c r="C1275" s="1256"/>
      <c r="D1275" s="1257"/>
      <c r="E1275" s="1258"/>
      <c r="F1275" s="1252"/>
      <c r="G1275" s="1232"/>
    </row>
    <row r="1276" spans="1:12" ht="15.75" thickBot="1" x14ac:dyDescent="0.3">
      <c r="A1276" s="1245"/>
      <c r="B1276" s="2015" t="s">
        <v>26</v>
      </c>
      <c r="C1276" s="2016"/>
      <c r="D1276" s="2016"/>
      <c r="E1276" s="2017"/>
      <c r="F1276" s="1243"/>
      <c r="G1276" s="1254"/>
      <c r="L1276" s="139"/>
    </row>
    <row r="1277" spans="1:12" x14ac:dyDescent="0.25">
      <c r="A1277" s="1260"/>
      <c r="B1277" s="1457"/>
      <c r="C1277" s="1457"/>
      <c r="D1277" s="1457"/>
      <c r="E1277" s="1457"/>
      <c r="F1277" s="1458"/>
      <c r="G1277" s="1377"/>
    </row>
    <row r="1278" spans="1:12" x14ac:dyDescent="0.25">
      <c r="A1278" s="1969" t="s">
        <v>516</v>
      </c>
      <c r="B1278" s="1969"/>
      <c r="C1278" s="1259" t="s">
        <v>27</v>
      </c>
      <c r="D1278" s="1969" t="s">
        <v>1224</v>
      </c>
      <c r="E1278" s="1969"/>
      <c r="F1278" s="1969"/>
      <c r="G1278" s="1969"/>
    </row>
    <row r="1279" spans="1:12" x14ac:dyDescent="0.25">
      <c r="A1279" s="1969" t="s">
        <v>28</v>
      </c>
      <c r="B1279" s="1969"/>
      <c r="C1279" s="1259"/>
      <c r="D1279" s="1971" t="s">
        <v>2443</v>
      </c>
      <c r="E1279" s="1971"/>
      <c r="F1279" s="1971"/>
      <c r="G1279" s="1971"/>
    </row>
    <row r="1280" spans="1:12" x14ac:dyDescent="0.25">
      <c r="A1280" s="1261"/>
      <c r="B1280" s="1262"/>
      <c r="C1280" s="1259"/>
      <c r="D1280" s="1260"/>
      <c r="E1280" s="948"/>
      <c r="F1280" s="948"/>
      <c r="G1280" s="1259"/>
    </row>
    <row r="1281" spans="1:7" x14ac:dyDescent="0.25">
      <c r="A1281" s="1261"/>
      <c r="B1281" s="1262"/>
      <c r="C1281" s="1259"/>
      <c r="D1281" s="1260"/>
      <c r="E1281" s="948"/>
      <c r="F1281" s="993"/>
      <c r="G1281" s="1259"/>
    </row>
    <row r="1282" spans="1:7" x14ac:dyDescent="0.25">
      <c r="A1282" s="1969"/>
      <c r="B1282" s="1969"/>
      <c r="C1282" s="1259"/>
      <c r="D1282" s="1260"/>
      <c r="E1282" s="2009"/>
      <c r="F1282" s="1969"/>
      <c r="G1282" s="1259"/>
    </row>
    <row r="1283" spans="1:7" x14ac:dyDescent="0.25">
      <c r="A1283" s="1969" t="s">
        <v>29</v>
      </c>
      <c r="B1283" s="1969"/>
      <c r="C1283" s="1259"/>
      <c r="D1283" s="1969" t="s">
        <v>517</v>
      </c>
      <c r="E1283" s="1969"/>
      <c r="F1283" s="1969"/>
      <c r="G1283" s="1969"/>
    </row>
    <row r="1284" spans="1:7" x14ac:dyDescent="0.25">
      <c r="A1284" s="2010" t="s">
        <v>1285</v>
      </c>
      <c r="B1284" s="2010"/>
      <c r="C1284" s="2010"/>
      <c r="D1284" s="2010"/>
      <c r="E1284" s="2010"/>
      <c r="F1284" s="2010"/>
      <c r="G1284" s="2010"/>
    </row>
    <row r="1285" spans="1:7" x14ac:dyDescent="0.25">
      <c r="A1285" s="2010" t="s">
        <v>1</v>
      </c>
      <c r="B1285" s="2010"/>
      <c r="C1285" s="2010"/>
      <c r="D1285" s="2010"/>
      <c r="E1285" s="2010"/>
      <c r="F1285" s="2010"/>
      <c r="G1285" s="2010"/>
    </row>
    <row r="1286" spans="1:7" x14ac:dyDescent="0.25">
      <c r="A1286" s="2010" t="s">
        <v>2398</v>
      </c>
      <c r="B1286" s="2010"/>
      <c r="C1286" s="2010"/>
      <c r="D1286" s="2010"/>
      <c r="E1286" s="2010"/>
      <c r="F1286" s="2010"/>
      <c r="G1286" s="2010"/>
    </row>
    <row r="1287" spans="1:7" x14ac:dyDescent="0.25">
      <c r="A1287" s="1209"/>
      <c r="B1287" s="1210"/>
      <c r="C1287" s="1211"/>
      <c r="D1287" s="1211"/>
      <c r="E1287" s="1212"/>
      <c r="F1287" s="1212"/>
      <c r="G1287" s="1212"/>
    </row>
    <row r="1288" spans="1:7" x14ac:dyDescent="0.25">
      <c r="A1288" s="1212" t="s">
        <v>1263</v>
      </c>
      <c r="B1288" s="1213"/>
      <c r="C1288" s="1214"/>
      <c r="D1288" s="1214"/>
      <c r="E1288" s="1215"/>
      <c r="F1288" s="1215"/>
      <c r="G1288" s="1212"/>
    </row>
    <row r="1289" spans="1:7" ht="24.75" x14ac:dyDescent="0.25">
      <c r="A1289" s="1216" t="s">
        <v>659</v>
      </c>
      <c r="B1289" s="1217" t="s">
        <v>1283</v>
      </c>
      <c r="C1289" s="1214"/>
      <c r="D1289" s="1214"/>
      <c r="E1289" s="1215" t="s">
        <v>1264</v>
      </c>
      <c r="F1289" s="1215"/>
      <c r="G1289" s="1212"/>
    </row>
    <row r="1290" spans="1:7" ht="45" x14ac:dyDescent="0.25">
      <c r="A1290" s="1218" t="s">
        <v>685</v>
      </c>
      <c r="B1290" s="1219" t="s">
        <v>3495</v>
      </c>
      <c r="C1290" s="1214"/>
      <c r="D1290" s="1214"/>
      <c r="E1290" s="1215" t="s">
        <v>1265</v>
      </c>
      <c r="F1290" s="1215"/>
      <c r="G1290" s="1216"/>
    </row>
    <row r="1291" spans="1:7" ht="75" x14ac:dyDescent="0.25">
      <c r="A1291" s="1218" t="s">
        <v>1266</v>
      </c>
      <c r="B1291" s="1219" t="s">
        <v>3496</v>
      </c>
      <c r="C1291" s="1214"/>
      <c r="D1291" s="1214"/>
      <c r="E1291" s="1215"/>
      <c r="F1291" s="1215"/>
      <c r="G1291" s="1216"/>
    </row>
    <row r="1292" spans="1:7" x14ac:dyDescent="0.25">
      <c r="A1292" s="1212" t="s">
        <v>1267</v>
      </c>
      <c r="B1292" s="1213" t="s">
        <v>60</v>
      </c>
      <c r="C1292" s="1214"/>
      <c r="D1292" s="1214"/>
      <c r="E1292" s="1212"/>
      <c r="F1292" s="1212"/>
      <c r="G1292" s="1212"/>
    </row>
    <row r="1293" spans="1:7" x14ac:dyDescent="0.25">
      <c r="A1293" s="1216" t="s">
        <v>61</v>
      </c>
      <c r="B1293" s="1217" t="s">
        <v>62</v>
      </c>
      <c r="C1293" s="1214"/>
      <c r="D1293" s="1214"/>
      <c r="E1293" s="1216"/>
      <c r="F1293" s="1216"/>
      <c r="G1293" s="1216"/>
    </row>
    <row r="1294" spans="1:7" x14ac:dyDescent="0.25">
      <c r="A1294" s="1220"/>
      <c r="B1294" s="1221"/>
      <c r="C1294" s="1222"/>
      <c r="D1294" s="1222"/>
      <c r="E1294" s="1220"/>
      <c r="F1294" s="1220"/>
      <c r="G1294" s="1220"/>
    </row>
    <row r="1295" spans="1:7" ht="24" x14ac:dyDescent="0.25">
      <c r="A1295" s="1223" t="s">
        <v>30</v>
      </c>
      <c r="B1295" s="1223" t="s">
        <v>11</v>
      </c>
      <c r="C1295" s="2011" t="s">
        <v>12</v>
      </c>
      <c r="D1295" s="2012"/>
      <c r="E1295" s="1225" t="s">
        <v>13</v>
      </c>
      <c r="F1295" s="1224" t="s">
        <v>14</v>
      </c>
      <c r="G1295" s="1226" t="s">
        <v>256</v>
      </c>
    </row>
    <row r="1296" spans="1:7" x14ac:dyDescent="0.25">
      <c r="A1296" s="1227">
        <v>1</v>
      </c>
      <c r="B1296" s="1228">
        <v>2</v>
      </c>
      <c r="C1296" s="2013">
        <v>3</v>
      </c>
      <c r="D1296" s="2014"/>
      <c r="E1296" s="1231">
        <v>4</v>
      </c>
      <c r="F1296" s="1229">
        <v>5</v>
      </c>
      <c r="G1296" s="1232">
        <v>7</v>
      </c>
    </row>
    <row r="1297" spans="1:7" x14ac:dyDescent="0.25">
      <c r="A1297" s="1233" t="s">
        <v>2931</v>
      </c>
      <c r="B1297" s="1234" t="s">
        <v>1284</v>
      </c>
      <c r="C1297" s="1235"/>
      <c r="D1297" s="1236"/>
      <c r="E1297" s="1237"/>
      <c r="F1297" s="1238"/>
      <c r="G1297" s="1232"/>
    </row>
    <row r="1298" spans="1:7" x14ac:dyDescent="0.25">
      <c r="A1298" s="1233" t="s">
        <v>2932</v>
      </c>
      <c r="B1298" s="1234" t="s">
        <v>1658</v>
      </c>
      <c r="C1298" s="1235"/>
      <c r="D1298" s="1236"/>
      <c r="E1298" s="1237"/>
      <c r="F1298" s="1238"/>
      <c r="G1298" s="1232"/>
    </row>
    <row r="1299" spans="1:7" ht="24" x14ac:dyDescent="0.25">
      <c r="A1299" s="1233" t="s">
        <v>2933</v>
      </c>
      <c r="B1299" s="1234" t="s">
        <v>1279</v>
      </c>
      <c r="C1299" s="1239"/>
      <c r="D1299" s="1236"/>
      <c r="E1299" s="1237"/>
      <c r="F1299" s="1238"/>
      <c r="G1299" s="1232"/>
    </row>
    <row r="1300" spans="1:7" ht="15.75" thickBot="1" x14ac:dyDescent="0.3">
      <c r="A1300" s="1240"/>
      <c r="B1300" s="1241" t="s">
        <v>1660</v>
      </c>
      <c r="C1300" s="1239">
        <v>1</v>
      </c>
      <c r="D1300" s="1236" t="s">
        <v>444</v>
      </c>
      <c r="E1300" s="1237">
        <v>2300000</v>
      </c>
      <c r="F1300" s="1238">
        <f>E1300*C1300</f>
        <v>2300000</v>
      </c>
      <c r="G1300" s="1232"/>
    </row>
    <row r="1301" spans="1:7" ht="15.75" thickBot="1" x14ac:dyDescent="0.3">
      <c r="A1301" s="1242"/>
      <c r="B1301" s="2015" t="s">
        <v>515</v>
      </c>
      <c r="C1301" s="2016"/>
      <c r="D1301" s="2016"/>
      <c r="E1301" s="2017"/>
      <c r="F1301" s="1243">
        <f>SUM(F1300:F1300)</f>
        <v>2300000</v>
      </c>
      <c r="G1301" s="1232"/>
    </row>
    <row r="1302" spans="1:7" x14ac:dyDescent="0.25">
      <c r="A1302" s="1233" t="s">
        <v>2934</v>
      </c>
      <c r="B1302" s="1244" t="s">
        <v>1268</v>
      </c>
      <c r="C1302" s="1245"/>
      <c r="D1302" s="1246"/>
      <c r="E1302" s="1242"/>
      <c r="F1302" s="1247"/>
      <c r="G1302" s="1232"/>
    </row>
    <row r="1303" spans="1:7" x14ac:dyDescent="0.25">
      <c r="A1303" s="1233"/>
      <c r="B1303" s="1263" t="s">
        <v>1269</v>
      </c>
      <c r="C1303" s="1229">
        <v>207</v>
      </c>
      <c r="D1303" s="1230" t="s">
        <v>392</v>
      </c>
      <c r="E1303" s="1264">
        <v>150000</v>
      </c>
      <c r="F1303" s="1238">
        <f>E1303*C1303</f>
        <v>31050000</v>
      </c>
      <c r="G1303" s="1232"/>
    </row>
    <row r="1304" spans="1:7" ht="15.75" thickBot="1" x14ac:dyDescent="0.3">
      <c r="A1304" s="1315"/>
      <c r="B1304" s="1248" t="s">
        <v>1270</v>
      </c>
      <c r="C1304" s="1249">
        <v>559</v>
      </c>
      <c r="D1304" s="1250" t="s">
        <v>392</v>
      </c>
      <c r="E1304" s="1251">
        <v>120000</v>
      </c>
      <c r="F1304" s="1252">
        <f>E1304*C1304</f>
        <v>67080000</v>
      </c>
      <c r="G1304" s="1316"/>
    </row>
    <row r="1305" spans="1:7" ht="15.75" thickBot="1" x14ac:dyDescent="0.3">
      <c r="A1305" s="1253"/>
      <c r="B1305" s="2018" t="s">
        <v>515</v>
      </c>
      <c r="C1305" s="2019"/>
      <c r="D1305" s="2019"/>
      <c r="E1305" s="2020"/>
      <c r="F1305" s="1243">
        <f>SUM(F1303:F1304)</f>
        <v>98130000</v>
      </c>
      <c r="G1305" s="1318"/>
    </row>
    <row r="1306" spans="1:7" x14ac:dyDescent="0.25">
      <c r="A1306" s="1233" t="s">
        <v>2935</v>
      </c>
      <c r="B1306" s="1265" t="s">
        <v>1271</v>
      </c>
      <c r="C1306" s="1245"/>
      <c r="D1306" s="1246"/>
      <c r="E1306" s="1242"/>
      <c r="F1306" s="1247"/>
      <c r="G1306" s="1232"/>
    </row>
    <row r="1307" spans="1:7" ht="16.5" x14ac:dyDescent="0.25">
      <c r="A1307" s="1266"/>
      <c r="B1307" s="1433" t="s">
        <v>1664</v>
      </c>
      <c r="C1307" s="1245">
        <v>38</v>
      </c>
      <c r="D1307" s="1246" t="s">
        <v>767</v>
      </c>
      <c r="E1307" s="1313">
        <v>381000</v>
      </c>
      <c r="F1307" s="1247">
        <f>E1307*C1307</f>
        <v>14478000</v>
      </c>
      <c r="G1307" s="1232"/>
    </row>
    <row r="1308" spans="1:7" ht="16.5" x14ac:dyDescent="0.25">
      <c r="A1308" s="1266"/>
      <c r="B1308" s="1433" t="s">
        <v>1665</v>
      </c>
      <c r="C1308" s="1245">
        <v>6611</v>
      </c>
      <c r="D1308" s="1246" t="s">
        <v>154</v>
      </c>
      <c r="E1308" s="1313">
        <v>3000</v>
      </c>
      <c r="F1308" s="1247">
        <f t="shared" ref="F1308:F1311" si="32">E1308*C1308</f>
        <v>19833000</v>
      </c>
      <c r="G1308" s="1232"/>
    </row>
    <row r="1309" spans="1:7" ht="16.5" x14ac:dyDescent="0.25">
      <c r="A1309" s="1266"/>
      <c r="B1309" s="1433" t="s">
        <v>1272</v>
      </c>
      <c r="C1309" s="1245">
        <v>15</v>
      </c>
      <c r="D1309" s="1246" t="s">
        <v>767</v>
      </c>
      <c r="E1309" s="1313">
        <v>230000</v>
      </c>
      <c r="F1309" s="1247">
        <f t="shared" si="32"/>
        <v>3450000</v>
      </c>
      <c r="G1309" s="1232"/>
    </row>
    <row r="1310" spans="1:7" ht="16.5" x14ac:dyDescent="0.25">
      <c r="A1310" s="1266"/>
      <c r="B1310" s="1433" t="s">
        <v>1666</v>
      </c>
      <c r="C1310" s="1227">
        <v>1</v>
      </c>
      <c r="D1310" s="1227" t="s">
        <v>106</v>
      </c>
      <c r="E1310" s="1264">
        <v>250000</v>
      </c>
      <c r="F1310" s="1247">
        <f t="shared" si="32"/>
        <v>250000</v>
      </c>
      <c r="G1310" s="1232"/>
    </row>
    <row r="1311" spans="1:7" ht="16.5" x14ac:dyDescent="0.25">
      <c r="A1311" s="1266"/>
      <c r="B1311" s="1433" t="s">
        <v>1277</v>
      </c>
      <c r="C1311" s="1227">
        <v>1</v>
      </c>
      <c r="D1311" s="1227" t="s">
        <v>106</v>
      </c>
      <c r="E1311" s="1264">
        <v>500000</v>
      </c>
      <c r="F1311" s="1247">
        <f t="shared" si="32"/>
        <v>500000</v>
      </c>
      <c r="G1311" s="1232"/>
    </row>
    <row r="1312" spans="1:7" x14ac:dyDescent="0.25">
      <c r="A1312" s="1242"/>
      <c r="B1312" s="911" t="s">
        <v>1281</v>
      </c>
      <c r="C1312" s="1456">
        <v>262</v>
      </c>
      <c r="D1312" s="1230" t="s">
        <v>1275</v>
      </c>
      <c r="E1312" s="945">
        <v>152000</v>
      </c>
      <c r="F1312" s="1238">
        <f>E1312*C1312</f>
        <v>39824000</v>
      </c>
      <c r="G1312" s="1232"/>
    </row>
    <row r="1313" spans="1:12" x14ac:dyDescent="0.25">
      <c r="A1313" s="1242"/>
      <c r="B1313" s="911" t="s">
        <v>1280</v>
      </c>
      <c r="C1313" s="1456">
        <v>26</v>
      </c>
      <c r="D1313" s="1230" t="s">
        <v>767</v>
      </c>
      <c r="E1313" s="945">
        <v>187000</v>
      </c>
      <c r="F1313" s="1238">
        <f t="shared" ref="F1313:F1315" si="33">E1313*C1313</f>
        <v>4862000</v>
      </c>
      <c r="G1313" s="1232"/>
    </row>
    <row r="1314" spans="1:12" x14ac:dyDescent="0.25">
      <c r="A1314" s="1242"/>
      <c r="B1314" s="1241" t="s">
        <v>1722</v>
      </c>
      <c r="C1314" s="1239">
        <v>332</v>
      </c>
      <c r="D1314" s="1236" t="s">
        <v>106</v>
      </c>
      <c r="E1314" s="1237">
        <v>164000</v>
      </c>
      <c r="F1314" s="1238">
        <f t="shared" si="33"/>
        <v>54448000</v>
      </c>
      <c r="G1314" s="1232"/>
    </row>
    <row r="1315" spans="1:12" x14ac:dyDescent="0.25">
      <c r="A1315" s="1253"/>
      <c r="B1315" s="1255" t="s">
        <v>1723</v>
      </c>
      <c r="C1315" s="1256">
        <v>1</v>
      </c>
      <c r="D1315" s="1257" t="s">
        <v>110</v>
      </c>
      <c r="E1315" s="1258">
        <v>2000000</v>
      </c>
      <c r="F1315" s="1258">
        <f t="shared" si="33"/>
        <v>2000000</v>
      </c>
      <c r="G1315" s="1232"/>
    </row>
    <row r="1316" spans="1:12" ht="15.75" thickBot="1" x14ac:dyDescent="0.3">
      <c r="A1316" s="1240"/>
      <c r="B1316" s="1255"/>
      <c r="C1316" s="1256"/>
      <c r="D1316" s="1257"/>
      <c r="E1316" s="1258"/>
      <c r="F1316" s="1252"/>
      <c r="G1316" s="1232"/>
    </row>
    <row r="1317" spans="1:12" ht="15.75" thickBot="1" x14ac:dyDescent="0.3">
      <c r="A1317" s="1245"/>
      <c r="B1317" s="2015" t="s">
        <v>515</v>
      </c>
      <c r="C1317" s="2016"/>
      <c r="D1317" s="2016"/>
      <c r="E1317" s="2017"/>
      <c r="F1317" s="1243">
        <f>SUM(F1307:F1315)</f>
        <v>139645000</v>
      </c>
      <c r="G1317" s="1254"/>
    </row>
    <row r="1318" spans="1:12" ht="15.75" thickBot="1" x14ac:dyDescent="0.3">
      <c r="A1318" s="1245"/>
      <c r="B1318" s="2015" t="s">
        <v>26</v>
      </c>
      <c r="C1318" s="2016"/>
      <c r="D1318" s="2016"/>
      <c r="E1318" s="2017"/>
      <c r="F1318" s="1243"/>
      <c r="G1318" s="1254" t="s">
        <v>1506</v>
      </c>
      <c r="L1318" s="139">
        <f>F1318</f>
        <v>0</v>
      </c>
    </row>
    <row r="1319" spans="1:12" x14ac:dyDescent="0.25">
      <c r="A1319" s="1260"/>
      <c r="B1319" s="1457"/>
      <c r="C1319" s="1457"/>
      <c r="D1319" s="1457"/>
      <c r="E1319" s="1457"/>
      <c r="F1319" s="1458"/>
      <c r="G1319" s="1377"/>
    </row>
    <row r="1320" spans="1:12" x14ac:dyDescent="0.25">
      <c r="A1320" s="1969" t="s">
        <v>516</v>
      </c>
      <c r="B1320" s="1969"/>
      <c r="C1320" s="1259" t="s">
        <v>27</v>
      </c>
      <c r="D1320" s="1969" t="s">
        <v>1224</v>
      </c>
      <c r="E1320" s="1969"/>
      <c r="F1320" s="1969"/>
      <c r="G1320" s="1969"/>
    </row>
    <row r="1321" spans="1:12" x14ac:dyDescent="0.25">
      <c r="A1321" s="1969" t="s">
        <v>28</v>
      </c>
      <c r="B1321" s="1969"/>
      <c r="C1321" s="1620"/>
      <c r="D1321" s="1971" t="s">
        <v>2443</v>
      </c>
      <c r="E1321" s="1971"/>
      <c r="F1321" s="1971"/>
      <c r="G1321" s="1971"/>
    </row>
    <row r="1322" spans="1:12" x14ac:dyDescent="0.25">
      <c r="A1322" s="1261"/>
      <c r="B1322" s="1262"/>
      <c r="C1322" s="1259"/>
      <c r="D1322" s="1260"/>
      <c r="E1322" s="948"/>
      <c r="F1322" s="993"/>
      <c r="G1322" s="1259"/>
    </row>
    <row r="1323" spans="1:12" x14ac:dyDescent="0.25">
      <c r="A1323" s="1261"/>
      <c r="B1323" s="1262"/>
      <c r="C1323" s="1259"/>
      <c r="D1323" s="1260"/>
      <c r="E1323" s="948"/>
      <c r="F1323" s="993"/>
      <c r="G1323" s="1259"/>
    </row>
    <row r="1324" spans="1:12" x14ac:dyDescent="0.25">
      <c r="A1324" s="1969"/>
      <c r="B1324" s="1969"/>
      <c r="C1324" s="1259"/>
      <c r="D1324" s="1260"/>
      <c r="E1324" s="2009"/>
      <c r="F1324" s="1969"/>
      <c r="G1324" s="1259"/>
    </row>
    <row r="1325" spans="1:12" x14ac:dyDescent="0.25">
      <c r="A1325" s="1969" t="s">
        <v>29</v>
      </c>
      <c r="B1325" s="1969"/>
      <c r="C1325" s="1259"/>
      <c r="D1325" s="1969" t="s">
        <v>517</v>
      </c>
      <c r="E1325" s="1969"/>
      <c r="F1325" s="1969"/>
      <c r="G1325" s="1969"/>
    </row>
    <row r="1326" spans="1:12" x14ac:dyDescent="0.25">
      <c r="A1326" s="2010" t="s">
        <v>1285</v>
      </c>
      <c r="B1326" s="2010"/>
      <c r="C1326" s="2010"/>
      <c r="D1326" s="2010"/>
      <c r="E1326" s="2010"/>
      <c r="F1326" s="2010"/>
      <c r="G1326" s="2010"/>
    </row>
    <row r="1327" spans="1:12" x14ac:dyDescent="0.25">
      <c r="A1327" s="2010" t="s">
        <v>1</v>
      </c>
      <c r="B1327" s="2010"/>
      <c r="C1327" s="2010"/>
      <c r="D1327" s="2010"/>
      <c r="E1327" s="2010"/>
      <c r="F1327" s="2010"/>
      <c r="G1327" s="2010"/>
    </row>
    <row r="1328" spans="1:12" x14ac:dyDescent="0.25">
      <c r="A1328" s="2010" t="s">
        <v>1454</v>
      </c>
      <c r="B1328" s="2010"/>
      <c r="C1328" s="2010"/>
      <c r="D1328" s="2010"/>
      <c r="E1328" s="2010"/>
      <c r="F1328" s="2010"/>
      <c r="G1328" s="2010"/>
    </row>
    <row r="1329" spans="1:7" x14ac:dyDescent="0.25">
      <c r="A1329" s="1209"/>
      <c r="B1329" s="1210"/>
      <c r="C1329" s="1211"/>
      <c r="D1329" s="1211"/>
      <c r="E1329" s="1212"/>
      <c r="F1329" s="1212"/>
      <c r="G1329" s="1212"/>
    </row>
    <row r="1330" spans="1:7" x14ac:dyDescent="0.25">
      <c r="A1330" s="1212" t="s">
        <v>1263</v>
      </c>
      <c r="B1330" s="1213"/>
      <c r="C1330" s="1214"/>
      <c r="D1330" s="1214"/>
      <c r="E1330" s="1215"/>
      <c r="F1330" s="1215"/>
      <c r="G1330" s="1212"/>
    </row>
    <row r="1331" spans="1:7" ht="24.75" x14ac:dyDescent="0.25">
      <c r="A1331" s="1216" t="s">
        <v>659</v>
      </c>
      <c r="B1331" s="1217" t="s">
        <v>1283</v>
      </c>
      <c r="C1331" s="1214"/>
      <c r="D1331" s="1214"/>
      <c r="E1331" s="1215" t="s">
        <v>1264</v>
      </c>
      <c r="F1331" s="1215"/>
      <c r="G1331" s="1212"/>
    </row>
    <row r="1332" spans="1:7" ht="45" x14ac:dyDescent="0.25">
      <c r="A1332" s="1218" t="s">
        <v>685</v>
      </c>
      <c r="B1332" s="1219" t="s">
        <v>2942</v>
      </c>
      <c r="C1332" s="1214"/>
      <c r="D1332" s="1214"/>
      <c r="E1332" s="1215" t="s">
        <v>1265</v>
      </c>
      <c r="F1332" s="1215"/>
      <c r="G1332" s="1216"/>
    </row>
    <row r="1333" spans="1:7" x14ac:dyDescent="0.25">
      <c r="A1333" s="1218" t="s">
        <v>1266</v>
      </c>
      <c r="B1333" s="1219" t="s">
        <v>1724</v>
      </c>
      <c r="C1333" s="1214"/>
      <c r="D1333" s="1214"/>
      <c r="E1333" s="1215"/>
      <c r="F1333" s="1215"/>
      <c r="G1333" s="1216"/>
    </row>
    <row r="1334" spans="1:7" x14ac:dyDescent="0.25">
      <c r="A1334" s="1212" t="s">
        <v>1267</v>
      </c>
      <c r="B1334" s="1213" t="s">
        <v>60</v>
      </c>
      <c r="C1334" s="1214"/>
      <c r="D1334" s="1214"/>
      <c r="E1334" s="1212"/>
      <c r="F1334" s="1212"/>
      <c r="G1334" s="1212"/>
    </row>
    <row r="1335" spans="1:7" x14ac:dyDescent="0.25">
      <c r="A1335" s="1216" t="s">
        <v>61</v>
      </c>
      <c r="B1335" s="1217" t="s">
        <v>62</v>
      </c>
      <c r="C1335" s="1214"/>
      <c r="D1335" s="1214"/>
      <c r="E1335" s="1216"/>
      <c r="F1335" s="1216"/>
      <c r="G1335" s="1216"/>
    </row>
    <row r="1336" spans="1:7" x14ac:dyDescent="0.25">
      <c r="A1336" s="1220"/>
      <c r="B1336" s="1221"/>
      <c r="C1336" s="1222"/>
      <c r="D1336" s="1222"/>
      <c r="E1336" s="1220"/>
      <c r="F1336" s="1220"/>
      <c r="G1336" s="1220"/>
    </row>
    <row r="1337" spans="1:7" ht="24" x14ac:dyDescent="0.25">
      <c r="A1337" s="1223" t="s">
        <v>30</v>
      </c>
      <c r="B1337" s="1223" t="s">
        <v>11</v>
      </c>
      <c r="C1337" s="2011" t="s">
        <v>12</v>
      </c>
      <c r="D1337" s="2012"/>
      <c r="E1337" s="1225" t="s">
        <v>13</v>
      </c>
      <c r="F1337" s="1224" t="s">
        <v>14</v>
      </c>
      <c r="G1337" s="1226" t="s">
        <v>256</v>
      </c>
    </row>
    <row r="1338" spans="1:7" x14ac:dyDescent="0.25">
      <c r="A1338" s="1227">
        <v>1</v>
      </c>
      <c r="B1338" s="1228">
        <v>2</v>
      </c>
      <c r="C1338" s="2013">
        <v>3</v>
      </c>
      <c r="D1338" s="2014"/>
      <c r="E1338" s="1231">
        <v>4</v>
      </c>
      <c r="F1338" s="1229">
        <v>5</v>
      </c>
      <c r="G1338" s="1232">
        <v>7</v>
      </c>
    </row>
    <row r="1339" spans="1:7" x14ac:dyDescent="0.25">
      <c r="A1339" s="1233" t="s">
        <v>2931</v>
      </c>
      <c r="B1339" s="1234" t="s">
        <v>1284</v>
      </c>
      <c r="C1339" s="1235"/>
      <c r="D1339" s="1236"/>
      <c r="E1339" s="1237"/>
      <c r="F1339" s="1238"/>
      <c r="G1339" s="1232"/>
    </row>
    <row r="1340" spans="1:7" x14ac:dyDescent="0.25">
      <c r="A1340" s="1233" t="s">
        <v>2932</v>
      </c>
      <c r="B1340" s="1234" t="s">
        <v>1658</v>
      </c>
      <c r="C1340" s="1235"/>
      <c r="D1340" s="1236"/>
      <c r="E1340" s="1237"/>
      <c r="F1340" s="1238"/>
      <c r="G1340" s="1232"/>
    </row>
    <row r="1341" spans="1:7" ht="24" x14ac:dyDescent="0.25">
      <c r="A1341" s="1233" t="s">
        <v>2933</v>
      </c>
      <c r="B1341" s="1234" t="s">
        <v>1279</v>
      </c>
      <c r="C1341" s="1239"/>
      <c r="D1341" s="1236"/>
      <c r="E1341" s="1237"/>
      <c r="F1341" s="1238"/>
      <c r="G1341" s="1232"/>
    </row>
    <row r="1342" spans="1:7" ht="15.75" thickBot="1" x14ac:dyDescent="0.3">
      <c r="A1342" s="1240"/>
      <c r="B1342" s="1241" t="s">
        <v>1660</v>
      </c>
      <c r="C1342" s="1239">
        <v>1</v>
      </c>
      <c r="D1342" s="1236" t="s">
        <v>444</v>
      </c>
      <c r="E1342" s="1237">
        <v>135000</v>
      </c>
      <c r="F1342" s="1238">
        <f>E1342*C1342</f>
        <v>135000</v>
      </c>
      <c r="G1342" s="1232"/>
    </row>
    <row r="1343" spans="1:7" ht="15.75" thickBot="1" x14ac:dyDescent="0.3">
      <c r="A1343" s="1242"/>
      <c r="B1343" s="2015" t="s">
        <v>515</v>
      </c>
      <c r="C1343" s="2016"/>
      <c r="D1343" s="2016"/>
      <c r="E1343" s="2017"/>
      <c r="F1343" s="1243">
        <f>SUM(F1342:F1342)</f>
        <v>135000</v>
      </c>
      <c r="G1343" s="1232"/>
    </row>
    <row r="1344" spans="1:7" x14ac:dyDescent="0.25">
      <c r="A1344" s="1233" t="s">
        <v>2934</v>
      </c>
      <c r="B1344" s="1244" t="s">
        <v>1268</v>
      </c>
      <c r="C1344" s="1245"/>
      <c r="D1344" s="1246"/>
      <c r="E1344" s="1242"/>
      <c r="F1344" s="1247"/>
      <c r="G1344" s="1232"/>
    </row>
    <row r="1345" spans="1:12" x14ac:dyDescent="0.25">
      <c r="A1345" s="1233"/>
      <c r="B1345" s="1263" t="s">
        <v>1269</v>
      </c>
      <c r="C1345" s="1229">
        <v>4</v>
      </c>
      <c r="D1345" s="1230" t="s">
        <v>392</v>
      </c>
      <c r="E1345" s="1264">
        <v>150000</v>
      </c>
      <c r="F1345" s="1238">
        <f>E1345*C1345</f>
        <v>600000</v>
      </c>
      <c r="G1345" s="1232"/>
    </row>
    <row r="1346" spans="1:12" ht="15.75" thickBot="1" x14ac:dyDescent="0.3">
      <c r="A1346" s="1315"/>
      <c r="B1346" s="1248" t="s">
        <v>1270</v>
      </c>
      <c r="C1346" s="1249">
        <v>11</v>
      </c>
      <c r="D1346" s="1250" t="s">
        <v>392</v>
      </c>
      <c r="E1346" s="1251">
        <v>120000</v>
      </c>
      <c r="F1346" s="1252">
        <f>E1346*C1346</f>
        <v>1320000</v>
      </c>
      <c r="G1346" s="1316"/>
    </row>
    <row r="1347" spans="1:12" ht="15.75" thickBot="1" x14ac:dyDescent="0.3">
      <c r="A1347" s="1253"/>
      <c r="B1347" s="2018" t="s">
        <v>515</v>
      </c>
      <c r="C1347" s="2019"/>
      <c r="D1347" s="2019"/>
      <c r="E1347" s="2020"/>
      <c r="F1347" s="1243">
        <f>SUM(F1345:F1346)</f>
        <v>1920000</v>
      </c>
      <c r="G1347" s="1318"/>
    </row>
    <row r="1348" spans="1:12" x14ac:dyDescent="0.25">
      <c r="A1348" s="1233" t="s">
        <v>2935</v>
      </c>
      <c r="B1348" s="1265" t="s">
        <v>1271</v>
      </c>
      <c r="C1348" s="1245"/>
      <c r="D1348" s="1246"/>
      <c r="E1348" s="1242"/>
      <c r="F1348" s="1247"/>
      <c r="G1348" s="1232"/>
    </row>
    <row r="1349" spans="1:12" ht="16.5" x14ac:dyDescent="0.25">
      <c r="A1349" s="1266"/>
      <c r="B1349" s="1433" t="s">
        <v>1725</v>
      </c>
      <c r="C1349" s="1245">
        <v>867</v>
      </c>
      <c r="D1349" s="1246" t="s">
        <v>262</v>
      </c>
      <c r="E1349" s="1313">
        <v>3000</v>
      </c>
      <c r="F1349" s="1247">
        <f>E1349*C1349</f>
        <v>2601000</v>
      </c>
      <c r="G1349" s="1232"/>
    </row>
    <row r="1350" spans="1:12" ht="16.5" x14ac:dyDescent="0.25">
      <c r="A1350" s="1266"/>
      <c r="B1350" s="1433" t="s">
        <v>1665</v>
      </c>
      <c r="C1350" s="1245">
        <v>516</v>
      </c>
      <c r="D1350" s="1246" t="s">
        <v>154</v>
      </c>
      <c r="E1350" s="1313">
        <v>3000</v>
      </c>
      <c r="F1350" s="1247">
        <f t="shared" ref="F1350:F1351" si="34">E1350*C1350</f>
        <v>1548000</v>
      </c>
      <c r="G1350" s="1232"/>
    </row>
    <row r="1351" spans="1:12" ht="16.5" x14ac:dyDescent="0.25">
      <c r="A1351" s="1266"/>
      <c r="B1351" s="1433" t="s">
        <v>1272</v>
      </c>
      <c r="C1351" s="1245">
        <v>3</v>
      </c>
      <c r="D1351" s="1246" t="s">
        <v>767</v>
      </c>
      <c r="E1351" s="1313">
        <v>230000</v>
      </c>
      <c r="F1351" s="1247">
        <f t="shared" si="34"/>
        <v>690000</v>
      </c>
      <c r="G1351" s="1232"/>
    </row>
    <row r="1352" spans="1:12" ht="15.75" thickBot="1" x14ac:dyDescent="0.3">
      <c r="A1352" s="1240"/>
      <c r="B1352" s="1255"/>
      <c r="C1352" s="1256"/>
      <c r="D1352" s="1257"/>
      <c r="E1352" s="1258"/>
      <c r="F1352" s="1252"/>
      <c r="G1352" s="1232"/>
    </row>
    <row r="1353" spans="1:12" ht="15.75" thickBot="1" x14ac:dyDescent="0.3">
      <c r="A1353" s="1245"/>
      <c r="B1353" s="2015" t="s">
        <v>515</v>
      </c>
      <c r="C1353" s="2016"/>
      <c r="D1353" s="2016"/>
      <c r="E1353" s="2017"/>
      <c r="F1353" s="1243">
        <f>SUM(F1349:F1351)</f>
        <v>4839000</v>
      </c>
      <c r="G1353" s="1254"/>
    </row>
    <row r="1354" spans="1:12" ht="15.75" thickBot="1" x14ac:dyDescent="0.3">
      <c r="A1354" s="1245"/>
      <c r="B1354" s="2015" t="s">
        <v>26</v>
      </c>
      <c r="C1354" s="2016"/>
      <c r="D1354" s="2016"/>
      <c r="E1354" s="2017"/>
      <c r="F1354" s="1243">
        <f>F1353+F1347+F1343</f>
        <v>6894000</v>
      </c>
      <c r="G1354" s="1254"/>
      <c r="L1354" s="139"/>
    </row>
    <row r="1355" spans="1:12" x14ac:dyDescent="0.25">
      <c r="A1355" s="1260"/>
      <c r="B1355" s="1457"/>
      <c r="C1355" s="1457"/>
      <c r="D1355" s="1457"/>
      <c r="E1355" s="1457"/>
      <c r="F1355" s="1458"/>
      <c r="G1355" s="1459"/>
    </row>
    <row r="1356" spans="1:12" x14ac:dyDescent="0.25">
      <c r="A1356" s="1969" t="s">
        <v>516</v>
      </c>
      <c r="B1356" s="1969"/>
      <c r="C1356" s="1459"/>
      <c r="D1356" s="1969" t="s">
        <v>1224</v>
      </c>
      <c r="E1356" s="1969"/>
      <c r="F1356" s="1969"/>
      <c r="G1356" s="1969"/>
    </row>
    <row r="1357" spans="1:12" x14ac:dyDescent="0.25">
      <c r="A1357" s="1969" t="s">
        <v>28</v>
      </c>
      <c r="B1357" s="1969"/>
      <c r="C1357" s="1259"/>
      <c r="D1357" s="1971" t="s">
        <v>1461</v>
      </c>
      <c r="E1357" s="1971"/>
      <c r="F1357" s="1971"/>
      <c r="G1357" s="1971"/>
    </row>
    <row r="1358" spans="1:12" x14ac:dyDescent="0.25">
      <c r="A1358" s="1261"/>
      <c r="B1358" s="1262"/>
      <c r="C1358" s="1259"/>
      <c r="D1358" s="1260"/>
      <c r="E1358" s="948"/>
      <c r="F1358" s="948"/>
      <c r="G1358" s="1259"/>
    </row>
    <row r="1359" spans="1:12" x14ac:dyDescent="0.25">
      <c r="A1359" s="1261"/>
      <c r="B1359" s="1262"/>
      <c r="C1359" s="1259"/>
      <c r="D1359" s="1260"/>
      <c r="E1359" s="948"/>
      <c r="F1359" s="993"/>
      <c r="G1359" s="1259"/>
    </row>
    <row r="1360" spans="1:12" x14ac:dyDescent="0.25">
      <c r="A1360" s="1969"/>
      <c r="B1360" s="1969"/>
      <c r="C1360" s="1259"/>
      <c r="D1360" s="1260"/>
      <c r="E1360" s="2009"/>
      <c r="F1360" s="1969"/>
      <c r="G1360" s="1259"/>
    </row>
    <row r="1361" spans="1:7" x14ac:dyDescent="0.25">
      <c r="A1361" s="1969" t="s">
        <v>29</v>
      </c>
      <c r="B1361" s="1969"/>
      <c r="C1361" s="1259"/>
      <c r="D1361" s="1969" t="s">
        <v>517</v>
      </c>
      <c r="E1361" s="1969"/>
      <c r="F1361" s="1969"/>
      <c r="G1361" s="1969"/>
    </row>
    <row r="1363" spans="1:7" x14ac:dyDescent="0.25">
      <c r="A1363" s="2010" t="s">
        <v>1285</v>
      </c>
      <c r="B1363" s="2010"/>
      <c r="C1363" s="2010"/>
      <c r="D1363" s="2010"/>
      <c r="E1363" s="2010"/>
      <c r="F1363" s="2010"/>
      <c r="G1363" s="2010"/>
    </row>
    <row r="1364" spans="1:7" x14ac:dyDescent="0.25">
      <c r="A1364" s="2010" t="s">
        <v>1</v>
      </c>
      <c r="B1364" s="2010"/>
      <c r="C1364" s="2010"/>
      <c r="D1364" s="2010"/>
      <c r="E1364" s="2010"/>
      <c r="F1364" s="2010"/>
      <c r="G1364" s="2010"/>
    </row>
    <row r="1365" spans="1:7" x14ac:dyDescent="0.25">
      <c r="A1365" s="2010" t="s">
        <v>1454</v>
      </c>
      <c r="B1365" s="2010"/>
      <c r="C1365" s="2010"/>
      <c r="D1365" s="2010"/>
      <c r="E1365" s="2010"/>
      <c r="F1365" s="2010"/>
      <c r="G1365" s="2010"/>
    </row>
    <row r="1366" spans="1:7" x14ac:dyDescent="0.25">
      <c r="A1366" s="1209"/>
      <c r="B1366" s="1210"/>
      <c r="C1366" s="1211"/>
      <c r="D1366" s="1211"/>
      <c r="E1366" s="1212"/>
      <c r="F1366" s="1212"/>
      <c r="G1366" s="1212"/>
    </row>
    <row r="1367" spans="1:7" x14ac:dyDescent="0.25">
      <c r="A1367" s="1212" t="s">
        <v>1263</v>
      </c>
      <c r="B1367" s="1213"/>
      <c r="C1367" s="1214"/>
      <c r="D1367" s="1214"/>
      <c r="E1367" s="1215"/>
      <c r="F1367" s="1215"/>
      <c r="G1367" s="1212"/>
    </row>
    <row r="1368" spans="1:7" ht="24.75" x14ac:dyDescent="0.25">
      <c r="A1368" s="1216" t="s">
        <v>659</v>
      </c>
      <c r="B1368" s="1217" t="s">
        <v>1283</v>
      </c>
      <c r="C1368" s="1214"/>
      <c r="D1368" s="1214"/>
      <c r="E1368" s="1215" t="s">
        <v>1264</v>
      </c>
      <c r="F1368" s="1215"/>
      <c r="G1368" s="1212"/>
    </row>
    <row r="1369" spans="1:7" ht="45" x14ac:dyDescent="0.25">
      <c r="A1369" s="1218" t="s">
        <v>685</v>
      </c>
      <c r="B1369" s="1219" t="s">
        <v>1726</v>
      </c>
      <c r="C1369" s="1214"/>
      <c r="D1369" s="1214"/>
      <c r="E1369" s="1215" t="s">
        <v>1265</v>
      </c>
      <c r="F1369" s="1215"/>
      <c r="G1369" s="1216"/>
    </row>
    <row r="1370" spans="1:7" x14ac:dyDescent="0.25">
      <c r="A1370" s="1218" t="s">
        <v>1266</v>
      </c>
      <c r="B1370" s="1219" t="s">
        <v>1727</v>
      </c>
      <c r="C1370" s="1214"/>
      <c r="D1370" s="1214"/>
      <c r="E1370" s="1215"/>
      <c r="F1370" s="1215"/>
      <c r="G1370" s="1216"/>
    </row>
    <row r="1371" spans="1:7" x14ac:dyDescent="0.25">
      <c r="A1371" s="1212" t="s">
        <v>1267</v>
      </c>
      <c r="B1371" s="1213" t="s">
        <v>60</v>
      </c>
      <c r="C1371" s="1214"/>
      <c r="D1371" s="1214"/>
      <c r="E1371" s="1212"/>
      <c r="F1371" s="1212"/>
      <c r="G1371" s="1212"/>
    </row>
    <row r="1372" spans="1:7" x14ac:dyDescent="0.25">
      <c r="A1372" s="1216" t="s">
        <v>61</v>
      </c>
      <c r="B1372" s="1217" t="s">
        <v>62</v>
      </c>
      <c r="C1372" s="1214"/>
      <c r="D1372" s="1214"/>
      <c r="E1372" s="1216"/>
      <c r="F1372" s="1216"/>
      <c r="G1372" s="1216"/>
    </row>
    <row r="1373" spans="1:7" x14ac:dyDescent="0.25">
      <c r="A1373" s="1220"/>
      <c r="B1373" s="1221"/>
      <c r="C1373" s="1222"/>
      <c r="D1373" s="1222"/>
      <c r="E1373" s="1220"/>
      <c r="F1373" s="1220"/>
      <c r="G1373" s="1220"/>
    </row>
    <row r="1374" spans="1:7" ht="24" x14ac:dyDescent="0.25">
      <c r="A1374" s="1223" t="s">
        <v>30</v>
      </c>
      <c r="B1374" s="1223" t="s">
        <v>11</v>
      </c>
      <c r="C1374" s="2011" t="s">
        <v>12</v>
      </c>
      <c r="D1374" s="2012"/>
      <c r="E1374" s="1225" t="s">
        <v>13</v>
      </c>
      <c r="F1374" s="1224" t="s">
        <v>14</v>
      </c>
      <c r="G1374" s="1226" t="s">
        <v>256</v>
      </c>
    </row>
    <row r="1375" spans="1:7" x14ac:dyDescent="0.25">
      <c r="A1375" s="1227">
        <v>1</v>
      </c>
      <c r="B1375" s="1228">
        <v>2</v>
      </c>
      <c r="C1375" s="2013">
        <v>3</v>
      </c>
      <c r="D1375" s="2014"/>
      <c r="E1375" s="1231">
        <v>4</v>
      </c>
      <c r="F1375" s="1229">
        <v>5</v>
      </c>
      <c r="G1375" s="1232">
        <v>7</v>
      </c>
    </row>
    <row r="1376" spans="1:7" x14ac:dyDescent="0.25">
      <c r="A1376" s="1233" t="s">
        <v>2931</v>
      </c>
      <c r="B1376" s="1234" t="s">
        <v>1284</v>
      </c>
      <c r="C1376" s="1235"/>
      <c r="D1376" s="1236"/>
      <c r="E1376" s="1237"/>
      <c r="F1376" s="1238"/>
      <c r="G1376" s="1232"/>
    </row>
    <row r="1377" spans="1:12" x14ac:dyDescent="0.25">
      <c r="A1377" s="1233" t="s">
        <v>2932</v>
      </c>
      <c r="B1377" s="1234" t="s">
        <v>1658</v>
      </c>
      <c r="C1377" s="1235"/>
      <c r="D1377" s="1236"/>
      <c r="E1377" s="1237"/>
      <c r="F1377" s="1238"/>
      <c r="G1377" s="1232"/>
    </row>
    <row r="1378" spans="1:12" ht="24" x14ac:dyDescent="0.25">
      <c r="A1378" s="1233" t="s">
        <v>2933</v>
      </c>
      <c r="B1378" s="1234" t="s">
        <v>1279</v>
      </c>
      <c r="C1378" s="1239"/>
      <c r="D1378" s="1236"/>
      <c r="E1378" s="1237"/>
      <c r="F1378" s="1238"/>
      <c r="G1378" s="1232"/>
    </row>
    <row r="1379" spans="1:12" ht="15.75" thickBot="1" x14ac:dyDescent="0.3">
      <c r="A1379" s="1240"/>
      <c r="B1379" s="1241" t="s">
        <v>1660</v>
      </c>
      <c r="C1379" s="1239">
        <v>1</v>
      </c>
      <c r="D1379" s="1236" t="s">
        <v>444</v>
      </c>
      <c r="E1379" s="1237">
        <v>200200</v>
      </c>
      <c r="F1379" s="1238">
        <f>E1379*C1379</f>
        <v>200200</v>
      </c>
      <c r="G1379" s="1232"/>
    </row>
    <row r="1380" spans="1:12" ht="15.75" thickBot="1" x14ac:dyDescent="0.3">
      <c r="A1380" s="1242"/>
      <c r="B1380" s="2015" t="s">
        <v>515</v>
      </c>
      <c r="C1380" s="2016"/>
      <c r="D1380" s="2016"/>
      <c r="E1380" s="2017"/>
      <c r="F1380" s="1243">
        <f>SUM(F1379:F1379)</f>
        <v>200200</v>
      </c>
      <c r="G1380" s="1232"/>
    </row>
    <row r="1381" spans="1:12" x14ac:dyDescent="0.25">
      <c r="A1381" s="1233" t="s">
        <v>2934</v>
      </c>
      <c r="B1381" s="1244" t="s">
        <v>1268</v>
      </c>
      <c r="C1381" s="1245"/>
      <c r="D1381" s="1246"/>
      <c r="E1381" s="1242"/>
      <c r="F1381" s="1247"/>
      <c r="G1381" s="1232"/>
    </row>
    <row r="1382" spans="1:12" x14ac:dyDescent="0.25">
      <c r="A1382" s="1315"/>
      <c r="B1382" s="1248" t="s">
        <v>1270</v>
      </c>
      <c r="C1382" s="1249">
        <v>15</v>
      </c>
      <c r="D1382" s="1250" t="s">
        <v>392</v>
      </c>
      <c r="E1382" s="1251">
        <v>120000</v>
      </c>
      <c r="F1382" s="1252">
        <f>E1382*C1382</f>
        <v>1800000</v>
      </c>
      <c r="G1382" s="1316"/>
    </row>
    <row r="1383" spans="1:12" x14ac:dyDescent="0.25">
      <c r="A1383" s="1233"/>
      <c r="B1383" s="1379"/>
      <c r="C1383" s="1227"/>
      <c r="D1383" s="1227"/>
      <c r="E1383" s="1264"/>
      <c r="F1383" s="1237"/>
      <c r="G1383" s="1232"/>
    </row>
    <row r="1384" spans="1:12" ht="15.75" thickBot="1" x14ac:dyDescent="0.3">
      <c r="A1384" s="1253"/>
      <c r="B1384" s="2021" t="s">
        <v>515</v>
      </c>
      <c r="C1384" s="2022"/>
      <c r="D1384" s="2022"/>
      <c r="E1384" s="2023"/>
      <c r="F1384" s="1427">
        <f>SUM(F1382:F1382)</f>
        <v>1800000</v>
      </c>
      <c r="G1384" s="1318"/>
    </row>
    <row r="1385" spans="1:12" ht="15.75" thickBot="1" x14ac:dyDescent="0.3">
      <c r="A1385" s="1245"/>
      <c r="B1385" s="2015" t="s">
        <v>26</v>
      </c>
      <c r="C1385" s="2016"/>
      <c r="D1385" s="2016"/>
      <c r="E1385" s="2017"/>
      <c r="F1385" s="1243">
        <f>F1384+F1380</f>
        <v>2000200</v>
      </c>
      <c r="G1385" s="1254"/>
      <c r="L1385" s="139"/>
    </row>
    <row r="1386" spans="1:12" x14ac:dyDescent="0.25">
      <c r="A1386" s="1260"/>
      <c r="B1386" s="1457"/>
      <c r="C1386" s="1457"/>
      <c r="D1386" s="1457"/>
      <c r="E1386" s="1457"/>
      <c r="F1386" s="1458"/>
      <c r="G1386" s="1377"/>
    </row>
    <row r="1387" spans="1:12" x14ac:dyDescent="0.25">
      <c r="A1387" s="1969" t="s">
        <v>516</v>
      </c>
      <c r="B1387" s="1969"/>
      <c r="C1387" s="1259" t="s">
        <v>27</v>
      </c>
      <c r="D1387" s="1969" t="s">
        <v>1224</v>
      </c>
      <c r="E1387" s="1969"/>
      <c r="F1387" s="1969"/>
      <c r="G1387" s="1969"/>
    </row>
    <row r="1388" spans="1:12" x14ac:dyDescent="0.25">
      <c r="A1388" s="1969" t="s">
        <v>28</v>
      </c>
      <c r="B1388" s="1969"/>
      <c r="C1388" s="1259"/>
      <c r="D1388" s="1971" t="s">
        <v>2443</v>
      </c>
      <c r="E1388" s="1971"/>
      <c r="F1388" s="1971"/>
      <c r="G1388" s="1971"/>
    </row>
    <row r="1389" spans="1:12" x14ac:dyDescent="0.25">
      <c r="A1389" s="1261"/>
      <c r="B1389" s="1262"/>
      <c r="C1389" s="1259"/>
      <c r="D1389" s="1260"/>
      <c r="E1389" s="948"/>
      <c r="F1389" s="948"/>
      <c r="G1389" s="1259"/>
    </row>
    <row r="1390" spans="1:12" x14ac:dyDescent="0.25">
      <c r="A1390" s="1261"/>
      <c r="B1390" s="1262"/>
      <c r="C1390" s="1259"/>
      <c r="D1390" s="1260"/>
      <c r="E1390" s="948"/>
      <c r="F1390" s="993"/>
      <c r="G1390" s="1259"/>
    </row>
    <row r="1391" spans="1:12" x14ac:dyDescent="0.25">
      <c r="A1391" s="1969"/>
      <c r="B1391" s="1969"/>
      <c r="C1391" s="1259"/>
      <c r="D1391" s="1260"/>
      <c r="E1391" s="2009"/>
      <c r="F1391" s="1969"/>
      <c r="G1391" s="1259"/>
    </row>
    <row r="1392" spans="1:12" x14ac:dyDescent="0.25">
      <c r="A1392" s="1969" t="s">
        <v>29</v>
      </c>
      <c r="B1392" s="1969"/>
      <c r="C1392" s="1259"/>
      <c r="D1392" s="1969" t="s">
        <v>517</v>
      </c>
      <c r="E1392" s="1969"/>
      <c r="F1392" s="1969"/>
      <c r="G1392" s="1969"/>
    </row>
    <row r="1394" spans="1:7" x14ac:dyDescent="0.25">
      <c r="A1394" s="2010" t="s">
        <v>1285</v>
      </c>
      <c r="B1394" s="2010"/>
      <c r="C1394" s="2010"/>
      <c r="D1394" s="2010"/>
      <c r="E1394" s="2010"/>
      <c r="F1394" s="2010"/>
      <c r="G1394" s="2010"/>
    </row>
    <row r="1395" spans="1:7" x14ac:dyDescent="0.25">
      <c r="A1395" s="2010" t="s">
        <v>1</v>
      </c>
      <c r="B1395" s="2010"/>
      <c r="C1395" s="2010"/>
      <c r="D1395" s="2010"/>
      <c r="E1395" s="2010"/>
      <c r="F1395" s="2010"/>
      <c r="G1395" s="2010"/>
    </row>
    <row r="1396" spans="1:7" x14ac:dyDescent="0.25">
      <c r="A1396" s="2010" t="s">
        <v>1454</v>
      </c>
      <c r="B1396" s="2010"/>
      <c r="C1396" s="2010"/>
      <c r="D1396" s="2010"/>
      <c r="E1396" s="2010"/>
      <c r="F1396" s="2010"/>
      <c r="G1396" s="2010"/>
    </row>
    <row r="1397" spans="1:7" x14ac:dyDescent="0.25">
      <c r="A1397" s="1209"/>
      <c r="B1397" s="1210"/>
      <c r="C1397" s="1211"/>
      <c r="D1397" s="1211"/>
      <c r="E1397" s="1212"/>
      <c r="F1397" s="1212"/>
      <c r="G1397" s="1212"/>
    </row>
    <row r="1398" spans="1:7" x14ac:dyDescent="0.25">
      <c r="A1398" s="1212" t="s">
        <v>1263</v>
      </c>
      <c r="B1398" s="1213"/>
      <c r="C1398" s="1214"/>
      <c r="D1398" s="1214"/>
      <c r="E1398" s="1215"/>
      <c r="F1398" s="1215"/>
      <c r="G1398" s="1212"/>
    </row>
    <row r="1399" spans="1:7" ht="24.75" x14ac:dyDescent="0.25">
      <c r="A1399" s="1216" t="s">
        <v>659</v>
      </c>
      <c r="B1399" s="1217" t="s">
        <v>1283</v>
      </c>
      <c r="C1399" s="1214"/>
      <c r="D1399" s="1214"/>
      <c r="E1399" s="1215" t="s">
        <v>1264</v>
      </c>
      <c r="F1399" s="1215"/>
      <c r="G1399" s="1212"/>
    </row>
    <row r="1400" spans="1:7" ht="60" x14ac:dyDescent="0.25">
      <c r="A1400" s="1218" t="s">
        <v>685</v>
      </c>
      <c r="B1400" s="1219" t="s">
        <v>1728</v>
      </c>
      <c r="C1400" s="1214"/>
      <c r="D1400" s="1214"/>
      <c r="E1400" s="1215" t="s">
        <v>1265</v>
      </c>
      <c r="F1400" s="1215"/>
      <c r="G1400" s="1216"/>
    </row>
    <row r="1401" spans="1:7" ht="30" x14ac:dyDescent="0.25">
      <c r="A1401" s="1218" t="s">
        <v>1266</v>
      </c>
      <c r="B1401" s="1219" t="s">
        <v>1729</v>
      </c>
      <c r="C1401" s="1214"/>
      <c r="D1401" s="1214"/>
      <c r="E1401" s="1215"/>
      <c r="F1401" s="1215"/>
      <c r="G1401" s="1216"/>
    </row>
    <row r="1402" spans="1:7" x14ac:dyDescent="0.25">
      <c r="A1402" s="1212" t="s">
        <v>1267</v>
      </c>
      <c r="B1402" s="1213" t="s">
        <v>60</v>
      </c>
      <c r="C1402" s="1214"/>
      <c r="D1402" s="1214"/>
      <c r="E1402" s="1212"/>
      <c r="F1402" s="1212"/>
      <c r="G1402" s="1212"/>
    </row>
    <row r="1403" spans="1:7" x14ac:dyDescent="0.25">
      <c r="A1403" s="1216" t="s">
        <v>61</v>
      </c>
      <c r="B1403" s="1217" t="s">
        <v>62</v>
      </c>
      <c r="C1403" s="1214"/>
      <c r="D1403" s="1214"/>
      <c r="E1403" s="1216"/>
      <c r="F1403" s="1216"/>
      <c r="G1403" s="1216"/>
    </row>
    <row r="1404" spans="1:7" x14ac:dyDescent="0.25">
      <c r="A1404" s="1220"/>
      <c r="B1404" s="1221"/>
      <c r="C1404" s="1222"/>
      <c r="D1404" s="1222"/>
      <c r="E1404" s="1220"/>
      <c r="F1404" s="1220"/>
      <c r="G1404" s="1220"/>
    </row>
    <row r="1405" spans="1:7" ht="24" x14ac:dyDescent="0.25">
      <c r="A1405" s="1223" t="s">
        <v>30</v>
      </c>
      <c r="B1405" s="1223" t="s">
        <v>11</v>
      </c>
      <c r="C1405" s="2011" t="s">
        <v>12</v>
      </c>
      <c r="D1405" s="2012"/>
      <c r="E1405" s="1225" t="s">
        <v>13</v>
      </c>
      <c r="F1405" s="1224" t="s">
        <v>14</v>
      </c>
      <c r="G1405" s="1226" t="s">
        <v>256</v>
      </c>
    </row>
    <row r="1406" spans="1:7" x14ac:dyDescent="0.25">
      <c r="A1406" s="1227">
        <v>1</v>
      </c>
      <c r="B1406" s="1228">
        <v>2</v>
      </c>
      <c r="C1406" s="2013">
        <v>3</v>
      </c>
      <c r="D1406" s="2014"/>
      <c r="E1406" s="1231">
        <v>4</v>
      </c>
      <c r="F1406" s="1229">
        <v>5</v>
      </c>
      <c r="G1406" s="1232">
        <v>7</v>
      </c>
    </row>
    <row r="1407" spans="1:7" x14ac:dyDescent="0.25">
      <c r="A1407" s="1233" t="s">
        <v>1683</v>
      </c>
      <c r="B1407" s="1234" t="s">
        <v>1284</v>
      </c>
      <c r="C1407" s="1235"/>
      <c r="D1407" s="1236"/>
      <c r="E1407" s="1237"/>
      <c r="F1407" s="1238"/>
      <c r="G1407" s="1232"/>
    </row>
    <row r="1408" spans="1:7" x14ac:dyDescent="0.25">
      <c r="A1408" s="1233" t="s">
        <v>1684</v>
      </c>
      <c r="B1408" s="1234" t="s">
        <v>1658</v>
      </c>
      <c r="C1408" s="1235"/>
      <c r="D1408" s="1236"/>
      <c r="E1408" s="1237"/>
      <c r="F1408" s="1238"/>
      <c r="G1408" s="1232"/>
    </row>
    <row r="1409" spans="1:12" ht="24" x14ac:dyDescent="0.25">
      <c r="A1409" s="1233" t="s">
        <v>1685</v>
      </c>
      <c r="B1409" s="1234" t="s">
        <v>1279</v>
      </c>
      <c r="C1409" s="1239"/>
      <c r="D1409" s="1236"/>
      <c r="E1409" s="1237"/>
      <c r="F1409" s="1238"/>
      <c r="G1409" s="1232"/>
    </row>
    <row r="1410" spans="1:12" ht="15.75" thickBot="1" x14ac:dyDescent="0.3">
      <c r="A1410" s="1240"/>
      <c r="B1410" s="1241" t="s">
        <v>1660</v>
      </c>
      <c r="C1410" s="1239">
        <v>1</v>
      </c>
      <c r="D1410" s="1236" t="s">
        <v>213</v>
      </c>
      <c r="E1410" s="1237">
        <v>98800</v>
      </c>
      <c r="F1410" s="1238">
        <f>E1410*C1410</f>
        <v>98800</v>
      </c>
      <c r="G1410" s="1232"/>
    </row>
    <row r="1411" spans="1:12" ht="15.75" thickBot="1" x14ac:dyDescent="0.3">
      <c r="A1411" s="1242"/>
      <c r="B1411" s="2015" t="s">
        <v>515</v>
      </c>
      <c r="C1411" s="2016"/>
      <c r="D1411" s="2016"/>
      <c r="E1411" s="2017"/>
      <c r="F1411" s="1243">
        <f>SUM(F1410:F1410)</f>
        <v>98800</v>
      </c>
      <c r="G1411" s="1232"/>
    </row>
    <row r="1412" spans="1:12" x14ac:dyDescent="0.25">
      <c r="A1412" s="1233" t="s">
        <v>1686</v>
      </c>
      <c r="B1412" s="1244" t="s">
        <v>1268</v>
      </c>
      <c r="C1412" s="1245"/>
      <c r="D1412" s="1246"/>
      <c r="E1412" s="1242"/>
      <c r="F1412" s="1247"/>
      <c r="G1412" s="1232"/>
    </row>
    <row r="1413" spans="1:12" x14ac:dyDescent="0.25">
      <c r="A1413" s="1233"/>
      <c r="B1413" s="1248" t="s">
        <v>1270</v>
      </c>
      <c r="C1413" s="1249">
        <v>19</v>
      </c>
      <c r="D1413" s="1250" t="s">
        <v>392</v>
      </c>
      <c r="E1413" s="1251">
        <v>120000</v>
      </c>
      <c r="F1413" s="1252">
        <f>E1413*C1413</f>
        <v>2280000</v>
      </c>
      <c r="G1413" s="1232"/>
    </row>
    <row r="1414" spans="1:12" ht="15.75" thickBot="1" x14ac:dyDescent="0.3">
      <c r="A1414" s="1233"/>
      <c r="B1414" s="1248" t="s">
        <v>1730</v>
      </c>
      <c r="C1414" s="1249">
        <v>8</v>
      </c>
      <c r="D1414" s="1250" t="s">
        <v>106</v>
      </c>
      <c r="E1414" s="1251">
        <v>500000</v>
      </c>
      <c r="F1414" s="1252">
        <f>E1414*C1414</f>
        <v>4000000</v>
      </c>
      <c r="G1414" s="1232"/>
    </row>
    <row r="1415" spans="1:12" ht="15.75" thickBot="1" x14ac:dyDescent="0.3">
      <c r="A1415" s="1253"/>
      <c r="B1415" s="2018" t="s">
        <v>515</v>
      </c>
      <c r="C1415" s="2019"/>
      <c r="D1415" s="2019"/>
      <c r="E1415" s="2020"/>
      <c r="F1415" s="1243">
        <f>SUM(F1413:F1413)</f>
        <v>2280000</v>
      </c>
      <c r="G1415" s="1254"/>
    </row>
    <row r="1416" spans="1:12" ht="15.75" thickBot="1" x14ac:dyDescent="0.3">
      <c r="A1416" s="1240"/>
      <c r="B1416" s="1255"/>
      <c r="C1416" s="1256"/>
      <c r="D1416" s="1257"/>
      <c r="E1416" s="1258"/>
      <c r="F1416" s="1252"/>
      <c r="G1416" s="1232"/>
    </row>
    <row r="1417" spans="1:12" ht="15.75" thickBot="1" x14ac:dyDescent="0.3">
      <c r="A1417" s="1245"/>
      <c r="B1417" s="2015" t="s">
        <v>26</v>
      </c>
      <c r="C1417" s="2016"/>
      <c r="D1417" s="2016"/>
      <c r="E1417" s="2017"/>
      <c r="F1417" s="1243">
        <f>F1415+F1411</f>
        <v>2378800</v>
      </c>
      <c r="G1417" s="1254"/>
      <c r="L1417" s="139"/>
    </row>
    <row r="1418" spans="1:12" x14ac:dyDescent="0.25">
      <c r="A1418" s="1260"/>
      <c r="B1418" s="1457"/>
      <c r="C1418" s="1457"/>
      <c r="D1418" s="1457"/>
      <c r="E1418" s="1457"/>
      <c r="F1418" s="1458"/>
      <c r="G1418" s="1377"/>
    </row>
    <row r="1419" spans="1:12" x14ac:dyDescent="0.25">
      <c r="A1419" s="1969" t="s">
        <v>516</v>
      </c>
      <c r="B1419" s="1969"/>
      <c r="C1419" s="1259" t="s">
        <v>27</v>
      </c>
      <c r="D1419" s="1969" t="s">
        <v>1224</v>
      </c>
      <c r="E1419" s="1969"/>
      <c r="F1419" s="1969"/>
      <c r="G1419" s="1969"/>
    </row>
    <row r="1420" spans="1:12" x14ac:dyDescent="0.25">
      <c r="A1420" s="1969" t="s">
        <v>28</v>
      </c>
      <c r="B1420" s="1969"/>
      <c r="C1420" s="1259"/>
      <c r="D1420" s="1971" t="s">
        <v>1461</v>
      </c>
      <c r="E1420" s="1971"/>
      <c r="F1420" s="1971"/>
      <c r="G1420" s="1971"/>
    </row>
    <row r="1421" spans="1:12" x14ac:dyDescent="0.25">
      <c r="A1421" s="1261"/>
      <c r="B1421" s="1262"/>
      <c r="C1421" s="1259"/>
      <c r="D1421" s="1260"/>
      <c r="E1421" s="948"/>
      <c r="F1421" s="948"/>
      <c r="G1421" s="1259"/>
    </row>
    <row r="1422" spans="1:12" x14ac:dyDescent="0.25">
      <c r="A1422" s="1261"/>
      <c r="B1422" s="1262"/>
      <c r="C1422" s="1259"/>
      <c r="D1422" s="1260"/>
      <c r="E1422" s="948"/>
      <c r="F1422" s="993"/>
      <c r="G1422" s="1259"/>
    </row>
    <row r="1423" spans="1:12" x14ac:dyDescent="0.25">
      <c r="A1423" s="1969"/>
      <c r="B1423" s="1969"/>
      <c r="C1423" s="1259"/>
      <c r="D1423" s="1260"/>
      <c r="E1423" s="2009"/>
      <c r="F1423" s="1969"/>
      <c r="G1423" s="1259"/>
    </row>
    <row r="1424" spans="1:12" x14ac:dyDescent="0.25">
      <c r="A1424" s="1969" t="s">
        <v>29</v>
      </c>
      <c r="B1424" s="1969"/>
      <c r="C1424" s="1259"/>
      <c r="D1424" s="1969" t="s">
        <v>517</v>
      </c>
      <c r="E1424" s="1969"/>
      <c r="F1424" s="1969"/>
      <c r="G1424" s="1969"/>
    </row>
    <row r="1426" spans="1:7" x14ac:dyDescent="0.25">
      <c r="A1426" s="2010" t="s">
        <v>1285</v>
      </c>
      <c r="B1426" s="2010"/>
      <c r="C1426" s="2010"/>
      <c r="D1426" s="2010"/>
      <c r="E1426" s="2010"/>
      <c r="F1426" s="2010"/>
      <c r="G1426" s="2010"/>
    </row>
    <row r="1427" spans="1:7" x14ac:dyDescent="0.25">
      <c r="A1427" s="2010" t="s">
        <v>1</v>
      </c>
      <c r="B1427" s="2010"/>
      <c r="C1427" s="2010"/>
      <c r="D1427" s="2010"/>
      <c r="E1427" s="2010"/>
      <c r="F1427" s="2010"/>
      <c r="G1427" s="2010"/>
    </row>
    <row r="1428" spans="1:7" x14ac:dyDescent="0.25">
      <c r="A1428" s="2010" t="s">
        <v>1454</v>
      </c>
      <c r="B1428" s="2010"/>
      <c r="C1428" s="2010"/>
      <c r="D1428" s="2010"/>
      <c r="E1428" s="2010"/>
      <c r="F1428" s="2010"/>
      <c r="G1428" s="2010"/>
    </row>
    <row r="1429" spans="1:7" x14ac:dyDescent="0.25">
      <c r="A1429" s="1209"/>
      <c r="B1429" s="1210"/>
      <c r="C1429" s="1211"/>
      <c r="D1429" s="1211"/>
      <c r="E1429" s="1212"/>
      <c r="F1429" s="1212"/>
      <c r="G1429" s="1212"/>
    </row>
    <row r="1430" spans="1:7" x14ac:dyDescent="0.25">
      <c r="A1430" s="1212" t="s">
        <v>1263</v>
      </c>
      <c r="B1430" s="1213"/>
      <c r="C1430" s="1214"/>
      <c r="D1430" s="1214"/>
      <c r="E1430" s="1215"/>
      <c r="F1430" s="1215"/>
      <c r="G1430" s="1212"/>
    </row>
    <row r="1431" spans="1:7" ht="24.75" x14ac:dyDescent="0.25">
      <c r="A1431" s="1216" t="s">
        <v>659</v>
      </c>
      <c r="B1431" s="1217" t="s">
        <v>1283</v>
      </c>
      <c r="C1431" s="1214"/>
      <c r="D1431" s="1214"/>
      <c r="E1431" s="1215" t="s">
        <v>1264</v>
      </c>
      <c r="F1431" s="1215"/>
      <c r="G1431" s="1212"/>
    </row>
    <row r="1432" spans="1:7" ht="45" x14ac:dyDescent="0.25">
      <c r="A1432" s="1218" t="s">
        <v>685</v>
      </c>
      <c r="B1432" s="1219" t="s">
        <v>1731</v>
      </c>
      <c r="C1432" s="1214"/>
      <c r="D1432" s="1214"/>
      <c r="E1432" s="1215" t="s">
        <v>1265</v>
      </c>
      <c r="F1432" s="1215"/>
      <c r="G1432" s="1216"/>
    </row>
    <row r="1433" spans="1:7" x14ac:dyDescent="0.25">
      <c r="A1433" s="1218" t="s">
        <v>1266</v>
      </c>
      <c r="B1433" s="1219" t="s">
        <v>1732</v>
      </c>
      <c r="C1433" s="1214"/>
      <c r="D1433" s="1214"/>
      <c r="E1433" s="1215"/>
      <c r="F1433" s="1215"/>
      <c r="G1433" s="1216"/>
    </row>
    <row r="1434" spans="1:7" x14ac:dyDescent="0.25">
      <c r="A1434" s="1212" t="s">
        <v>1267</v>
      </c>
      <c r="B1434" s="1213" t="s">
        <v>60</v>
      </c>
      <c r="C1434" s="1214"/>
      <c r="D1434" s="1214"/>
      <c r="E1434" s="1212"/>
      <c r="F1434" s="1212"/>
      <c r="G1434" s="1212"/>
    </row>
    <row r="1435" spans="1:7" x14ac:dyDescent="0.25">
      <c r="A1435" s="1216" t="s">
        <v>61</v>
      </c>
      <c r="B1435" s="1217" t="s">
        <v>62</v>
      </c>
      <c r="C1435" s="1214"/>
      <c r="D1435" s="1214"/>
      <c r="E1435" s="1216"/>
      <c r="F1435" s="1216"/>
      <c r="G1435" s="1216"/>
    </row>
    <row r="1436" spans="1:7" x14ac:dyDescent="0.25">
      <c r="A1436" s="1220"/>
      <c r="B1436" s="1221"/>
      <c r="C1436" s="1222"/>
      <c r="D1436" s="1222"/>
      <c r="E1436" s="1220"/>
      <c r="F1436" s="1220"/>
      <c r="G1436" s="1220"/>
    </row>
    <row r="1437" spans="1:7" ht="24" x14ac:dyDescent="0.25">
      <c r="A1437" s="1223" t="s">
        <v>30</v>
      </c>
      <c r="B1437" s="1223" t="s">
        <v>11</v>
      </c>
      <c r="C1437" s="2011" t="s">
        <v>12</v>
      </c>
      <c r="D1437" s="2012"/>
      <c r="E1437" s="1225" t="s">
        <v>13</v>
      </c>
      <c r="F1437" s="1224" t="s">
        <v>14</v>
      </c>
      <c r="G1437" s="1226" t="s">
        <v>256</v>
      </c>
    </row>
    <row r="1438" spans="1:7" x14ac:dyDescent="0.25">
      <c r="A1438" s="1227">
        <v>1</v>
      </c>
      <c r="B1438" s="1228">
        <v>2</v>
      </c>
      <c r="C1438" s="2013">
        <v>3</v>
      </c>
      <c r="D1438" s="2014"/>
      <c r="E1438" s="1231">
        <v>4</v>
      </c>
      <c r="F1438" s="1229">
        <v>5</v>
      </c>
      <c r="G1438" s="1232">
        <v>7</v>
      </c>
    </row>
    <row r="1439" spans="1:7" x14ac:dyDescent="0.25">
      <c r="A1439" s="1233" t="s">
        <v>2931</v>
      </c>
      <c r="B1439" s="1234" t="s">
        <v>1284</v>
      </c>
      <c r="C1439" s="1235"/>
      <c r="D1439" s="1236"/>
      <c r="E1439" s="1237"/>
      <c r="F1439" s="1238"/>
      <c r="G1439" s="1232"/>
    </row>
    <row r="1440" spans="1:7" x14ac:dyDescent="0.25">
      <c r="A1440" s="1233" t="s">
        <v>2932</v>
      </c>
      <c r="B1440" s="1234" t="s">
        <v>1658</v>
      </c>
      <c r="C1440" s="1235"/>
      <c r="D1440" s="1236"/>
      <c r="E1440" s="1237"/>
      <c r="F1440" s="1238"/>
      <c r="G1440" s="1232"/>
    </row>
    <row r="1441" spans="1:7" ht="24" x14ac:dyDescent="0.25">
      <c r="A1441" s="1233" t="s">
        <v>2933</v>
      </c>
      <c r="B1441" s="1234" t="s">
        <v>1279</v>
      </c>
      <c r="C1441" s="1239"/>
      <c r="D1441" s="1236"/>
      <c r="E1441" s="1237"/>
      <c r="F1441" s="1238"/>
      <c r="G1441" s="1232"/>
    </row>
    <row r="1442" spans="1:7" ht="15.75" thickBot="1" x14ac:dyDescent="0.3">
      <c r="A1442" s="1240"/>
      <c r="B1442" s="1241" t="s">
        <v>1660</v>
      </c>
      <c r="C1442" s="1239">
        <v>1</v>
      </c>
      <c r="D1442" s="1236" t="s">
        <v>213</v>
      </c>
      <c r="E1442" s="1237">
        <v>988600</v>
      </c>
      <c r="F1442" s="1238">
        <f>E1442*C1442</f>
        <v>988600</v>
      </c>
      <c r="G1442" s="1232"/>
    </row>
    <row r="1443" spans="1:7" ht="15.75" thickBot="1" x14ac:dyDescent="0.3">
      <c r="A1443" s="1242"/>
      <c r="B1443" s="2015" t="s">
        <v>515</v>
      </c>
      <c r="C1443" s="2016"/>
      <c r="D1443" s="2016"/>
      <c r="E1443" s="2017"/>
      <c r="F1443" s="1243">
        <f>SUM(F1442:F1442)</f>
        <v>988600</v>
      </c>
      <c r="G1443" s="1232"/>
    </row>
    <row r="1444" spans="1:7" x14ac:dyDescent="0.25">
      <c r="A1444" s="1233" t="s">
        <v>2934</v>
      </c>
      <c r="B1444" s="1244" t="s">
        <v>1268</v>
      </c>
      <c r="C1444" s="1245"/>
      <c r="D1444" s="1246"/>
      <c r="E1444" s="1242"/>
      <c r="F1444" s="1247"/>
      <c r="G1444" s="1232"/>
    </row>
    <row r="1445" spans="1:7" x14ac:dyDescent="0.25">
      <c r="A1445" s="1233"/>
      <c r="B1445" s="1263" t="s">
        <v>1269</v>
      </c>
      <c r="C1445" s="1229">
        <v>3</v>
      </c>
      <c r="D1445" s="1230" t="s">
        <v>392</v>
      </c>
      <c r="E1445" s="1264">
        <v>150000</v>
      </c>
      <c r="F1445" s="1238">
        <f>E1445*C1445</f>
        <v>450000</v>
      </c>
      <c r="G1445" s="1232"/>
    </row>
    <row r="1446" spans="1:7" ht="15.75" thickBot="1" x14ac:dyDescent="0.3">
      <c r="A1446" s="1315"/>
      <c r="B1446" s="1248" t="s">
        <v>1270</v>
      </c>
      <c r="C1446" s="1249">
        <v>6</v>
      </c>
      <c r="D1446" s="1250" t="s">
        <v>392</v>
      </c>
      <c r="E1446" s="1251">
        <v>120000</v>
      </c>
      <c r="F1446" s="1252">
        <f>E1446*C1446</f>
        <v>720000</v>
      </c>
      <c r="G1446" s="1232"/>
    </row>
    <row r="1447" spans="1:7" ht="15.75" thickBot="1" x14ac:dyDescent="0.3">
      <c r="A1447" s="1253"/>
      <c r="B1447" s="2018" t="s">
        <v>515</v>
      </c>
      <c r="C1447" s="2019"/>
      <c r="D1447" s="2019"/>
      <c r="E1447" s="2020"/>
      <c r="F1447" s="1243">
        <f>SUM(F1445:F1446)</f>
        <v>1170000</v>
      </c>
      <c r="G1447" s="1254"/>
    </row>
    <row r="1448" spans="1:7" x14ac:dyDescent="0.25">
      <c r="A1448" s="1233" t="s">
        <v>2935</v>
      </c>
      <c r="B1448" s="1265" t="s">
        <v>1271</v>
      </c>
      <c r="C1448" s="1245"/>
      <c r="D1448" s="1246"/>
      <c r="E1448" s="1242"/>
      <c r="F1448" s="1247"/>
      <c r="G1448" s="1232"/>
    </row>
    <row r="1449" spans="1:7" ht="16.5" x14ac:dyDescent="0.25">
      <c r="A1449" s="1266"/>
      <c r="B1449" s="1460" t="s">
        <v>1677</v>
      </c>
      <c r="C1449" s="1245">
        <v>1</v>
      </c>
      <c r="D1449" s="1246" t="s">
        <v>266</v>
      </c>
      <c r="E1449" s="1313">
        <v>1172000</v>
      </c>
      <c r="F1449" s="1247">
        <f t="shared" ref="F1449" si="35">E1449*C1449</f>
        <v>1172000</v>
      </c>
      <c r="G1449" s="1232"/>
    </row>
    <row r="1450" spans="1:7" ht="16.5" x14ac:dyDescent="0.25">
      <c r="A1450" s="1266"/>
      <c r="B1450" s="1461" t="s">
        <v>1678</v>
      </c>
      <c r="C1450" s="1245">
        <v>0.5</v>
      </c>
      <c r="D1450" s="1246" t="s">
        <v>1274</v>
      </c>
      <c r="E1450" s="1313">
        <v>61000</v>
      </c>
      <c r="F1450" s="1247">
        <f>E1450*C1450</f>
        <v>30500</v>
      </c>
      <c r="G1450" s="1232"/>
    </row>
    <row r="1451" spans="1:7" ht="16.5" x14ac:dyDescent="0.25">
      <c r="A1451" s="1266"/>
      <c r="B1451" s="1460" t="s">
        <v>1665</v>
      </c>
      <c r="C1451" s="1245">
        <v>223</v>
      </c>
      <c r="D1451" s="1246" t="s">
        <v>1274</v>
      </c>
      <c r="E1451" s="1313">
        <v>3000</v>
      </c>
      <c r="F1451" s="1247">
        <f t="shared" ref="F1451:F1457" si="36">E1451*C1451</f>
        <v>669000</v>
      </c>
      <c r="G1451" s="1232"/>
    </row>
    <row r="1452" spans="1:7" ht="16.5" x14ac:dyDescent="0.25">
      <c r="A1452" s="1266"/>
      <c r="B1452" s="1461" t="s">
        <v>1672</v>
      </c>
      <c r="C1452" s="1245">
        <v>1</v>
      </c>
      <c r="D1452" s="1246" t="s">
        <v>767</v>
      </c>
      <c r="E1452" s="1313">
        <v>210000</v>
      </c>
      <c r="F1452" s="1247">
        <f t="shared" si="36"/>
        <v>210000</v>
      </c>
      <c r="G1452" s="1232"/>
    </row>
    <row r="1453" spans="1:7" ht="16.5" x14ac:dyDescent="0.25">
      <c r="A1453" s="1266"/>
      <c r="B1453" s="1460" t="s">
        <v>1673</v>
      </c>
      <c r="C1453" s="1245">
        <v>1</v>
      </c>
      <c r="D1453" s="1246" t="s">
        <v>767</v>
      </c>
      <c r="E1453" s="1313">
        <v>281000</v>
      </c>
      <c r="F1453" s="1247">
        <f t="shared" si="36"/>
        <v>281000</v>
      </c>
      <c r="G1453" s="1232"/>
    </row>
    <row r="1454" spans="1:7" ht="16.5" x14ac:dyDescent="0.25">
      <c r="A1454" s="1266"/>
      <c r="B1454" s="1460" t="s">
        <v>1674</v>
      </c>
      <c r="C1454" s="1245">
        <v>0.3</v>
      </c>
      <c r="D1454" s="1246" t="s">
        <v>767</v>
      </c>
      <c r="E1454" s="1313">
        <v>3807000</v>
      </c>
      <c r="F1454" s="1247">
        <f t="shared" si="36"/>
        <v>1142100</v>
      </c>
      <c r="G1454" s="1232"/>
    </row>
    <row r="1455" spans="1:7" ht="16.5" x14ac:dyDescent="0.25">
      <c r="A1455" s="1266"/>
      <c r="B1455" s="1461" t="s">
        <v>1675</v>
      </c>
      <c r="C1455" s="1245">
        <v>3</v>
      </c>
      <c r="D1455" s="1246" t="s">
        <v>1274</v>
      </c>
      <c r="E1455" s="1313">
        <v>18000</v>
      </c>
      <c r="F1455" s="1247">
        <f t="shared" si="36"/>
        <v>54000</v>
      </c>
      <c r="G1455" s="1232"/>
    </row>
    <row r="1456" spans="1:7" ht="16.5" x14ac:dyDescent="0.25">
      <c r="A1456" s="1266"/>
      <c r="B1456" s="1461" t="s">
        <v>1676</v>
      </c>
      <c r="C1456" s="1245">
        <v>0.12</v>
      </c>
      <c r="D1456" s="1246" t="s">
        <v>767</v>
      </c>
      <c r="E1456" s="1313">
        <v>2350000</v>
      </c>
      <c r="F1456" s="1247">
        <f t="shared" si="36"/>
        <v>282000</v>
      </c>
      <c r="G1456" s="1232"/>
    </row>
    <row r="1457" spans="1:12" ht="16.5" x14ac:dyDescent="0.25">
      <c r="A1457" s="1266"/>
      <c r="B1457" s="1460" t="s">
        <v>1733</v>
      </c>
      <c r="C1457" s="1245">
        <v>3</v>
      </c>
      <c r="D1457" s="1246" t="s">
        <v>266</v>
      </c>
      <c r="E1457" s="1313">
        <v>151000</v>
      </c>
      <c r="F1457" s="1247">
        <f t="shared" si="36"/>
        <v>453000</v>
      </c>
      <c r="G1457" s="1232"/>
    </row>
    <row r="1458" spans="1:12" ht="17.25" thickBot="1" x14ac:dyDescent="0.3">
      <c r="A1458" s="1266"/>
      <c r="B1458" s="1462"/>
      <c r="C1458" s="1245"/>
      <c r="D1458" s="1246"/>
      <c r="E1458" s="1313"/>
      <c r="F1458" s="1247"/>
      <c r="G1458" s="1232"/>
    </row>
    <row r="1459" spans="1:12" ht="15.75" thickBot="1" x14ac:dyDescent="0.3">
      <c r="A1459" s="1245"/>
      <c r="B1459" s="2015" t="s">
        <v>515</v>
      </c>
      <c r="C1459" s="2016"/>
      <c r="D1459" s="2016"/>
      <c r="E1459" s="2017"/>
      <c r="F1459" s="1243">
        <f>SUM(F1449:F1458)</f>
        <v>4293600</v>
      </c>
      <c r="G1459" s="1254"/>
    </row>
    <row r="1460" spans="1:12" ht="15.75" thickBot="1" x14ac:dyDescent="0.3">
      <c r="A1460" s="1245"/>
      <c r="B1460" s="2015" t="s">
        <v>26</v>
      </c>
      <c r="C1460" s="2016"/>
      <c r="D1460" s="2016"/>
      <c r="E1460" s="2017"/>
      <c r="F1460" s="1243">
        <f>F1459+F1447+F1443</f>
        <v>6452200</v>
      </c>
      <c r="G1460" s="1254"/>
      <c r="L1460" s="139"/>
    </row>
    <row r="1461" spans="1:12" x14ac:dyDescent="0.25">
      <c r="A1461" s="1260"/>
      <c r="B1461" s="1457"/>
      <c r="C1461" s="1457"/>
      <c r="D1461" s="1457"/>
      <c r="E1461" s="1457"/>
      <c r="F1461" s="1458"/>
      <c r="G1461" s="1377"/>
    </row>
    <row r="1462" spans="1:12" x14ac:dyDescent="0.25">
      <c r="A1462" s="1969" t="s">
        <v>516</v>
      </c>
      <c r="B1462" s="1969"/>
      <c r="C1462" s="1259" t="s">
        <v>27</v>
      </c>
      <c r="D1462" s="1969" t="s">
        <v>1224</v>
      </c>
      <c r="E1462" s="1969"/>
      <c r="F1462" s="1969"/>
      <c r="G1462" s="1969"/>
    </row>
    <row r="1463" spans="1:12" x14ac:dyDescent="0.25">
      <c r="A1463" s="1969" t="s">
        <v>28</v>
      </c>
      <c r="B1463" s="1969"/>
      <c r="C1463" s="1259"/>
      <c r="D1463" s="1971" t="s">
        <v>1461</v>
      </c>
      <c r="E1463" s="1971"/>
      <c r="F1463" s="1971"/>
      <c r="G1463" s="1971"/>
    </row>
    <row r="1464" spans="1:12" x14ac:dyDescent="0.25">
      <c r="A1464" s="1261"/>
      <c r="B1464" s="1262"/>
      <c r="C1464" s="1259"/>
      <c r="D1464" s="1260"/>
      <c r="E1464" s="948"/>
      <c r="F1464" s="948"/>
      <c r="G1464" s="1259"/>
    </row>
    <row r="1465" spans="1:12" x14ac:dyDescent="0.25">
      <c r="A1465" s="1261"/>
      <c r="B1465" s="1262"/>
      <c r="C1465" s="1259"/>
      <c r="D1465" s="1260"/>
      <c r="E1465" s="948"/>
      <c r="F1465" s="993"/>
      <c r="G1465" s="1259"/>
    </row>
    <row r="1466" spans="1:12" x14ac:dyDescent="0.25">
      <c r="A1466" s="1969"/>
      <c r="B1466" s="1969"/>
      <c r="C1466" s="1259"/>
      <c r="D1466" s="1260"/>
      <c r="E1466" s="2009"/>
      <c r="F1466" s="1969"/>
      <c r="G1466" s="1259"/>
    </row>
    <row r="1467" spans="1:12" x14ac:dyDescent="0.25">
      <c r="A1467" s="1969" t="s">
        <v>29</v>
      </c>
      <c r="B1467" s="1969"/>
      <c r="C1467" s="1259"/>
      <c r="D1467" s="1969" t="s">
        <v>517</v>
      </c>
      <c r="E1467" s="1969"/>
      <c r="F1467" s="1969"/>
      <c r="G1467" s="1969"/>
    </row>
    <row r="1468" spans="1:12" x14ac:dyDescent="0.25">
      <c r="A1468" s="223"/>
      <c r="B1468" s="223"/>
      <c r="C1468" s="152"/>
      <c r="D1468" s="223"/>
      <c r="E1468" s="223"/>
      <c r="F1468" s="223"/>
      <c r="G1468" s="223"/>
    </row>
    <row r="1469" spans="1:12" x14ac:dyDescent="0.25">
      <c r="A1469" s="2010" t="s">
        <v>1285</v>
      </c>
      <c r="B1469" s="2010"/>
      <c r="C1469" s="2010"/>
      <c r="D1469" s="2010"/>
      <c r="E1469" s="2010"/>
      <c r="F1469" s="2010"/>
      <c r="G1469" s="2010"/>
    </row>
    <row r="1470" spans="1:12" x14ac:dyDescent="0.25">
      <c r="A1470" s="2010" t="s">
        <v>1</v>
      </c>
      <c r="B1470" s="2010"/>
      <c r="C1470" s="2010"/>
      <c r="D1470" s="2010"/>
      <c r="E1470" s="2010"/>
      <c r="F1470" s="2010"/>
      <c r="G1470" s="2010"/>
    </row>
    <row r="1471" spans="1:12" x14ac:dyDescent="0.25">
      <c r="A1471" s="2010" t="s">
        <v>2398</v>
      </c>
      <c r="B1471" s="2010"/>
      <c r="C1471" s="2010"/>
      <c r="D1471" s="2010"/>
      <c r="E1471" s="2010"/>
      <c r="F1471" s="2010"/>
      <c r="G1471" s="2010"/>
    </row>
    <row r="1472" spans="1:12" x14ac:dyDescent="0.25">
      <c r="A1472" s="1209"/>
      <c r="B1472" s="1210"/>
      <c r="C1472" s="1211"/>
      <c r="D1472" s="1211"/>
      <c r="E1472" s="1212"/>
      <c r="F1472" s="1212"/>
      <c r="G1472" s="1212"/>
    </row>
    <row r="1473" spans="1:7" x14ac:dyDescent="0.25">
      <c r="A1473" s="1212" t="s">
        <v>1263</v>
      </c>
      <c r="B1473" s="1213"/>
      <c r="C1473" s="1214"/>
      <c r="D1473" s="1214"/>
      <c r="E1473" s="1215"/>
      <c r="F1473" s="1215"/>
      <c r="G1473" s="1212"/>
    </row>
    <row r="1474" spans="1:7" ht="24.75" x14ac:dyDescent="0.25">
      <c r="A1474" s="1216" t="s">
        <v>659</v>
      </c>
      <c r="B1474" s="1217" t="s">
        <v>1283</v>
      </c>
      <c r="C1474" s="1214"/>
      <c r="D1474" s="1214"/>
      <c r="E1474" s="1215" t="s">
        <v>1264</v>
      </c>
      <c r="F1474" s="1215"/>
      <c r="G1474" s="1212"/>
    </row>
    <row r="1475" spans="1:7" ht="45" x14ac:dyDescent="0.25">
      <c r="A1475" s="1218" t="s">
        <v>685</v>
      </c>
      <c r="B1475" s="1219" t="s">
        <v>1735</v>
      </c>
      <c r="C1475" s="1214"/>
      <c r="D1475" s="1214"/>
      <c r="E1475" s="1215" t="s">
        <v>1265</v>
      </c>
      <c r="F1475" s="1215"/>
      <c r="G1475" s="1216"/>
    </row>
    <row r="1476" spans="1:7" ht="30" x14ac:dyDescent="0.25">
      <c r="A1476" s="1218" t="s">
        <v>1266</v>
      </c>
      <c r="B1476" s="1219" t="s">
        <v>1734</v>
      </c>
      <c r="C1476" s="1214"/>
      <c r="D1476" s="1214"/>
      <c r="E1476" s="1215"/>
      <c r="F1476" s="1215"/>
      <c r="G1476" s="1216"/>
    </row>
    <row r="1477" spans="1:7" x14ac:dyDescent="0.25">
      <c r="A1477" s="1212" t="s">
        <v>1267</v>
      </c>
      <c r="B1477" s="1213" t="s">
        <v>60</v>
      </c>
      <c r="C1477" s="1214"/>
      <c r="D1477" s="1214"/>
      <c r="E1477" s="1212"/>
      <c r="F1477" s="1212"/>
      <c r="G1477" s="1212"/>
    </row>
    <row r="1478" spans="1:7" x14ac:dyDescent="0.25">
      <c r="A1478" s="1216" t="s">
        <v>61</v>
      </c>
      <c r="B1478" s="1217" t="s">
        <v>62</v>
      </c>
      <c r="C1478" s="1214"/>
      <c r="D1478" s="1214"/>
      <c r="E1478" s="1216"/>
      <c r="F1478" s="1216"/>
      <c r="G1478" s="1216"/>
    </row>
    <row r="1479" spans="1:7" x14ac:dyDescent="0.25">
      <c r="A1479" s="1220"/>
      <c r="B1479" s="1221"/>
      <c r="C1479" s="1222"/>
      <c r="D1479" s="1222"/>
      <c r="E1479" s="1220"/>
      <c r="F1479" s="1220"/>
      <c r="G1479" s="1220"/>
    </row>
    <row r="1480" spans="1:7" ht="24" x14ac:dyDescent="0.25">
      <c r="A1480" s="1223" t="s">
        <v>30</v>
      </c>
      <c r="B1480" s="1223" t="s">
        <v>11</v>
      </c>
      <c r="C1480" s="2011" t="s">
        <v>12</v>
      </c>
      <c r="D1480" s="2012"/>
      <c r="E1480" s="1225" t="s">
        <v>13</v>
      </c>
      <c r="F1480" s="1224" t="s">
        <v>14</v>
      </c>
      <c r="G1480" s="1226" t="s">
        <v>256</v>
      </c>
    </row>
    <row r="1481" spans="1:7" x14ac:dyDescent="0.25">
      <c r="A1481" s="1227">
        <v>1</v>
      </c>
      <c r="B1481" s="1228">
        <v>2</v>
      </c>
      <c r="C1481" s="2013">
        <v>3</v>
      </c>
      <c r="D1481" s="2014"/>
      <c r="E1481" s="1231">
        <v>4</v>
      </c>
      <c r="F1481" s="1229">
        <v>5</v>
      </c>
      <c r="G1481" s="1232">
        <v>7</v>
      </c>
    </row>
    <row r="1482" spans="1:7" x14ac:dyDescent="0.25">
      <c r="A1482" s="1233" t="s">
        <v>1683</v>
      </c>
      <c r="B1482" s="1234" t="s">
        <v>1284</v>
      </c>
      <c r="C1482" s="1235"/>
      <c r="D1482" s="1236"/>
      <c r="E1482" s="1237"/>
      <c r="F1482" s="1238"/>
      <c r="G1482" s="1232"/>
    </row>
    <row r="1483" spans="1:7" x14ac:dyDescent="0.25">
      <c r="A1483" s="1233" t="s">
        <v>1684</v>
      </c>
      <c r="B1483" s="1234" t="s">
        <v>1658</v>
      </c>
      <c r="C1483" s="1235"/>
      <c r="D1483" s="1236"/>
      <c r="E1483" s="1237"/>
      <c r="F1483" s="1238"/>
      <c r="G1483" s="1232"/>
    </row>
    <row r="1484" spans="1:7" ht="24" x14ac:dyDescent="0.25">
      <c r="A1484" s="1233" t="s">
        <v>1685</v>
      </c>
      <c r="B1484" s="1234" t="s">
        <v>1279</v>
      </c>
      <c r="C1484" s="1239"/>
      <c r="D1484" s="1236"/>
      <c r="E1484" s="1237"/>
      <c r="F1484" s="1238"/>
      <c r="G1484" s="1232"/>
    </row>
    <row r="1485" spans="1:7" ht="15.75" thickBot="1" x14ac:dyDescent="0.3">
      <c r="A1485" s="1240"/>
      <c r="B1485" s="1241" t="s">
        <v>179</v>
      </c>
      <c r="C1485" s="1239">
        <v>1</v>
      </c>
      <c r="D1485" s="1236" t="s">
        <v>444</v>
      </c>
      <c r="E1485" s="1237">
        <v>1500000</v>
      </c>
      <c r="F1485" s="1238">
        <f>E1485*C1485</f>
        <v>1500000</v>
      </c>
      <c r="G1485" s="1232"/>
    </row>
    <row r="1486" spans="1:7" ht="15.75" thickBot="1" x14ac:dyDescent="0.3">
      <c r="A1486" s="1242"/>
      <c r="B1486" s="2015" t="s">
        <v>515</v>
      </c>
      <c r="C1486" s="2016"/>
      <c r="D1486" s="2016"/>
      <c r="E1486" s="2017"/>
      <c r="F1486" s="1243">
        <f>SUM(F1485:F1485)</f>
        <v>1500000</v>
      </c>
      <c r="G1486" s="1232"/>
    </row>
    <row r="1487" spans="1:7" x14ac:dyDescent="0.25">
      <c r="A1487" s="1233" t="s">
        <v>1686</v>
      </c>
      <c r="B1487" s="1244" t="s">
        <v>1268</v>
      </c>
      <c r="C1487" s="1245"/>
      <c r="D1487" s="1246"/>
      <c r="E1487" s="1242"/>
      <c r="F1487" s="1247"/>
      <c r="G1487" s="1232"/>
    </row>
    <row r="1488" spans="1:7" x14ac:dyDescent="0.25">
      <c r="A1488" s="1233"/>
      <c r="B1488" s="1263" t="s">
        <v>1269</v>
      </c>
      <c r="C1488" s="1229">
        <v>120</v>
      </c>
      <c r="D1488" s="1230" t="s">
        <v>392</v>
      </c>
      <c r="E1488" s="1264">
        <v>150000</v>
      </c>
      <c r="F1488" s="1238">
        <f>E1488*C1488</f>
        <v>18000000</v>
      </c>
      <c r="G1488" s="1232"/>
    </row>
    <row r="1489" spans="1:12" ht="15.75" thickBot="1" x14ac:dyDescent="0.3">
      <c r="A1489" s="1233"/>
      <c r="B1489" s="1248" t="s">
        <v>1270</v>
      </c>
      <c r="C1489" s="1249">
        <v>270</v>
      </c>
      <c r="D1489" s="1250" t="s">
        <v>392</v>
      </c>
      <c r="E1489" s="1251">
        <v>120000</v>
      </c>
      <c r="F1489" s="1252">
        <f>E1489*C1489</f>
        <v>32400000</v>
      </c>
      <c r="G1489" s="1232"/>
    </row>
    <row r="1490" spans="1:12" ht="15.75" thickBot="1" x14ac:dyDescent="0.3">
      <c r="A1490" s="1253"/>
      <c r="B1490" s="2018" t="s">
        <v>515</v>
      </c>
      <c r="C1490" s="2019"/>
      <c r="D1490" s="2019"/>
      <c r="E1490" s="2020"/>
      <c r="F1490" s="1243">
        <f>SUM(F1488:F1489)</f>
        <v>50400000</v>
      </c>
      <c r="G1490" s="1254"/>
    </row>
    <row r="1491" spans="1:12" x14ac:dyDescent="0.25">
      <c r="A1491" s="1233" t="s">
        <v>1687</v>
      </c>
      <c r="B1491" s="1265" t="s">
        <v>1271</v>
      </c>
      <c r="C1491" s="1245"/>
      <c r="D1491" s="1246"/>
      <c r="E1491" s="1242"/>
      <c r="F1491" s="1247"/>
      <c r="G1491" s="1232"/>
    </row>
    <row r="1492" spans="1:12" x14ac:dyDescent="0.25">
      <c r="A1492" s="1242"/>
      <c r="B1492" s="911" t="s">
        <v>1281</v>
      </c>
      <c r="C1492" s="1463">
        <v>323</v>
      </c>
      <c r="D1492" s="1230" t="s">
        <v>1275</v>
      </c>
      <c r="E1492" s="945">
        <v>152000</v>
      </c>
      <c r="F1492" s="1238">
        <f>E1492*C1492</f>
        <v>49096000</v>
      </c>
      <c r="G1492" s="1232"/>
    </row>
    <row r="1493" spans="1:12" x14ac:dyDescent="0.25">
      <c r="A1493" s="1242"/>
      <c r="B1493" s="911" t="s">
        <v>1280</v>
      </c>
      <c r="C1493" s="1463">
        <v>32</v>
      </c>
      <c r="D1493" s="1230" t="s">
        <v>767</v>
      </c>
      <c r="E1493" s="945">
        <v>187000</v>
      </c>
      <c r="F1493" s="1238">
        <f t="shared" ref="F1493:F1495" si="37">E1493*C1493</f>
        <v>5984000</v>
      </c>
      <c r="G1493" s="1232"/>
    </row>
    <row r="1494" spans="1:12" x14ac:dyDescent="0.25">
      <c r="A1494" s="1242"/>
      <c r="B1494" s="1241" t="s">
        <v>1273</v>
      </c>
      <c r="C1494" s="1239">
        <v>259</v>
      </c>
      <c r="D1494" s="1236" t="s">
        <v>154</v>
      </c>
      <c r="E1494" s="1237">
        <v>3000</v>
      </c>
      <c r="F1494" s="1238">
        <f t="shared" si="37"/>
        <v>777000</v>
      </c>
      <c r="G1494" s="1232"/>
    </row>
    <row r="1495" spans="1:12" x14ac:dyDescent="0.25">
      <c r="A1495" s="1242"/>
      <c r="B1495" s="1241" t="s">
        <v>1722</v>
      </c>
      <c r="C1495" s="1239">
        <v>246</v>
      </c>
      <c r="D1495" s="1236" t="s">
        <v>106</v>
      </c>
      <c r="E1495" s="1237">
        <v>164000</v>
      </c>
      <c r="F1495" s="1238">
        <f t="shared" si="37"/>
        <v>40344000</v>
      </c>
      <c r="G1495" s="1232"/>
    </row>
    <row r="1496" spans="1:12" x14ac:dyDescent="0.25">
      <c r="A1496" s="1266"/>
      <c r="B1496" s="1255" t="s">
        <v>1276</v>
      </c>
      <c r="C1496" s="1256">
        <v>1</v>
      </c>
      <c r="D1496" s="1257" t="s">
        <v>106</v>
      </c>
      <c r="E1496" s="1258">
        <v>250000</v>
      </c>
      <c r="F1496" s="1252">
        <f>E1496*C1496</f>
        <v>250000</v>
      </c>
      <c r="G1496" s="1232"/>
    </row>
    <row r="1497" spans="1:12" ht="15.75" thickBot="1" x14ac:dyDescent="0.3">
      <c r="A1497" s="1266"/>
      <c r="B1497" s="1255" t="s">
        <v>1277</v>
      </c>
      <c r="C1497" s="1256">
        <v>1</v>
      </c>
      <c r="D1497" s="1257" t="s">
        <v>106</v>
      </c>
      <c r="E1497" s="1258">
        <v>500000</v>
      </c>
      <c r="F1497" s="1252">
        <f t="shared" ref="F1497" si="38">E1497*C1497</f>
        <v>500000</v>
      </c>
      <c r="G1497" s="1316"/>
    </row>
    <row r="1498" spans="1:12" ht="15.75" thickBot="1" x14ac:dyDescent="0.3">
      <c r="A1498" s="1245"/>
      <c r="B1498" s="2015" t="s">
        <v>515</v>
      </c>
      <c r="C1498" s="2016"/>
      <c r="D1498" s="2016"/>
      <c r="E1498" s="2017"/>
      <c r="F1498" s="1243">
        <f>SUM(F1492:F1497)</f>
        <v>96951000</v>
      </c>
      <c r="G1498" s="1318"/>
    </row>
    <row r="1499" spans="1:12" ht="15.75" thickBot="1" x14ac:dyDescent="0.3">
      <c r="A1499" s="1245"/>
      <c r="B1499" s="2015" t="s">
        <v>26</v>
      </c>
      <c r="C1499" s="2016"/>
      <c r="D1499" s="2016"/>
      <c r="E1499" s="2017"/>
      <c r="F1499" s="1243">
        <f>F1498+F1490+F1486</f>
        <v>148851000</v>
      </c>
      <c r="G1499" s="1254"/>
      <c r="L1499" s="139"/>
    </row>
    <row r="1500" spans="1:12" x14ac:dyDescent="0.25">
      <c r="A1500" s="1260"/>
      <c r="B1500" s="1457"/>
      <c r="C1500" s="1457"/>
      <c r="D1500" s="1457"/>
      <c r="E1500" s="1457"/>
      <c r="F1500" s="1458"/>
      <c r="G1500" s="1377"/>
    </row>
    <row r="1501" spans="1:12" x14ac:dyDescent="0.25">
      <c r="A1501" s="1969" t="s">
        <v>516</v>
      </c>
      <c r="B1501" s="1969"/>
      <c r="C1501" s="1259" t="s">
        <v>27</v>
      </c>
      <c r="D1501" s="1969" t="s">
        <v>1224</v>
      </c>
      <c r="E1501" s="1969"/>
      <c r="F1501" s="1969"/>
      <c r="G1501" s="1969"/>
    </row>
    <row r="1502" spans="1:12" x14ac:dyDescent="0.25">
      <c r="A1502" s="1969" t="s">
        <v>28</v>
      </c>
      <c r="B1502" s="1969"/>
      <c r="C1502" s="1259"/>
      <c r="D1502" s="1971" t="s">
        <v>2443</v>
      </c>
      <c r="E1502" s="1971"/>
      <c r="F1502" s="1971"/>
      <c r="G1502" s="1971"/>
    </row>
    <row r="1503" spans="1:12" x14ac:dyDescent="0.25">
      <c r="A1503" s="1261"/>
      <c r="B1503" s="1262"/>
      <c r="C1503" s="1259"/>
      <c r="D1503" s="1260"/>
      <c r="E1503" s="948"/>
      <c r="F1503" s="948"/>
      <c r="G1503" s="1259"/>
    </row>
    <row r="1504" spans="1:12" x14ac:dyDescent="0.25">
      <c r="A1504" s="1261"/>
      <c r="B1504" s="1262"/>
      <c r="C1504" s="1259"/>
      <c r="D1504" s="1260"/>
      <c r="E1504" s="948"/>
      <c r="F1504" s="993"/>
      <c r="G1504" s="1259"/>
    </row>
    <row r="1505" spans="1:7" x14ac:dyDescent="0.25">
      <c r="A1505" s="1969"/>
      <c r="B1505" s="1969"/>
      <c r="C1505" s="1259"/>
      <c r="D1505" s="1260"/>
      <c r="E1505" s="2009"/>
      <c r="F1505" s="1969"/>
      <c r="G1505" s="1259"/>
    </row>
    <row r="1506" spans="1:7" x14ac:dyDescent="0.25">
      <c r="A1506" s="1969" t="s">
        <v>29</v>
      </c>
      <c r="B1506" s="1969"/>
      <c r="C1506" s="1259"/>
      <c r="D1506" s="1969" t="s">
        <v>517</v>
      </c>
      <c r="E1506" s="1969"/>
      <c r="F1506" s="1969"/>
      <c r="G1506" s="1969"/>
    </row>
    <row r="1507" spans="1:7" x14ac:dyDescent="0.25">
      <c r="A1507" s="2010" t="s">
        <v>1285</v>
      </c>
      <c r="B1507" s="2010"/>
      <c r="C1507" s="2010"/>
      <c r="D1507" s="2010"/>
      <c r="E1507" s="2010"/>
      <c r="F1507" s="2010"/>
      <c r="G1507" s="2010"/>
    </row>
    <row r="1508" spans="1:7" x14ac:dyDescent="0.25">
      <c r="A1508" s="2010" t="s">
        <v>1</v>
      </c>
      <c r="B1508" s="2010"/>
      <c r="C1508" s="2010"/>
      <c r="D1508" s="2010"/>
      <c r="E1508" s="2010"/>
      <c r="F1508" s="2010"/>
      <c r="G1508" s="2010"/>
    </row>
    <row r="1509" spans="1:7" x14ac:dyDescent="0.25">
      <c r="A1509" s="2010" t="s">
        <v>2398</v>
      </c>
      <c r="B1509" s="2010"/>
      <c r="C1509" s="2010"/>
      <c r="D1509" s="2010"/>
      <c r="E1509" s="2010"/>
      <c r="F1509" s="2010"/>
      <c r="G1509" s="2010"/>
    </row>
    <row r="1510" spans="1:7" x14ac:dyDescent="0.25">
      <c r="A1510" s="1209"/>
      <c r="B1510" s="1210"/>
      <c r="C1510" s="1211"/>
      <c r="D1510" s="1211"/>
      <c r="E1510" s="1212"/>
      <c r="F1510" s="1212"/>
      <c r="G1510" s="1212"/>
    </row>
    <row r="1511" spans="1:7" ht="24.75" x14ac:dyDescent="0.25">
      <c r="A1511" s="1212" t="s">
        <v>1263</v>
      </c>
      <c r="B1511" s="1213" t="s">
        <v>648</v>
      </c>
      <c r="C1511" s="1214"/>
      <c r="D1511" s="1214"/>
      <c r="E1511" s="1215"/>
      <c r="F1511" s="1215"/>
      <c r="G1511" s="1212"/>
    </row>
    <row r="1512" spans="1:7" ht="24.75" x14ac:dyDescent="0.25">
      <c r="A1512" s="1216" t="s">
        <v>659</v>
      </c>
      <c r="B1512" s="1217" t="s">
        <v>1283</v>
      </c>
      <c r="C1512" s="1214"/>
      <c r="D1512" s="1214"/>
      <c r="E1512" s="1215" t="s">
        <v>1264</v>
      </c>
      <c r="F1512" s="1215"/>
      <c r="G1512" s="1212"/>
    </row>
    <row r="1513" spans="1:7" ht="60" x14ac:dyDescent="0.25">
      <c r="A1513" s="1218" t="s">
        <v>685</v>
      </c>
      <c r="B1513" s="1219" t="s">
        <v>2745</v>
      </c>
      <c r="C1513" s="1214"/>
      <c r="D1513" s="1214"/>
      <c r="E1513" s="1215" t="s">
        <v>1265</v>
      </c>
      <c r="F1513" s="1215"/>
      <c r="G1513" s="1216"/>
    </row>
    <row r="1514" spans="1:7" ht="75" x14ac:dyDescent="0.25">
      <c r="A1514" s="1218" t="s">
        <v>1266</v>
      </c>
      <c r="B1514" s="1219" t="s">
        <v>3497</v>
      </c>
      <c r="C1514" s="1214"/>
      <c r="D1514" s="1214"/>
      <c r="E1514" s="1215"/>
      <c r="F1514" s="1215"/>
      <c r="G1514" s="1216"/>
    </row>
    <row r="1515" spans="1:7" x14ac:dyDescent="0.25">
      <c r="A1515" s="1212" t="s">
        <v>1267</v>
      </c>
      <c r="B1515" s="1213" t="s">
        <v>60</v>
      </c>
      <c r="C1515" s="1214"/>
      <c r="D1515" s="1214"/>
      <c r="E1515" s="1212"/>
      <c r="F1515" s="1212"/>
      <c r="G1515" s="1212"/>
    </row>
    <row r="1516" spans="1:7" x14ac:dyDescent="0.25">
      <c r="A1516" s="1216" t="s">
        <v>61</v>
      </c>
      <c r="B1516" s="1217" t="s">
        <v>62</v>
      </c>
      <c r="C1516" s="1214"/>
      <c r="D1516" s="1214"/>
      <c r="E1516" s="1216"/>
      <c r="F1516" s="1216"/>
      <c r="G1516" s="1216"/>
    </row>
    <row r="1517" spans="1:7" x14ac:dyDescent="0.25">
      <c r="A1517" s="1220"/>
      <c r="B1517" s="1221"/>
      <c r="C1517" s="1222"/>
      <c r="D1517" s="1222"/>
      <c r="E1517" s="1220"/>
      <c r="F1517" s="1220"/>
      <c r="G1517" s="1220"/>
    </row>
    <row r="1518" spans="1:7" ht="24" x14ac:dyDescent="0.25">
      <c r="A1518" s="1223" t="s">
        <v>30</v>
      </c>
      <c r="B1518" s="1223" t="s">
        <v>11</v>
      </c>
      <c r="C1518" s="2011" t="s">
        <v>12</v>
      </c>
      <c r="D1518" s="2012"/>
      <c r="E1518" s="1225" t="s">
        <v>13</v>
      </c>
      <c r="F1518" s="1224" t="s">
        <v>14</v>
      </c>
      <c r="G1518" s="1226" t="s">
        <v>256</v>
      </c>
    </row>
    <row r="1519" spans="1:7" x14ac:dyDescent="0.25">
      <c r="A1519" s="1227">
        <v>1</v>
      </c>
      <c r="B1519" s="1228">
        <v>2</v>
      </c>
      <c r="C1519" s="2013">
        <v>3</v>
      </c>
      <c r="D1519" s="2014"/>
      <c r="E1519" s="1231">
        <v>4</v>
      </c>
      <c r="F1519" s="1229">
        <v>5</v>
      </c>
      <c r="G1519" s="1232">
        <v>7</v>
      </c>
    </row>
    <row r="1520" spans="1:7" x14ac:dyDescent="0.25">
      <c r="A1520" s="1233" t="s">
        <v>1683</v>
      </c>
      <c r="B1520" s="1234" t="s">
        <v>1284</v>
      </c>
      <c r="C1520" s="1235"/>
      <c r="D1520" s="1236"/>
      <c r="E1520" s="1237"/>
      <c r="F1520" s="1238"/>
      <c r="G1520" s="1232"/>
    </row>
    <row r="1521" spans="1:7" x14ac:dyDescent="0.25">
      <c r="A1521" s="1233" t="s">
        <v>1684</v>
      </c>
      <c r="B1521" s="1234" t="s">
        <v>1658</v>
      </c>
      <c r="C1521" s="1235"/>
      <c r="D1521" s="1236"/>
      <c r="E1521" s="1237"/>
      <c r="F1521" s="1238"/>
      <c r="G1521" s="1232"/>
    </row>
    <row r="1522" spans="1:7" ht="24" x14ac:dyDescent="0.25">
      <c r="A1522" s="1233" t="s">
        <v>1685</v>
      </c>
      <c r="B1522" s="1234" t="s">
        <v>1279</v>
      </c>
      <c r="C1522" s="1239"/>
      <c r="D1522" s="1236"/>
      <c r="E1522" s="1237"/>
      <c r="F1522" s="1238"/>
      <c r="G1522" s="1232"/>
    </row>
    <row r="1523" spans="1:7" ht="15.75" thickBot="1" x14ac:dyDescent="0.3">
      <c r="A1523" s="1240"/>
      <c r="B1523" s="1241" t="s">
        <v>1660</v>
      </c>
      <c r="C1523" s="1239">
        <v>1</v>
      </c>
      <c r="D1523" s="1236" t="s">
        <v>444</v>
      </c>
      <c r="E1523" s="1237">
        <v>1300000</v>
      </c>
      <c r="F1523" s="1238">
        <f>E1523*C1523</f>
        <v>1300000</v>
      </c>
      <c r="G1523" s="1232"/>
    </row>
    <row r="1524" spans="1:7" ht="15.75" thickBot="1" x14ac:dyDescent="0.3">
      <c r="A1524" s="1242"/>
      <c r="B1524" s="2015" t="s">
        <v>515</v>
      </c>
      <c r="C1524" s="2016"/>
      <c r="D1524" s="2016"/>
      <c r="E1524" s="2017"/>
      <c r="F1524" s="1243">
        <f>SUM(F1523:F1523)</f>
        <v>1300000</v>
      </c>
      <c r="G1524" s="1232"/>
    </row>
    <row r="1525" spans="1:7" x14ac:dyDescent="0.25">
      <c r="A1525" s="1233" t="s">
        <v>1686</v>
      </c>
      <c r="B1525" s="1244" t="s">
        <v>1268</v>
      </c>
      <c r="C1525" s="1245"/>
      <c r="D1525" s="1246"/>
      <c r="E1525" s="1242"/>
      <c r="F1525" s="1247"/>
      <c r="G1525" s="1232"/>
    </row>
    <row r="1526" spans="1:7" x14ac:dyDescent="0.25">
      <c r="A1526" s="1233"/>
      <c r="B1526" s="1263" t="s">
        <v>1269</v>
      </c>
      <c r="C1526" s="1229">
        <v>84</v>
      </c>
      <c r="D1526" s="1230" t="s">
        <v>392</v>
      </c>
      <c r="E1526" s="1264">
        <v>150000</v>
      </c>
      <c r="F1526" s="1238">
        <f>E1526*C1526</f>
        <v>12600000</v>
      </c>
      <c r="G1526" s="1232"/>
    </row>
    <row r="1527" spans="1:7" ht="15.75" thickBot="1" x14ac:dyDescent="0.3">
      <c r="A1527" s="1233"/>
      <c r="B1527" s="1248" t="s">
        <v>1270</v>
      </c>
      <c r="C1527" s="1249">
        <v>206</v>
      </c>
      <c r="D1527" s="1250" t="s">
        <v>392</v>
      </c>
      <c r="E1527" s="1251">
        <v>120000</v>
      </c>
      <c r="F1527" s="1252">
        <f>E1527*C1527</f>
        <v>24720000</v>
      </c>
      <c r="G1527" s="1232"/>
    </row>
    <row r="1528" spans="1:7" ht="15.75" thickBot="1" x14ac:dyDescent="0.3">
      <c r="A1528" s="1253"/>
      <c r="B1528" s="2018" t="s">
        <v>515</v>
      </c>
      <c r="C1528" s="2019"/>
      <c r="D1528" s="2019"/>
      <c r="E1528" s="2020"/>
      <c r="F1528" s="1243">
        <f>SUM(F1526:F1527)</f>
        <v>37320000</v>
      </c>
      <c r="G1528" s="1254"/>
    </row>
    <row r="1529" spans="1:7" x14ac:dyDescent="0.25">
      <c r="A1529" s="1233" t="s">
        <v>1687</v>
      </c>
      <c r="B1529" s="1265" t="s">
        <v>1271</v>
      </c>
      <c r="C1529" s="1245"/>
      <c r="D1529" s="1246"/>
      <c r="E1529" s="1242"/>
      <c r="F1529" s="1247"/>
      <c r="G1529" s="1232"/>
    </row>
    <row r="1530" spans="1:7" x14ac:dyDescent="0.25">
      <c r="A1530" s="1242"/>
      <c r="B1530" s="911" t="s">
        <v>1281</v>
      </c>
      <c r="C1530" s="1229">
        <v>433</v>
      </c>
      <c r="D1530" s="1230" t="s">
        <v>1275</v>
      </c>
      <c r="E1530" s="945">
        <v>152000</v>
      </c>
      <c r="F1530" s="1238">
        <f>E1530*C1530</f>
        <v>65816000</v>
      </c>
      <c r="G1530" s="1232"/>
    </row>
    <row r="1531" spans="1:7" x14ac:dyDescent="0.25">
      <c r="A1531" s="1242"/>
      <c r="B1531" s="911" t="s">
        <v>1280</v>
      </c>
      <c r="C1531" s="1229">
        <v>43</v>
      </c>
      <c r="D1531" s="1230" t="s">
        <v>767</v>
      </c>
      <c r="E1531" s="945">
        <v>230000</v>
      </c>
      <c r="F1531" s="1238">
        <f t="shared" ref="F1531:F1536" si="39">E1531*C1531</f>
        <v>9890000</v>
      </c>
      <c r="G1531" s="1232"/>
    </row>
    <row r="1532" spans="1:7" x14ac:dyDescent="0.25">
      <c r="A1532" s="1242"/>
      <c r="B1532" s="1241" t="s">
        <v>1273</v>
      </c>
      <c r="C1532" s="1239">
        <v>576</v>
      </c>
      <c r="D1532" s="1236" t="s">
        <v>154</v>
      </c>
      <c r="E1532" s="1237">
        <v>3000</v>
      </c>
      <c r="F1532" s="1238">
        <f t="shared" si="39"/>
        <v>1728000</v>
      </c>
      <c r="G1532" s="1232"/>
    </row>
    <row r="1533" spans="1:7" x14ac:dyDescent="0.25">
      <c r="A1533" s="1233"/>
      <c r="B1533" s="1241" t="s">
        <v>2746</v>
      </c>
      <c r="C1533" s="1239">
        <v>15</v>
      </c>
      <c r="D1533" s="1236" t="s">
        <v>106</v>
      </c>
      <c r="E1533" s="1237">
        <v>96000</v>
      </c>
      <c r="F1533" s="1238">
        <f t="shared" si="39"/>
        <v>1440000</v>
      </c>
      <c r="G1533" s="1232"/>
    </row>
    <row r="1534" spans="1:7" x14ac:dyDescent="0.25">
      <c r="A1534" s="1266"/>
      <c r="B1534" s="1255" t="s">
        <v>2747</v>
      </c>
      <c r="C1534" s="1239">
        <v>534</v>
      </c>
      <c r="D1534" s="1236" t="s">
        <v>106</v>
      </c>
      <c r="E1534" s="1237">
        <v>31000</v>
      </c>
      <c r="F1534" s="1238">
        <f t="shared" si="39"/>
        <v>16554000</v>
      </c>
      <c r="G1534" s="1232"/>
    </row>
    <row r="1535" spans="1:7" x14ac:dyDescent="0.25">
      <c r="A1535" s="1266"/>
      <c r="B1535" s="1255" t="s">
        <v>1276</v>
      </c>
      <c r="C1535" s="1256">
        <v>1</v>
      </c>
      <c r="D1535" s="1257" t="s">
        <v>106</v>
      </c>
      <c r="E1535" s="1258">
        <v>250000</v>
      </c>
      <c r="F1535" s="1252">
        <f>E1535*C1535</f>
        <v>250000</v>
      </c>
      <c r="G1535" s="1232"/>
    </row>
    <row r="1536" spans="1:7" ht="15.75" thickBot="1" x14ac:dyDescent="0.3">
      <c r="A1536" s="1240"/>
      <c r="B1536" s="1255" t="s">
        <v>1277</v>
      </c>
      <c r="C1536" s="1256">
        <v>1</v>
      </c>
      <c r="D1536" s="1257" t="s">
        <v>106</v>
      </c>
      <c r="E1536" s="1258">
        <v>500000</v>
      </c>
      <c r="F1536" s="1252">
        <f t="shared" si="39"/>
        <v>500000</v>
      </c>
      <c r="G1536" s="1232"/>
    </row>
    <row r="1537" spans="1:7" ht="15.75" thickBot="1" x14ac:dyDescent="0.3">
      <c r="A1537" s="1245"/>
      <c r="B1537" s="2015" t="s">
        <v>515</v>
      </c>
      <c r="C1537" s="2016"/>
      <c r="D1537" s="2016"/>
      <c r="E1537" s="2017"/>
      <c r="F1537" s="1243">
        <f>SUM(F1530:F1536)</f>
        <v>96178000</v>
      </c>
      <c r="G1537" s="1254"/>
    </row>
    <row r="1538" spans="1:7" ht="15.75" thickBot="1" x14ac:dyDescent="0.3">
      <c r="A1538" s="1245"/>
      <c r="B1538" s="2015" t="s">
        <v>26</v>
      </c>
      <c r="C1538" s="2016"/>
      <c r="D1538" s="2016"/>
      <c r="E1538" s="2017"/>
      <c r="F1538" s="1243"/>
      <c r="G1538" s="1254"/>
    </row>
    <row r="1539" spans="1:7" x14ac:dyDescent="0.25">
      <c r="A1539" s="1969" t="s">
        <v>516</v>
      </c>
      <c r="B1539" s="1969"/>
      <c r="C1539" s="1259" t="s">
        <v>27</v>
      </c>
      <c r="D1539" s="1970" t="s">
        <v>1224</v>
      </c>
      <c r="E1539" s="1970"/>
      <c r="F1539" s="1970"/>
      <c r="G1539" s="1259"/>
    </row>
    <row r="1540" spans="1:7" x14ac:dyDescent="0.25">
      <c r="A1540" s="1969" t="s">
        <v>28</v>
      </c>
      <c r="B1540" s="1969"/>
      <c r="C1540" s="1259"/>
      <c r="D1540" s="1971" t="s">
        <v>2443</v>
      </c>
      <c r="E1540" s="1971"/>
      <c r="F1540" s="1971"/>
      <c r="G1540" s="1259"/>
    </row>
    <row r="1541" spans="1:7" x14ac:dyDescent="0.25">
      <c r="A1541" s="1261"/>
      <c r="B1541" s="1262"/>
      <c r="C1541" s="1259"/>
      <c r="D1541" s="1260"/>
      <c r="E1541" s="948"/>
      <c r="F1541" s="948"/>
      <c r="G1541" s="1259"/>
    </row>
    <row r="1542" spans="1:7" x14ac:dyDescent="0.25">
      <c r="A1542" s="1261"/>
      <c r="B1542" s="1262"/>
      <c r="C1542" s="1259"/>
      <c r="D1542" s="1260"/>
      <c r="E1542" s="948"/>
      <c r="F1542" s="993"/>
      <c r="G1542" s="1259"/>
    </row>
    <row r="1543" spans="1:7" x14ac:dyDescent="0.25">
      <c r="A1543" s="1969"/>
      <c r="B1543" s="1969"/>
      <c r="C1543" s="1259"/>
      <c r="D1543" s="1260"/>
      <c r="E1543" s="2009"/>
      <c r="F1543" s="1969"/>
      <c r="G1543" s="1259"/>
    </row>
    <row r="1544" spans="1:7" x14ac:dyDescent="0.25">
      <c r="A1544" s="1969" t="s">
        <v>29</v>
      </c>
      <c r="B1544" s="1969"/>
      <c r="C1544" s="1259"/>
      <c r="D1544" s="1969" t="s">
        <v>517</v>
      </c>
      <c r="E1544" s="1969"/>
      <c r="F1544" s="1969"/>
      <c r="G1544" s="1259"/>
    </row>
    <row r="1545" spans="1:7" x14ac:dyDescent="0.25">
      <c r="A1545" s="2010" t="s">
        <v>2251</v>
      </c>
      <c r="B1545" s="2010"/>
      <c r="C1545" s="2010"/>
      <c r="D1545" s="2010"/>
      <c r="E1545" s="2010"/>
      <c r="F1545" s="2010"/>
      <c r="G1545" s="2010"/>
    </row>
    <row r="1546" spans="1:7" x14ac:dyDescent="0.25">
      <c r="A1546" s="2010" t="s">
        <v>1</v>
      </c>
      <c r="B1546" s="2010"/>
      <c r="C1546" s="2010"/>
      <c r="D1546" s="2010"/>
      <c r="E1546" s="2010"/>
      <c r="F1546" s="2010"/>
      <c r="G1546" s="2010"/>
    </row>
    <row r="1547" spans="1:7" x14ac:dyDescent="0.25">
      <c r="A1547" s="2010" t="s">
        <v>2398</v>
      </c>
      <c r="B1547" s="2010"/>
      <c r="C1547" s="2010"/>
      <c r="D1547" s="2010"/>
      <c r="E1547" s="2010"/>
      <c r="F1547" s="2010"/>
      <c r="G1547" s="2010"/>
    </row>
    <row r="1548" spans="1:7" x14ac:dyDescent="0.25">
      <c r="A1548" s="1209"/>
      <c r="B1548" s="1210"/>
      <c r="C1548" s="1211"/>
      <c r="D1548" s="1211"/>
      <c r="E1548" s="1212"/>
      <c r="F1548" s="1212"/>
      <c r="G1548" s="1212"/>
    </row>
    <row r="1549" spans="1:7" ht="24.75" x14ac:dyDescent="0.25">
      <c r="A1549" s="1212" t="s">
        <v>1263</v>
      </c>
      <c r="B1549" s="1213" t="s">
        <v>648</v>
      </c>
      <c r="C1549" s="1214"/>
      <c r="D1549" s="1214"/>
      <c r="E1549" s="1215"/>
      <c r="F1549" s="1215"/>
      <c r="G1549" s="1212"/>
    </row>
    <row r="1550" spans="1:7" ht="24.75" x14ac:dyDescent="0.25">
      <c r="A1550" s="1216" t="s">
        <v>659</v>
      </c>
      <c r="B1550" s="1217" t="s">
        <v>1283</v>
      </c>
      <c r="C1550" s="1214"/>
      <c r="D1550" s="1214"/>
      <c r="E1550" s="1215" t="s">
        <v>1264</v>
      </c>
      <c r="F1550" s="1215"/>
      <c r="G1550" s="1212"/>
    </row>
    <row r="1551" spans="1:7" ht="60" x14ac:dyDescent="0.25">
      <c r="A1551" s="1218" t="s">
        <v>685</v>
      </c>
      <c r="B1551" s="1219" t="s">
        <v>2748</v>
      </c>
      <c r="C1551" s="1214"/>
      <c r="D1551" s="1214"/>
      <c r="E1551" s="1215" t="s">
        <v>1265</v>
      </c>
      <c r="F1551" s="1215"/>
      <c r="G1551" s="1216"/>
    </row>
    <row r="1552" spans="1:7" x14ac:dyDescent="0.25">
      <c r="A1552" s="1218" t="s">
        <v>1266</v>
      </c>
      <c r="B1552" s="1219" t="s">
        <v>2749</v>
      </c>
      <c r="C1552" s="1214"/>
      <c r="D1552" s="1214"/>
      <c r="E1552" s="1215"/>
      <c r="F1552" s="1215"/>
      <c r="G1552" s="1216"/>
    </row>
    <row r="1553" spans="1:12" x14ac:dyDescent="0.25">
      <c r="A1553" s="1212" t="s">
        <v>1267</v>
      </c>
      <c r="B1553" s="1213" t="s">
        <v>60</v>
      </c>
      <c r="C1553" s="1214"/>
      <c r="D1553" s="1214"/>
      <c r="E1553" s="1212"/>
      <c r="F1553" s="1212"/>
      <c r="G1553" s="1212"/>
    </row>
    <row r="1554" spans="1:12" x14ac:dyDescent="0.25">
      <c r="A1554" s="1216" t="s">
        <v>61</v>
      </c>
      <c r="B1554" s="1217" t="s">
        <v>62</v>
      </c>
      <c r="C1554" s="1214"/>
      <c r="D1554" s="1214"/>
      <c r="E1554" s="1216"/>
      <c r="F1554" s="1216"/>
      <c r="G1554" s="1216"/>
    </row>
    <row r="1555" spans="1:12" x14ac:dyDescent="0.25">
      <c r="A1555" s="1220"/>
      <c r="B1555" s="1221"/>
      <c r="C1555" s="1222"/>
      <c r="D1555" s="1222"/>
      <c r="E1555" s="1220"/>
      <c r="F1555" s="1220"/>
      <c r="G1555" s="1220"/>
    </row>
    <row r="1556" spans="1:12" ht="24" x14ac:dyDescent="0.25">
      <c r="A1556" s="1223" t="s">
        <v>30</v>
      </c>
      <c r="B1556" s="1223" t="s">
        <v>11</v>
      </c>
      <c r="C1556" s="2011" t="s">
        <v>12</v>
      </c>
      <c r="D1556" s="2012"/>
      <c r="E1556" s="1225" t="s">
        <v>13</v>
      </c>
      <c r="F1556" s="1224" t="s">
        <v>14</v>
      </c>
      <c r="G1556" s="1226" t="s">
        <v>256</v>
      </c>
    </row>
    <row r="1557" spans="1:12" x14ac:dyDescent="0.25">
      <c r="A1557" s="1227">
        <v>1</v>
      </c>
      <c r="B1557" s="1228">
        <v>2</v>
      </c>
      <c r="C1557" s="2013">
        <v>3</v>
      </c>
      <c r="D1557" s="2014"/>
      <c r="E1557" s="1231">
        <v>4</v>
      </c>
      <c r="F1557" s="1229">
        <v>5</v>
      </c>
      <c r="G1557" s="1232">
        <v>7</v>
      </c>
    </row>
    <row r="1558" spans="1:12" x14ac:dyDescent="0.25">
      <c r="A1558" s="1233" t="s">
        <v>1683</v>
      </c>
      <c r="B1558" s="1234" t="s">
        <v>1284</v>
      </c>
      <c r="C1558" s="1235"/>
      <c r="D1558" s="1236"/>
      <c r="E1558" s="1237"/>
      <c r="F1558" s="1238"/>
      <c r="G1558" s="1232"/>
    </row>
    <row r="1559" spans="1:12" x14ac:dyDescent="0.25">
      <c r="A1559" s="1233" t="s">
        <v>1684</v>
      </c>
      <c r="B1559" s="1234" t="s">
        <v>1658</v>
      </c>
      <c r="C1559" s="1235"/>
      <c r="D1559" s="1236"/>
      <c r="E1559" s="1237"/>
      <c r="F1559" s="1238"/>
      <c r="G1559" s="1232"/>
    </row>
    <row r="1560" spans="1:12" ht="24" x14ac:dyDescent="0.25">
      <c r="A1560" s="1233" t="s">
        <v>1685</v>
      </c>
      <c r="B1560" s="1234" t="s">
        <v>1279</v>
      </c>
      <c r="C1560" s="1239"/>
      <c r="D1560" s="1236"/>
      <c r="E1560" s="1237"/>
      <c r="F1560" s="1238"/>
      <c r="G1560" s="1232"/>
    </row>
    <row r="1561" spans="1:12" ht="15.75" thickBot="1" x14ac:dyDescent="0.3">
      <c r="A1561" s="1240"/>
      <c r="B1561" s="1241" t="s">
        <v>1660</v>
      </c>
      <c r="C1561" s="1239">
        <v>1</v>
      </c>
      <c r="D1561" s="1236" t="s">
        <v>213</v>
      </c>
      <c r="E1561" s="1237">
        <v>174200</v>
      </c>
      <c r="F1561" s="1238">
        <f>E1561*C1561</f>
        <v>174200</v>
      </c>
      <c r="G1561" s="1232"/>
    </row>
    <row r="1562" spans="1:12" ht="15.75" thickBot="1" x14ac:dyDescent="0.3">
      <c r="A1562" s="1242"/>
      <c r="B1562" s="2015" t="s">
        <v>515</v>
      </c>
      <c r="C1562" s="2016"/>
      <c r="D1562" s="2016"/>
      <c r="E1562" s="2017"/>
      <c r="F1562" s="1243">
        <f>SUM(F1561:F1561)</f>
        <v>174200</v>
      </c>
      <c r="G1562" s="1232"/>
    </row>
    <row r="1563" spans="1:12" x14ac:dyDescent="0.25">
      <c r="A1563" s="1233" t="s">
        <v>1686</v>
      </c>
      <c r="B1563" s="1244" t="s">
        <v>1268</v>
      </c>
      <c r="C1563" s="1245"/>
      <c r="D1563" s="1246"/>
      <c r="E1563" s="1242"/>
      <c r="F1563" s="1247"/>
      <c r="G1563" s="1232"/>
    </row>
    <row r="1564" spans="1:12" ht="15.75" thickBot="1" x14ac:dyDescent="0.3">
      <c r="A1564" s="1233"/>
      <c r="B1564" s="1248" t="s">
        <v>1270</v>
      </c>
      <c r="C1564" s="1249">
        <v>67</v>
      </c>
      <c r="D1564" s="1250" t="s">
        <v>392</v>
      </c>
      <c r="E1564" s="1251">
        <v>120000</v>
      </c>
      <c r="F1564" s="1252">
        <f>E1564*C1564</f>
        <v>8040000</v>
      </c>
      <c r="G1564" s="1232"/>
    </row>
    <row r="1565" spans="1:12" ht="15.75" thickBot="1" x14ac:dyDescent="0.3">
      <c r="A1565" s="1253"/>
      <c r="B1565" s="2018" t="s">
        <v>515</v>
      </c>
      <c r="C1565" s="2019"/>
      <c r="D1565" s="2019"/>
      <c r="E1565" s="2020"/>
      <c r="F1565" s="1243">
        <f>SUM(F1564:F1564)</f>
        <v>8040000</v>
      </c>
      <c r="G1565" s="1254"/>
    </row>
    <row r="1566" spans="1:12" ht="15.75" thickBot="1" x14ac:dyDescent="0.3">
      <c r="A1566" s="1240"/>
      <c r="B1566" s="1255"/>
      <c r="C1566" s="1256"/>
      <c r="D1566" s="1257"/>
      <c r="E1566" s="1258"/>
      <c r="F1566" s="1252"/>
      <c r="G1566" s="1232"/>
    </row>
    <row r="1567" spans="1:12" ht="15.75" thickBot="1" x14ac:dyDescent="0.3">
      <c r="A1567" s="1245"/>
      <c r="B1567" s="2015" t="s">
        <v>26</v>
      </c>
      <c r="C1567" s="2016"/>
      <c r="D1567" s="2016"/>
      <c r="E1567" s="2017"/>
      <c r="F1567" s="1243">
        <f>F1565+F1562</f>
        <v>8214200</v>
      </c>
      <c r="G1567" s="1254"/>
      <c r="L1567" s="139"/>
    </row>
    <row r="1568" spans="1:12" x14ac:dyDescent="0.25">
      <c r="A1568" s="1969" t="s">
        <v>516</v>
      </c>
      <c r="B1568" s="1969"/>
      <c r="C1568" s="1259" t="s">
        <v>27</v>
      </c>
      <c r="D1568" s="1970" t="s">
        <v>1224</v>
      </c>
      <c r="E1568" s="1970"/>
      <c r="F1568" s="1970"/>
      <c r="G1568" s="1259"/>
    </row>
    <row r="1569" spans="1:7" x14ac:dyDescent="0.25">
      <c r="A1569" s="1969" t="s">
        <v>28</v>
      </c>
      <c r="B1569" s="1969"/>
      <c r="C1569" s="1259"/>
      <c r="D1569" s="1971" t="s">
        <v>2443</v>
      </c>
      <c r="E1569" s="1971"/>
      <c r="F1569" s="1971"/>
      <c r="G1569" s="1259"/>
    </row>
    <row r="1570" spans="1:7" x14ac:dyDescent="0.25">
      <c r="A1570" s="1261"/>
      <c r="B1570" s="1262"/>
      <c r="C1570" s="1259"/>
      <c r="D1570" s="1260"/>
      <c r="E1570" s="948"/>
      <c r="F1570" s="948"/>
      <c r="G1570" s="1259"/>
    </row>
    <row r="1571" spans="1:7" x14ac:dyDescent="0.25">
      <c r="A1571" s="1261"/>
      <c r="B1571" s="1262"/>
      <c r="C1571" s="1259"/>
      <c r="D1571" s="1260"/>
      <c r="E1571" s="948"/>
      <c r="F1571" s="948"/>
      <c r="G1571" s="1259"/>
    </row>
    <row r="1572" spans="1:7" x14ac:dyDescent="0.25">
      <c r="A1572" s="1969"/>
      <c r="B1572" s="1969"/>
      <c r="C1572" s="1259"/>
      <c r="D1572" s="1260"/>
      <c r="E1572" s="1969"/>
      <c r="F1572" s="1969"/>
      <c r="G1572" s="1259"/>
    </row>
    <row r="1573" spans="1:7" x14ac:dyDescent="0.25">
      <c r="A1573" s="1969" t="s">
        <v>29</v>
      </c>
      <c r="B1573" s="1969"/>
      <c r="C1573" s="1259"/>
      <c r="D1573" s="1969" t="s">
        <v>517</v>
      </c>
      <c r="E1573" s="1969"/>
      <c r="F1573" s="1969"/>
      <c r="G1573" s="1259"/>
    </row>
    <row r="1574" spans="1:7" x14ac:dyDescent="0.25">
      <c r="A1574" s="96"/>
      <c r="B1574" s="96"/>
      <c r="C1574" s="96"/>
      <c r="D1574" s="96"/>
      <c r="E1574" s="96"/>
      <c r="F1574" s="96"/>
      <c r="G1574" s="96"/>
    </row>
    <row r="1575" spans="1:7" x14ac:dyDescent="0.25">
      <c r="A1575" s="96"/>
      <c r="B1575" s="96"/>
      <c r="C1575" s="96"/>
      <c r="D1575" s="96"/>
      <c r="E1575" s="96"/>
      <c r="F1575" s="96"/>
      <c r="G1575" s="96"/>
    </row>
    <row r="1576" spans="1:7" x14ac:dyDescent="0.25">
      <c r="A1576" s="96"/>
      <c r="B1576" s="96"/>
      <c r="C1576" s="96"/>
      <c r="D1576" s="96"/>
      <c r="E1576" s="96"/>
      <c r="F1576" s="96"/>
      <c r="G1576" s="96"/>
    </row>
    <row r="1577" spans="1:7" x14ac:dyDescent="0.25">
      <c r="A1577" s="96"/>
      <c r="B1577" s="96"/>
      <c r="C1577" s="96"/>
      <c r="D1577" s="96"/>
      <c r="E1577" s="96"/>
      <c r="F1577" s="96"/>
      <c r="G1577" s="96"/>
    </row>
    <row r="1578" spans="1:7" x14ac:dyDescent="0.25">
      <c r="A1578" s="2010" t="s">
        <v>2251</v>
      </c>
      <c r="B1578" s="2010"/>
      <c r="C1578" s="2010"/>
      <c r="D1578" s="2010"/>
      <c r="E1578" s="2010"/>
      <c r="F1578" s="2010"/>
      <c r="G1578" s="2010"/>
    </row>
    <row r="1579" spans="1:7" x14ac:dyDescent="0.25">
      <c r="A1579" s="2010" t="s">
        <v>1</v>
      </c>
      <c r="B1579" s="2010"/>
      <c r="C1579" s="2010"/>
      <c r="D1579" s="2010"/>
      <c r="E1579" s="2010"/>
      <c r="F1579" s="2010"/>
      <c r="G1579" s="2010"/>
    </row>
    <row r="1580" spans="1:7" x14ac:dyDescent="0.25">
      <c r="A1580" s="2010" t="s">
        <v>2398</v>
      </c>
      <c r="B1580" s="2010"/>
      <c r="C1580" s="2010"/>
      <c r="D1580" s="2010"/>
      <c r="E1580" s="2010"/>
      <c r="F1580" s="2010"/>
      <c r="G1580" s="2010"/>
    </row>
    <row r="1581" spans="1:7" x14ac:dyDescent="0.25">
      <c r="A1581" s="1209"/>
      <c r="B1581" s="1210"/>
      <c r="C1581" s="1211"/>
      <c r="D1581" s="1211"/>
      <c r="E1581" s="1212"/>
      <c r="F1581" s="1212"/>
      <c r="G1581" s="1212"/>
    </row>
    <row r="1582" spans="1:7" ht="24.75" x14ac:dyDescent="0.25">
      <c r="A1582" s="1212" t="s">
        <v>1263</v>
      </c>
      <c r="B1582" s="1213" t="s">
        <v>648</v>
      </c>
      <c r="C1582" s="1214"/>
      <c r="D1582" s="1214"/>
      <c r="E1582" s="1215"/>
      <c r="F1582" s="1215"/>
      <c r="G1582" s="1212"/>
    </row>
    <row r="1583" spans="1:7" ht="24.75" x14ac:dyDescent="0.25">
      <c r="A1583" s="1216" t="s">
        <v>659</v>
      </c>
      <c r="B1583" s="1217" t="s">
        <v>1283</v>
      </c>
      <c r="C1583" s="1214"/>
      <c r="D1583" s="1214"/>
      <c r="E1583" s="1215" t="s">
        <v>1264</v>
      </c>
      <c r="F1583" s="1215"/>
      <c r="G1583" s="1212"/>
    </row>
    <row r="1584" spans="1:7" ht="60" x14ac:dyDescent="0.25">
      <c r="A1584" s="1218" t="s">
        <v>685</v>
      </c>
      <c r="B1584" s="1219" t="s">
        <v>2750</v>
      </c>
      <c r="C1584" s="1214"/>
      <c r="D1584" s="1214"/>
      <c r="E1584" s="1215" t="s">
        <v>1265</v>
      </c>
      <c r="F1584" s="1215"/>
      <c r="G1584" s="1216"/>
    </row>
    <row r="1585" spans="1:7" ht="45" x14ac:dyDescent="0.25">
      <c r="A1585" s="1218" t="s">
        <v>1266</v>
      </c>
      <c r="B1585" s="1219" t="s">
        <v>2751</v>
      </c>
      <c r="C1585" s="1214"/>
      <c r="D1585" s="1214"/>
      <c r="E1585" s="1215"/>
      <c r="F1585" s="1215"/>
      <c r="G1585" s="1216"/>
    </row>
    <row r="1586" spans="1:7" x14ac:dyDescent="0.25">
      <c r="A1586" s="1212" t="s">
        <v>1267</v>
      </c>
      <c r="B1586" s="1213" t="s">
        <v>60</v>
      </c>
      <c r="C1586" s="1214"/>
      <c r="D1586" s="1214"/>
      <c r="E1586" s="1212"/>
      <c r="F1586" s="1212"/>
      <c r="G1586" s="1212"/>
    </row>
    <row r="1587" spans="1:7" x14ac:dyDescent="0.25">
      <c r="A1587" s="1216" t="s">
        <v>61</v>
      </c>
      <c r="B1587" s="1217" t="s">
        <v>62</v>
      </c>
      <c r="C1587" s="1214"/>
      <c r="D1587" s="1214"/>
      <c r="E1587" s="1216"/>
      <c r="F1587" s="1216"/>
      <c r="G1587" s="1216"/>
    </row>
    <row r="1588" spans="1:7" x14ac:dyDescent="0.25">
      <c r="A1588" s="1220"/>
      <c r="B1588" s="1221"/>
      <c r="C1588" s="1222"/>
      <c r="D1588" s="1222"/>
      <c r="E1588" s="1220"/>
      <c r="F1588" s="1220"/>
      <c r="G1588" s="1220"/>
    </row>
    <row r="1589" spans="1:7" ht="24" x14ac:dyDescent="0.25">
      <c r="A1589" s="1223" t="s">
        <v>30</v>
      </c>
      <c r="B1589" s="1223" t="s">
        <v>11</v>
      </c>
      <c r="C1589" s="2011" t="s">
        <v>12</v>
      </c>
      <c r="D1589" s="2012"/>
      <c r="E1589" s="1225" t="s">
        <v>13</v>
      </c>
      <c r="F1589" s="1224" t="s">
        <v>14</v>
      </c>
      <c r="G1589" s="1226" t="s">
        <v>256</v>
      </c>
    </row>
    <row r="1590" spans="1:7" x14ac:dyDescent="0.25">
      <c r="A1590" s="1227">
        <v>1</v>
      </c>
      <c r="B1590" s="1228">
        <v>2</v>
      </c>
      <c r="C1590" s="2013">
        <v>3</v>
      </c>
      <c r="D1590" s="2014"/>
      <c r="E1590" s="1231">
        <v>4</v>
      </c>
      <c r="F1590" s="1229">
        <v>5</v>
      </c>
      <c r="G1590" s="1232">
        <v>7</v>
      </c>
    </row>
    <row r="1591" spans="1:7" x14ac:dyDescent="0.25">
      <c r="A1591" s="1233" t="s">
        <v>1683</v>
      </c>
      <c r="B1591" s="1234" t="s">
        <v>1284</v>
      </c>
      <c r="C1591" s="1235"/>
      <c r="D1591" s="1236"/>
      <c r="E1591" s="1237"/>
      <c r="F1591" s="1238"/>
      <c r="G1591" s="1232"/>
    </row>
    <row r="1592" spans="1:7" x14ac:dyDescent="0.25">
      <c r="A1592" s="1233" t="s">
        <v>1684</v>
      </c>
      <c r="B1592" s="1234" t="s">
        <v>1658</v>
      </c>
      <c r="C1592" s="1235"/>
      <c r="D1592" s="1236"/>
      <c r="E1592" s="1237"/>
      <c r="F1592" s="1238"/>
      <c r="G1592" s="1232"/>
    </row>
    <row r="1593" spans="1:7" ht="24" x14ac:dyDescent="0.25">
      <c r="A1593" s="1233" t="s">
        <v>1685</v>
      </c>
      <c r="B1593" s="1234" t="s">
        <v>1279</v>
      </c>
      <c r="C1593" s="1239"/>
      <c r="D1593" s="1236"/>
      <c r="E1593" s="1237"/>
      <c r="F1593" s="1238"/>
      <c r="G1593" s="1232"/>
    </row>
    <row r="1594" spans="1:7" ht="15.75" thickBot="1" x14ac:dyDescent="0.3">
      <c r="A1594" s="1240"/>
      <c r="B1594" s="1241" t="s">
        <v>1660</v>
      </c>
      <c r="C1594" s="1239">
        <v>1</v>
      </c>
      <c r="D1594" s="1236" t="s">
        <v>444</v>
      </c>
      <c r="E1594" s="1237">
        <v>6441800</v>
      </c>
      <c r="F1594" s="1238">
        <f>E1594*C1594</f>
        <v>6441800</v>
      </c>
      <c r="G1594" s="1232"/>
    </row>
    <row r="1595" spans="1:7" ht="15.75" thickBot="1" x14ac:dyDescent="0.3">
      <c r="A1595" s="1242"/>
      <c r="B1595" s="2015" t="s">
        <v>515</v>
      </c>
      <c r="C1595" s="2016"/>
      <c r="D1595" s="2016"/>
      <c r="E1595" s="2017"/>
      <c r="F1595" s="1243">
        <f>SUM(F1594:F1594)</f>
        <v>6441800</v>
      </c>
      <c r="G1595" s="1232"/>
    </row>
    <row r="1596" spans="1:7" x14ac:dyDescent="0.25">
      <c r="A1596" s="1233" t="s">
        <v>1686</v>
      </c>
      <c r="B1596" s="1244" t="s">
        <v>1268</v>
      </c>
      <c r="C1596" s="1245"/>
      <c r="D1596" s="1246"/>
      <c r="E1596" s="1242"/>
      <c r="F1596" s="1247"/>
      <c r="G1596" s="1232"/>
    </row>
    <row r="1597" spans="1:7" x14ac:dyDescent="0.25">
      <c r="A1597" s="1233"/>
      <c r="B1597" s="1263" t="s">
        <v>1269</v>
      </c>
      <c r="C1597" s="1229">
        <v>195</v>
      </c>
      <c r="D1597" s="1230" t="s">
        <v>392</v>
      </c>
      <c r="E1597" s="1264">
        <v>150000</v>
      </c>
      <c r="F1597" s="1238">
        <f>E1597*C1597</f>
        <v>29250000</v>
      </c>
      <c r="G1597" s="1232"/>
    </row>
    <row r="1598" spans="1:7" ht="15.75" thickBot="1" x14ac:dyDescent="0.3">
      <c r="A1598" s="1233"/>
      <c r="B1598" s="1248" t="s">
        <v>1270</v>
      </c>
      <c r="C1598" s="1249">
        <v>390</v>
      </c>
      <c r="D1598" s="1250" t="s">
        <v>392</v>
      </c>
      <c r="E1598" s="1251">
        <v>120000</v>
      </c>
      <c r="F1598" s="1252">
        <f>E1598*C1598</f>
        <v>46800000</v>
      </c>
      <c r="G1598" s="1232"/>
    </row>
    <row r="1599" spans="1:7" ht="15.75" thickBot="1" x14ac:dyDescent="0.3">
      <c r="A1599" s="1253"/>
      <c r="B1599" s="2018" t="s">
        <v>515</v>
      </c>
      <c r="C1599" s="2019"/>
      <c r="D1599" s="2019"/>
      <c r="E1599" s="2020"/>
      <c r="F1599" s="1243">
        <f>SUM(F1597:F1598)</f>
        <v>76050000</v>
      </c>
      <c r="G1599" s="1254"/>
    </row>
    <row r="1600" spans="1:7" x14ac:dyDescent="0.25">
      <c r="A1600" s="1233" t="s">
        <v>1687</v>
      </c>
      <c r="B1600" s="1265" t="s">
        <v>1271</v>
      </c>
      <c r="C1600" s="1245"/>
      <c r="D1600" s="1246"/>
      <c r="E1600" s="1242"/>
      <c r="F1600" s="1247"/>
      <c r="G1600" s="1232"/>
    </row>
    <row r="1601" spans="1:12" x14ac:dyDescent="0.25">
      <c r="A1601" s="1242"/>
      <c r="B1601" s="911" t="s">
        <v>1281</v>
      </c>
      <c r="C1601" s="1229">
        <v>1166</v>
      </c>
      <c r="D1601" s="1230" t="s">
        <v>1275</v>
      </c>
      <c r="E1601" s="945">
        <v>152000</v>
      </c>
      <c r="F1601" s="1238">
        <f>E1601*C1601</f>
        <v>177232000</v>
      </c>
      <c r="G1601" s="1232"/>
    </row>
    <row r="1602" spans="1:12" x14ac:dyDescent="0.25">
      <c r="A1602" s="1242"/>
      <c r="B1602" s="911" t="s">
        <v>1272</v>
      </c>
      <c r="C1602" s="1229">
        <v>115</v>
      </c>
      <c r="D1602" s="1230" t="s">
        <v>767</v>
      </c>
      <c r="E1602" s="945">
        <v>230000</v>
      </c>
      <c r="F1602" s="1238">
        <f t="shared" ref="F1602:F1607" si="40">E1602*C1602</f>
        <v>26450000</v>
      </c>
      <c r="G1602" s="1232"/>
    </row>
    <row r="1603" spans="1:12" x14ac:dyDescent="0.25">
      <c r="A1603" s="1242"/>
      <c r="B1603" s="1241" t="s">
        <v>1273</v>
      </c>
      <c r="C1603" s="1239">
        <v>1142</v>
      </c>
      <c r="D1603" s="1236" t="s">
        <v>154</v>
      </c>
      <c r="E1603" s="1237">
        <v>3000</v>
      </c>
      <c r="F1603" s="1238">
        <f t="shared" si="40"/>
        <v>3426000</v>
      </c>
      <c r="G1603" s="1232"/>
    </row>
    <row r="1604" spans="1:12" x14ac:dyDescent="0.25">
      <c r="A1604" s="1233"/>
      <c r="B1604" s="1241" t="s">
        <v>2746</v>
      </c>
      <c r="C1604" s="1239">
        <v>9</v>
      </c>
      <c r="D1604" s="1236" t="s">
        <v>106</v>
      </c>
      <c r="E1604" s="1237">
        <v>96000</v>
      </c>
      <c r="F1604" s="1238">
        <f t="shared" si="40"/>
        <v>864000</v>
      </c>
      <c r="G1604" s="1232"/>
    </row>
    <row r="1605" spans="1:12" x14ac:dyDescent="0.25">
      <c r="A1605" s="1266"/>
      <c r="B1605" s="1255" t="s">
        <v>2747</v>
      </c>
      <c r="C1605" s="1239">
        <v>1078</v>
      </c>
      <c r="D1605" s="1236" t="s">
        <v>106</v>
      </c>
      <c r="E1605" s="1237">
        <v>31000</v>
      </c>
      <c r="F1605" s="1238">
        <f t="shared" si="40"/>
        <v>33418000</v>
      </c>
      <c r="G1605" s="1232"/>
    </row>
    <row r="1606" spans="1:12" x14ac:dyDescent="0.25">
      <c r="A1606" s="1266"/>
      <c r="B1606" s="1255" t="s">
        <v>1276</v>
      </c>
      <c r="C1606" s="1256">
        <v>1</v>
      </c>
      <c r="D1606" s="1257" t="s">
        <v>106</v>
      </c>
      <c r="E1606" s="1258">
        <v>250000</v>
      </c>
      <c r="F1606" s="1252">
        <f>E1606*C1606</f>
        <v>250000</v>
      </c>
      <c r="G1606" s="1232"/>
    </row>
    <row r="1607" spans="1:12" ht="15.75" thickBot="1" x14ac:dyDescent="0.3">
      <c r="A1607" s="1240"/>
      <c r="B1607" s="1255" t="s">
        <v>1277</v>
      </c>
      <c r="C1607" s="1256">
        <v>1</v>
      </c>
      <c r="D1607" s="1257" t="s">
        <v>106</v>
      </c>
      <c r="E1607" s="1258">
        <v>500000</v>
      </c>
      <c r="F1607" s="1252">
        <f t="shared" si="40"/>
        <v>500000</v>
      </c>
      <c r="G1607" s="1232"/>
    </row>
    <row r="1608" spans="1:12" ht="15.75" thickBot="1" x14ac:dyDescent="0.3">
      <c r="A1608" s="1245"/>
      <c r="B1608" s="2015" t="s">
        <v>515</v>
      </c>
      <c r="C1608" s="2016"/>
      <c r="D1608" s="2016"/>
      <c r="E1608" s="2017"/>
      <c r="F1608" s="1243">
        <f>SUM(F1601:F1607)</f>
        <v>242140000</v>
      </c>
      <c r="G1608" s="1254"/>
    </row>
    <row r="1609" spans="1:12" ht="15.75" thickBot="1" x14ac:dyDescent="0.3">
      <c r="A1609" s="1245"/>
      <c r="B1609" s="2015" t="s">
        <v>26</v>
      </c>
      <c r="C1609" s="2016"/>
      <c r="D1609" s="2016"/>
      <c r="E1609" s="2017"/>
      <c r="F1609" s="1243">
        <f>F1608+F1599+F1595</f>
        <v>324631800</v>
      </c>
      <c r="G1609" s="1254"/>
      <c r="L1609" s="139"/>
    </row>
    <row r="1610" spans="1:12" x14ac:dyDescent="0.25">
      <c r="A1610" s="1969" t="s">
        <v>516</v>
      </c>
      <c r="B1610" s="1969"/>
      <c r="C1610" s="1259" t="s">
        <v>27</v>
      </c>
      <c r="D1610" s="1970" t="s">
        <v>1224</v>
      </c>
      <c r="E1610" s="1970"/>
      <c r="F1610" s="1970"/>
      <c r="G1610" s="1259"/>
    </row>
    <row r="1611" spans="1:12" x14ac:dyDescent="0.25">
      <c r="A1611" s="1969" t="s">
        <v>28</v>
      </c>
      <c r="B1611" s="1969"/>
      <c r="C1611" s="1259"/>
      <c r="D1611" s="1971" t="s">
        <v>2443</v>
      </c>
      <c r="E1611" s="1971"/>
      <c r="F1611" s="1971"/>
      <c r="G1611" s="1259"/>
    </row>
    <row r="1612" spans="1:12" x14ac:dyDescent="0.25">
      <c r="A1612" s="1261"/>
      <c r="B1612" s="1262"/>
      <c r="C1612" s="1259"/>
      <c r="D1612" s="1260"/>
      <c r="E1612" s="948"/>
      <c r="F1612" s="948"/>
      <c r="G1612" s="1259"/>
    </row>
    <row r="1613" spans="1:12" x14ac:dyDescent="0.25">
      <c r="A1613" s="1261"/>
      <c r="B1613" s="1262"/>
      <c r="C1613" s="1259"/>
      <c r="D1613" s="1260"/>
      <c r="E1613" s="948"/>
      <c r="F1613" s="948"/>
      <c r="G1613" s="1259"/>
    </row>
    <row r="1614" spans="1:12" x14ac:dyDescent="0.25">
      <c r="A1614" s="1969"/>
      <c r="B1614" s="1969"/>
      <c r="C1614" s="1259"/>
      <c r="D1614" s="1260"/>
      <c r="E1614" s="1969"/>
      <c r="F1614" s="1969"/>
      <c r="G1614" s="1259"/>
    </row>
    <row r="1615" spans="1:12" x14ac:dyDescent="0.25">
      <c r="A1615" s="1969" t="s">
        <v>29</v>
      </c>
      <c r="B1615" s="1969"/>
      <c r="C1615" s="1259"/>
      <c r="D1615" s="1969" t="s">
        <v>517</v>
      </c>
      <c r="E1615" s="1969"/>
      <c r="F1615" s="1969"/>
      <c r="G1615" s="1259"/>
    </row>
    <row r="1617" spans="1:7" x14ac:dyDescent="0.25">
      <c r="A1617" s="2010" t="s">
        <v>0</v>
      </c>
      <c r="B1617" s="2010"/>
      <c r="C1617" s="2010"/>
      <c r="D1617" s="2010"/>
      <c r="E1617" s="2010"/>
      <c r="F1617" s="2010"/>
      <c r="G1617" s="2010"/>
    </row>
    <row r="1618" spans="1:7" x14ac:dyDescent="0.25">
      <c r="A1618" s="2010" t="s">
        <v>1</v>
      </c>
      <c r="B1618" s="2010"/>
      <c r="C1618" s="2010"/>
      <c r="D1618" s="2010"/>
      <c r="E1618" s="2010"/>
      <c r="F1618" s="2010"/>
      <c r="G1618" s="2010"/>
    </row>
    <row r="1619" spans="1:7" x14ac:dyDescent="0.25">
      <c r="A1619" s="2010" t="s">
        <v>2398</v>
      </c>
      <c r="B1619" s="2010"/>
      <c r="C1619" s="2010"/>
      <c r="D1619" s="2010"/>
      <c r="E1619" s="2010"/>
      <c r="F1619" s="2010"/>
      <c r="G1619" s="2010"/>
    </row>
    <row r="1620" spans="1:7" x14ac:dyDescent="0.25">
      <c r="A1620" s="1209"/>
      <c r="B1620" s="1210"/>
      <c r="C1620" s="1211"/>
      <c r="D1620" s="1211"/>
      <c r="E1620" s="1212"/>
      <c r="F1620" s="1212"/>
      <c r="G1620" s="1212"/>
    </row>
    <row r="1621" spans="1:7" ht="24.75" x14ac:dyDescent="0.25">
      <c r="A1621" s="1212" t="s">
        <v>1263</v>
      </c>
      <c r="B1621" s="1213" t="s">
        <v>648</v>
      </c>
      <c r="C1621" s="1214"/>
      <c r="D1621" s="1214"/>
      <c r="E1621" s="1215"/>
      <c r="F1621" s="1215"/>
      <c r="G1621" s="1212"/>
    </row>
    <row r="1622" spans="1:7" ht="24.75" x14ac:dyDescent="0.25">
      <c r="A1622" s="1216" t="s">
        <v>659</v>
      </c>
      <c r="B1622" s="1217" t="s">
        <v>1283</v>
      </c>
      <c r="C1622" s="1214"/>
      <c r="D1622" s="1214"/>
      <c r="E1622" s="1215" t="s">
        <v>1264</v>
      </c>
      <c r="F1622" s="1215"/>
      <c r="G1622" s="1212"/>
    </row>
    <row r="1623" spans="1:7" ht="60" x14ac:dyDescent="0.25">
      <c r="A1623" s="1218" t="s">
        <v>685</v>
      </c>
      <c r="B1623" s="1219" t="s">
        <v>2752</v>
      </c>
      <c r="C1623" s="1214"/>
      <c r="D1623" s="1214"/>
      <c r="E1623" s="1215" t="s">
        <v>1265</v>
      </c>
      <c r="F1623" s="1215"/>
      <c r="G1623" s="1216"/>
    </row>
    <row r="1624" spans="1:7" ht="60" x14ac:dyDescent="0.25">
      <c r="A1624" s="1218" t="s">
        <v>1266</v>
      </c>
      <c r="B1624" s="1219" t="s">
        <v>3498</v>
      </c>
      <c r="C1624" s="1214"/>
      <c r="D1624" s="1214"/>
      <c r="E1624" s="1215"/>
      <c r="F1624" s="1215"/>
      <c r="G1624" s="1216"/>
    </row>
    <row r="1625" spans="1:7" x14ac:dyDescent="0.25">
      <c r="A1625" s="1212" t="s">
        <v>1267</v>
      </c>
      <c r="B1625" s="1213" t="s">
        <v>60</v>
      </c>
      <c r="C1625" s="1214"/>
      <c r="D1625" s="1214"/>
      <c r="E1625" s="1212"/>
      <c r="F1625" s="1212"/>
      <c r="G1625" s="1212"/>
    </row>
    <row r="1626" spans="1:7" x14ac:dyDescent="0.25">
      <c r="A1626" s="1216" t="s">
        <v>61</v>
      </c>
      <c r="B1626" s="1217" t="s">
        <v>62</v>
      </c>
      <c r="C1626" s="1214"/>
      <c r="D1626" s="1214"/>
      <c r="E1626" s="1216"/>
      <c r="F1626" s="1216"/>
      <c r="G1626" s="1216"/>
    </row>
    <row r="1627" spans="1:7" x14ac:dyDescent="0.25">
      <c r="A1627" s="1220"/>
      <c r="B1627" s="1221"/>
      <c r="C1627" s="1222"/>
      <c r="D1627" s="1222"/>
      <c r="E1627" s="1220"/>
      <c r="F1627" s="1220"/>
      <c r="G1627" s="1220"/>
    </row>
    <row r="1628" spans="1:7" ht="24" x14ac:dyDescent="0.25">
      <c r="A1628" s="1223" t="s">
        <v>30</v>
      </c>
      <c r="B1628" s="1223" t="s">
        <v>11</v>
      </c>
      <c r="C1628" s="2011" t="s">
        <v>12</v>
      </c>
      <c r="D1628" s="2012"/>
      <c r="E1628" s="1225" t="s">
        <v>13</v>
      </c>
      <c r="F1628" s="1224" t="s">
        <v>14</v>
      </c>
      <c r="G1628" s="1226" t="s">
        <v>256</v>
      </c>
    </row>
    <row r="1629" spans="1:7" x14ac:dyDescent="0.25">
      <c r="A1629" s="1227">
        <v>1</v>
      </c>
      <c r="B1629" s="1228">
        <v>2</v>
      </c>
      <c r="C1629" s="2013">
        <v>3</v>
      </c>
      <c r="D1629" s="2014"/>
      <c r="E1629" s="1231">
        <v>4</v>
      </c>
      <c r="F1629" s="1229">
        <v>5</v>
      </c>
      <c r="G1629" s="1232">
        <v>7</v>
      </c>
    </row>
    <row r="1630" spans="1:7" x14ac:dyDescent="0.25">
      <c r="A1630" s="1233" t="s">
        <v>1683</v>
      </c>
      <c r="B1630" s="1234" t="s">
        <v>1284</v>
      </c>
      <c r="C1630" s="1235"/>
      <c r="D1630" s="1236"/>
      <c r="E1630" s="1237"/>
      <c r="F1630" s="1238"/>
      <c r="G1630" s="1232"/>
    </row>
    <row r="1631" spans="1:7" x14ac:dyDescent="0.25">
      <c r="A1631" s="1233" t="s">
        <v>1684</v>
      </c>
      <c r="B1631" s="1234" t="s">
        <v>1658</v>
      </c>
      <c r="C1631" s="1235"/>
      <c r="D1631" s="1236"/>
      <c r="E1631" s="1237"/>
      <c r="F1631" s="1238"/>
      <c r="G1631" s="1232"/>
    </row>
    <row r="1632" spans="1:7" ht="24" x14ac:dyDescent="0.25">
      <c r="A1632" s="1233" t="s">
        <v>1685</v>
      </c>
      <c r="B1632" s="1234" t="s">
        <v>1279</v>
      </c>
      <c r="C1632" s="1239"/>
      <c r="D1632" s="1236"/>
      <c r="E1632" s="1237"/>
      <c r="F1632" s="1238"/>
      <c r="G1632" s="1232"/>
    </row>
    <row r="1633" spans="1:12" ht="15.75" thickBot="1" x14ac:dyDescent="0.3">
      <c r="A1633" s="1240"/>
      <c r="B1633" s="1241" t="s">
        <v>1660</v>
      </c>
      <c r="C1633" s="1239">
        <v>1</v>
      </c>
      <c r="D1633" s="1236" t="s">
        <v>444</v>
      </c>
      <c r="E1633" s="1237">
        <v>830000</v>
      </c>
      <c r="F1633" s="1238">
        <f>E1633*C1633</f>
        <v>830000</v>
      </c>
      <c r="G1633" s="1232"/>
    </row>
    <row r="1634" spans="1:12" ht="15.75" thickBot="1" x14ac:dyDescent="0.3">
      <c r="A1634" s="1242"/>
      <c r="B1634" s="2015" t="s">
        <v>515</v>
      </c>
      <c r="C1634" s="2016"/>
      <c r="D1634" s="2016"/>
      <c r="E1634" s="2017"/>
      <c r="F1634" s="1243">
        <f>SUM(F1633:F1633)</f>
        <v>830000</v>
      </c>
      <c r="G1634" s="1232"/>
    </row>
    <row r="1635" spans="1:12" x14ac:dyDescent="0.25">
      <c r="A1635" s="1233" t="s">
        <v>1686</v>
      </c>
      <c r="B1635" s="1244" t="s">
        <v>1268</v>
      </c>
      <c r="C1635" s="1245"/>
      <c r="D1635" s="1246"/>
      <c r="E1635" s="1242"/>
      <c r="F1635" s="1247"/>
      <c r="G1635" s="1232"/>
    </row>
    <row r="1636" spans="1:12" x14ac:dyDescent="0.25">
      <c r="A1636" s="1233"/>
      <c r="B1636" s="1263" t="s">
        <v>1269</v>
      </c>
      <c r="C1636" s="1229">
        <v>30</v>
      </c>
      <c r="D1636" s="1230" t="s">
        <v>392</v>
      </c>
      <c r="E1636" s="1264">
        <v>150000</v>
      </c>
      <c r="F1636" s="1238">
        <f>E1636*C1636</f>
        <v>4500000</v>
      </c>
      <c r="G1636" s="1232"/>
    </row>
    <row r="1637" spans="1:12" ht="15.75" thickBot="1" x14ac:dyDescent="0.3">
      <c r="A1637" s="1233"/>
      <c r="B1637" s="1248" t="s">
        <v>1270</v>
      </c>
      <c r="C1637" s="1249">
        <v>75</v>
      </c>
      <c r="D1637" s="1250" t="s">
        <v>392</v>
      </c>
      <c r="E1637" s="1251">
        <v>120000</v>
      </c>
      <c r="F1637" s="1252">
        <f>E1637*C1637</f>
        <v>9000000</v>
      </c>
      <c r="G1637" s="1232"/>
    </row>
    <row r="1638" spans="1:12" ht="15.75" thickBot="1" x14ac:dyDescent="0.3">
      <c r="A1638" s="1253"/>
      <c r="B1638" s="2018" t="s">
        <v>515</v>
      </c>
      <c r="C1638" s="2019"/>
      <c r="D1638" s="2019"/>
      <c r="E1638" s="2020"/>
      <c r="F1638" s="1243">
        <f>SUM(F1636:F1637)</f>
        <v>13500000</v>
      </c>
      <c r="G1638" s="1254"/>
    </row>
    <row r="1639" spans="1:12" x14ac:dyDescent="0.25">
      <c r="A1639" s="1233" t="s">
        <v>1687</v>
      </c>
      <c r="B1639" s="1265" t="s">
        <v>1271</v>
      </c>
      <c r="C1639" s="1245"/>
      <c r="D1639" s="1246"/>
      <c r="E1639" s="1242"/>
      <c r="F1639" s="1247"/>
      <c r="G1639" s="1232"/>
    </row>
    <row r="1640" spans="1:12" x14ac:dyDescent="0.25">
      <c r="A1640" s="1242"/>
      <c r="B1640" s="911" t="s">
        <v>1281</v>
      </c>
      <c r="C1640" s="1229">
        <v>107</v>
      </c>
      <c r="D1640" s="1230" t="s">
        <v>1275</v>
      </c>
      <c r="E1640" s="945">
        <v>152000</v>
      </c>
      <c r="F1640" s="1238">
        <f>E1640*C1640</f>
        <v>16264000</v>
      </c>
      <c r="G1640" s="1232"/>
    </row>
    <row r="1641" spans="1:12" x14ac:dyDescent="0.25">
      <c r="A1641" s="1242"/>
      <c r="B1641" s="911" t="s">
        <v>1272</v>
      </c>
      <c r="C1641" s="1229">
        <v>11</v>
      </c>
      <c r="D1641" s="1230" t="s">
        <v>767</v>
      </c>
      <c r="E1641" s="945">
        <v>230000</v>
      </c>
      <c r="F1641" s="1238">
        <f t="shared" ref="F1641:F1646" si="41">E1641*C1641</f>
        <v>2530000</v>
      </c>
      <c r="G1641" s="1232"/>
    </row>
    <row r="1642" spans="1:12" x14ac:dyDescent="0.25">
      <c r="A1642" s="1242"/>
      <c r="B1642" s="1241" t="s">
        <v>1273</v>
      </c>
      <c r="C1642" s="1239">
        <v>264</v>
      </c>
      <c r="D1642" s="1236" t="s">
        <v>154</v>
      </c>
      <c r="E1642" s="1237">
        <v>3000</v>
      </c>
      <c r="F1642" s="1238">
        <f t="shared" si="41"/>
        <v>792000</v>
      </c>
      <c r="G1642" s="1232"/>
    </row>
    <row r="1643" spans="1:12" x14ac:dyDescent="0.25">
      <c r="A1643" s="1233"/>
      <c r="B1643" s="1241" t="s">
        <v>2746</v>
      </c>
      <c r="C1643" s="1239">
        <v>4</v>
      </c>
      <c r="D1643" s="1236" t="s">
        <v>106</v>
      </c>
      <c r="E1643" s="1237">
        <v>96000</v>
      </c>
      <c r="F1643" s="1238">
        <f t="shared" si="41"/>
        <v>384000</v>
      </c>
      <c r="G1643" s="1232"/>
    </row>
    <row r="1644" spans="1:12" x14ac:dyDescent="0.25">
      <c r="A1644" s="1266"/>
      <c r="B1644" s="1255" t="s">
        <v>2747</v>
      </c>
      <c r="C1644" s="1239">
        <v>248</v>
      </c>
      <c r="D1644" s="1236" t="s">
        <v>106</v>
      </c>
      <c r="E1644" s="1237">
        <v>31000</v>
      </c>
      <c r="F1644" s="1238">
        <f t="shared" si="41"/>
        <v>7688000</v>
      </c>
      <c r="G1644" s="1232"/>
    </row>
    <row r="1645" spans="1:12" x14ac:dyDescent="0.25">
      <c r="A1645" s="1266"/>
      <c r="B1645" s="1255" t="s">
        <v>1276</v>
      </c>
      <c r="C1645" s="1256">
        <v>1</v>
      </c>
      <c r="D1645" s="1257" t="s">
        <v>106</v>
      </c>
      <c r="E1645" s="1258">
        <v>250000</v>
      </c>
      <c r="F1645" s="1252">
        <f>E1645*C1645</f>
        <v>250000</v>
      </c>
      <c r="G1645" s="1232"/>
    </row>
    <row r="1646" spans="1:12" ht="15.75" thickBot="1" x14ac:dyDescent="0.3">
      <c r="A1646" s="1240"/>
      <c r="B1646" s="1255" t="s">
        <v>1277</v>
      </c>
      <c r="C1646" s="1256">
        <v>1</v>
      </c>
      <c r="D1646" s="1257" t="s">
        <v>106</v>
      </c>
      <c r="E1646" s="1258">
        <v>500000</v>
      </c>
      <c r="F1646" s="1252">
        <f t="shared" si="41"/>
        <v>500000</v>
      </c>
      <c r="G1646" s="1232"/>
    </row>
    <row r="1647" spans="1:12" ht="15.75" thickBot="1" x14ac:dyDescent="0.3">
      <c r="A1647" s="1245"/>
      <c r="B1647" s="2015" t="s">
        <v>515</v>
      </c>
      <c r="C1647" s="2016"/>
      <c r="D1647" s="2016"/>
      <c r="E1647" s="2017"/>
      <c r="F1647" s="1243">
        <f>SUM(F1640:F1646)</f>
        <v>28408000</v>
      </c>
      <c r="G1647" s="1254"/>
    </row>
    <row r="1648" spans="1:12" ht="15.75" thickBot="1" x14ac:dyDescent="0.3">
      <c r="A1648" s="1245"/>
      <c r="B1648" s="2015" t="s">
        <v>26</v>
      </c>
      <c r="C1648" s="2016"/>
      <c r="D1648" s="2016"/>
      <c r="E1648" s="2017"/>
      <c r="F1648" s="1243"/>
      <c r="G1648" s="1254" t="s">
        <v>1506</v>
      </c>
      <c r="L1648" s="139">
        <f>F1648</f>
        <v>0</v>
      </c>
    </row>
    <row r="1649" spans="1:9" x14ac:dyDescent="0.25">
      <c r="A1649" s="1969" t="s">
        <v>516</v>
      </c>
      <c r="B1649" s="1969"/>
      <c r="C1649" s="1259" t="s">
        <v>27</v>
      </c>
      <c r="D1649" s="1970" t="s">
        <v>1224</v>
      </c>
      <c r="E1649" s="1970"/>
      <c r="F1649" s="1970"/>
      <c r="G1649" s="1259"/>
    </row>
    <row r="1650" spans="1:9" x14ac:dyDescent="0.25">
      <c r="A1650" s="1969" t="s">
        <v>28</v>
      </c>
      <c r="B1650" s="1969"/>
      <c r="C1650" s="1259"/>
      <c r="D1650" s="1971" t="s">
        <v>2443</v>
      </c>
      <c r="E1650" s="1971"/>
      <c r="F1650" s="1971"/>
      <c r="G1650" s="1259"/>
    </row>
    <row r="1651" spans="1:9" x14ac:dyDescent="0.25">
      <c r="A1651" s="1261"/>
      <c r="B1651" s="1262"/>
      <c r="C1651" s="1259"/>
      <c r="D1651" s="1260"/>
      <c r="E1651" s="948"/>
      <c r="F1651" s="993"/>
      <c r="G1651" s="1259"/>
    </row>
    <row r="1652" spans="1:9" x14ac:dyDescent="0.25">
      <c r="A1652" s="1261"/>
      <c r="B1652" s="1262"/>
      <c r="C1652" s="1259"/>
      <c r="D1652" s="1260"/>
      <c r="E1652" s="948"/>
      <c r="F1652" s="993"/>
      <c r="G1652" s="1259"/>
    </row>
    <row r="1653" spans="1:9" x14ac:dyDescent="0.25">
      <c r="A1653" s="1969"/>
      <c r="B1653" s="1969"/>
      <c r="C1653" s="1259"/>
      <c r="D1653" s="1260"/>
      <c r="E1653" s="1969"/>
      <c r="F1653" s="1969"/>
      <c r="G1653" s="1259"/>
    </row>
    <row r="1654" spans="1:9" x14ac:dyDescent="0.25">
      <c r="A1654" s="1969" t="s">
        <v>29</v>
      </c>
      <c r="B1654" s="1969"/>
      <c r="C1654" s="1259"/>
      <c r="D1654" s="1969" t="s">
        <v>517</v>
      </c>
      <c r="E1654" s="1969"/>
      <c r="F1654" s="1969"/>
      <c r="G1654" s="1259"/>
    </row>
    <row r="1655" spans="1:9" x14ac:dyDescent="0.25">
      <c r="A1655" s="96"/>
      <c r="B1655" s="96"/>
      <c r="C1655" s="96"/>
      <c r="D1655" s="96"/>
      <c r="E1655" s="96"/>
      <c r="F1655" s="96"/>
      <c r="G1655" s="96"/>
    </row>
    <row r="1656" spans="1:9" x14ac:dyDescent="0.25">
      <c r="A1656" s="96"/>
      <c r="B1656" s="96"/>
      <c r="C1656" s="96"/>
      <c r="D1656" s="96"/>
      <c r="E1656" s="96"/>
      <c r="F1656" s="96"/>
      <c r="G1656" s="96"/>
      <c r="I1656" s="68"/>
    </row>
    <row r="1657" spans="1:9" x14ac:dyDescent="0.25">
      <c r="A1657" s="96"/>
      <c r="B1657" s="96"/>
      <c r="C1657" s="96"/>
      <c r="D1657" s="96"/>
      <c r="E1657" s="96"/>
      <c r="F1657" s="96"/>
      <c r="G1657" s="96"/>
      <c r="I1657" s="68"/>
    </row>
    <row r="1658" spans="1:9" x14ac:dyDescent="0.25">
      <c r="A1658" s="96"/>
      <c r="B1658" s="96"/>
      <c r="C1658" s="96"/>
      <c r="D1658" s="96"/>
      <c r="E1658" s="96"/>
      <c r="F1658" s="96"/>
      <c r="G1658" s="96"/>
      <c r="I1658" s="68"/>
    </row>
    <row r="1659" spans="1:9" x14ac:dyDescent="0.25">
      <c r="A1659" s="96"/>
      <c r="B1659" s="96"/>
      <c r="C1659" s="96"/>
      <c r="D1659" s="96"/>
      <c r="E1659" s="96"/>
      <c r="F1659" s="96"/>
      <c r="G1659" s="96"/>
      <c r="I1659" s="68"/>
    </row>
    <row r="1660" spans="1:9" x14ac:dyDescent="0.25">
      <c r="A1660" s="96"/>
      <c r="B1660" s="96"/>
      <c r="C1660" s="96"/>
      <c r="D1660" s="96"/>
      <c r="E1660" s="96"/>
      <c r="F1660" s="96"/>
      <c r="G1660" s="96"/>
      <c r="I1660" s="68"/>
    </row>
    <row r="1661" spans="1:9" x14ac:dyDescent="0.25">
      <c r="A1661" s="2010" t="s">
        <v>1285</v>
      </c>
      <c r="B1661" s="2010"/>
      <c r="C1661" s="2010"/>
      <c r="D1661" s="2010"/>
      <c r="E1661" s="2010"/>
      <c r="F1661" s="2010"/>
      <c r="G1661" s="2010"/>
      <c r="I1661" s="68"/>
    </row>
    <row r="1662" spans="1:9" x14ac:dyDescent="0.25">
      <c r="A1662" s="2010" t="s">
        <v>1</v>
      </c>
      <c r="B1662" s="2010"/>
      <c r="C1662" s="2010"/>
      <c r="D1662" s="2010"/>
      <c r="E1662" s="2010"/>
      <c r="F1662" s="2010"/>
      <c r="G1662" s="2010"/>
      <c r="I1662" s="68"/>
    </row>
    <row r="1663" spans="1:9" x14ac:dyDescent="0.25">
      <c r="A1663" s="2010" t="s">
        <v>2398</v>
      </c>
      <c r="B1663" s="2010"/>
      <c r="C1663" s="2010"/>
      <c r="D1663" s="2010"/>
      <c r="E1663" s="2010"/>
      <c r="F1663" s="2010"/>
      <c r="G1663" s="2010"/>
      <c r="I1663" s="68"/>
    </row>
    <row r="1664" spans="1:9" x14ac:dyDescent="0.25">
      <c r="A1664" s="1209"/>
      <c r="B1664" s="1210"/>
      <c r="C1664" s="1211"/>
      <c r="D1664" s="1211"/>
      <c r="E1664" s="1212"/>
      <c r="F1664" s="1212"/>
      <c r="G1664" s="1212"/>
      <c r="I1664" s="68"/>
    </row>
    <row r="1665" spans="1:9" ht="24.75" x14ac:dyDescent="0.25">
      <c r="A1665" s="1212" t="s">
        <v>1263</v>
      </c>
      <c r="B1665" s="1213" t="s">
        <v>648</v>
      </c>
      <c r="C1665" s="1214"/>
      <c r="D1665" s="1214"/>
      <c r="E1665" s="1215"/>
      <c r="F1665" s="1215"/>
      <c r="G1665" s="1212"/>
      <c r="I1665" s="68"/>
    </row>
    <row r="1666" spans="1:9" ht="24.75" x14ac:dyDescent="0.25">
      <c r="A1666" s="1216" t="s">
        <v>659</v>
      </c>
      <c r="B1666" s="1217" t="s">
        <v>1283</v>
      </c>
      <c r="C1666" s="1214"/>
      <c r="D1666" s="1214"/>
      <c r="E1666" s="1215" t="s">
        <v>1264</v>
      </c>
      <c r="F1666" s="1215"/>
      <c r="G1666" s="1212"/>
      <c r="I1666" s="68"/>
    </row>
    <row r="1667" spans="1:9" ht="60" x14ac:dyDescent="0.25">
      <c r="A1667" s="1218" t="s">
        <v>685</v>
      </c>
      <c r="B1667" s="1219" t="s">
        <v>2753</v>
      </c>
      <c r="C1667" s="1214"/>
      <c r="D1667" s="1214"/>
      <c r="E1667" s="1215" t="s">
        <v>1265</v>
      </c>
      <c r="F1667" s="1215"/>
      <c r="G1667" s="1216"/>
      <c r="I1667" s="68"/>
    </row>
    <row r="1668" spans="1:9" ht="45" x14ac:dyDescent="0.25">
      <c r="A1668" s="1218" t="s">
        <v>1266</v>
      </c>
      <c r="B1668" s="1219" t="s">
        <v>2754</v>
      </c>
      <c r="C1668" s="1214"/>
      <c r="D1668" s="1214"/>
      <c r="E1668" s="1215"/>
      <c r="F1668" s="1215"/>
      <c r="G1668" s="1216"/>
      <c r="I1668" s="68"/>
    </row>
    <row r="1669" spans="1:9" x14ac:dyDescent="0.25">
      <c r="A1669" s="1212" t="s">
        <v>1267</v>
      </c>
      <c r="B1669" s="1213" t="s">
        <v>60</v>
      </c>
      <c r="C1669" s="1214"/>
      <c r="D1669" s="1214"/>
      <c r="E1669" s="1212"/>
      <c r="F1669" s="1212"/>
      <c r="G1669" s="1212"/>
      <c r="I1669" s="68"/>
    </row>
    <row r="1670" spans="1:9" x14ac:dyDescent="0.25">
      <c r="A1670" s="1216" t="s">
        <v>61</v>
      </c>
      <c r="B1670" s="1217" t="s">
        <v>62</v>
      </c>
      <c r="C1670" s="1214"/>
      <c r="D1670" s="1214"/>
      <c r="E1670" s="1216"/>
      <c r="F1670" s="1216"/>
      <c r="G1670" s="1216"/>
      <c r="I1670" s="68"/>
    </row>
    <row r="1671" spans="1:9" x14ac:dyDescent="0.25">
      <c r="A1671" s="1220"/>
      <c r="B1671" s="1221"/>
      <c r="C1671" s="1222"/>
      <c r="D1671" s="1222"/>
      <c r="E1671" s="1220"/>
      <c r="F1671" s="1220"/>
      <c r="G1671" s="1220"/>
      <c r="I1671" s="68"/>
    </row>
    <row r="1672" spans="1:9" ht="24" x14ac:dyDescent="0.25">
      <c r="A1672" s="1223" t="s">
        <v>30</v>
      </c>
      <c r="B1672" s="1223" t="s">
        <v>11</v>
      </c>
      <c r="C1672" s="2011" t="s">
        <v>12</v>
      </c>
      <c r="D1672" s="2012"/>
      <c r="E1672" s="1225" t="s">
        <v>13</v>
      </c>
      <c r="F1672" s="1224" t="s">
        <v>14</v>
      </c>
      <c r="G1672" s="1226" t="s">
        <v>256</v>
      </c>
      <c r="I1672" s="68"/>
    </row>
    <row r="1673" spans="1:9" x14ac:dyDescent="0.25">
      <c r="A1673" s="1227">
        <v>1</v>
      </c>
      <c r="B1673" s="1228">
        <v>2</v>
      </c>
      <c r="C1673" s="2013">
        <v>3</v>
      </c>
      <c r="D1673" s="2014"/>
      <c r="E1673" s="1231">
        <v>4</v>
      </c>
      <c r="F1673" s="1229">
        <v>5</v>
      </c>
      <c r="G1673" s="1232">
        <v>7</v>
      </c>
      <c r="I1673" s="68"/>
    </row>
    <row r="1674" spans="1:9" x14ac:dyDescent="0.25">
      <c r="A1674" s="1233" t="s">
        <v>1683</v>
      </c>
      <c r="B1674" s="1234" t="s">
        <v>1284</v>
      </c>
      <c r="C1674" s="1235"/>
      <c r="D1674" s="1236"/>
      <c r="E1674" s="1237"/>
      <c r="F1674" s="1238"/>
      <c r="G1674" s="1232"/>
      <c r="I1674" s="68"/>
    </row>
    <row r="1675" spans="1:9" x14ac:dyDescent="0.25">
      <c r="A1675" s="1233" t="s">
        <v>1684</v>
      </c>
      <c r="B1675" s="1234" t="s">
        <v>1658</v>
      </c>
      <c r="C1675" s="1235"/>
      <c r="D1675" s="1236"/>
      <c r="E1675" s="1237"/>
      <c r="F1675" s="1238"/>
      <c r="G1675" s="1232"/>
      <c r="I1675" s="68"/>
    </row>
    <row r="1676" spans="1:9" ht="24" x14ac:dyDescent="0.25">
      <c r="A1676" s="1233" t="s">
        <v>1685</v>
      </c>
      <c r="B1676" s="1234" t="s">
        <v>1279</v>
      </c>
      <c r="C1676" s="1239"/>
      <c r="D1676" s="1236"/>
      <c r="E1676" s="1237"/>
      <c r="F1676" s="1238"/>
      <c r="G1676" s="1232"/>
      <c r="I1676" s="68"/>
    </row>
    <row r="1677" spans="1:9" ht="15.75" thickBot="1" x14ac:dyDescent="0.3">
      <c r="A1677" s="1240"/>
      <c r="B1677" s="1241" t="s">
        <v>1660</v>
      </c>
      <c r="C1677" s="1239">
        <v>1</v>
      </c>
      <c r="D1677" s="1236" t="s">
        <v>444</v>
      </c>
      <c r="E1677" s="1237">
        <v>1360000</v>
      </c>
      <c r="F1677" s="1238">
        <f>E1677*C1677</f>
        <v>1360000</v>
      </c>
      <c r="G1677" s="1232"/>
      <c r="I1677" s="68"/>
    </row>
    <row r="1678" spans="1:9" ht="15.75" thickBot="1" x14ac:dyDescent="0.3">
      <c r="A1678" s="1242"/>
      <c r="B1678" s="2015" t="s">
        <v>515</v>
      </c>
      <c r="C1678" s="2016"/>
      <c r="D1678" s="2016"/>
      <c r="E1678" s="2017"/>
      <c r="F1678" s="1243">
        <f>SUM(F1677:F1677)</f>
        <v>1360000</v>
      </c>
      <c r="G1678" s="1232"/>
      <c r="I1678" s="68"/>
    </row>
    <row r="1679" spans="1:9" x14ac:dyDescent="0.25">
      <c r="A1679" s="1233" t="s">
        <v>1686</v>
      </c>
      <c r="B1679" s="1244" t="s">
        <v>1268</v>
      </c>
      <c r="C1679" s="1245"/>
      <c r="D1679" s="1246"/>
      <c r="E1679" s="1242"/>
      <c r="F1679" s="1247"/>
      <c r="G1679" s="1232"/>
      <c r="I1679" s="68"/>
    </row>
    <row r="1680" spans="1:9" x14ac:dyDescent="0.25">
      <c r="A1680" s="1233"/>
      <c r="B1680" s="1263" t="s">
        <v>1269</v>
      </c>
      <c r="C1680" s="1229">
        <v>40</v>
      </c>
      <c r="D1680" s="1230" t="s">
        <v>392</v>
      </c>
      <c r="E1680" s="1264">
        <v>150000</v>
      </c>
      <c r="F1680" s="1238">
        <f>E1680*C1680</f>
        <v>6000000</v>
      </c>
      <c r="G1680" s="1232"/>
      <c r="I1680" s="68"/>
    </row>
    <row r="1681" spans="1:12" ht="15.75" thickBot="1" x14ac:dyDescent="0.3">
      <c r="A1681" s="1233"/>
      <c r="B1681" s="1248" t="s">
        <v>1270</v>
      </c>
      <c r="C1681" s="1249">
        <v>94</v>
      </c>
      <c r="D1681" s="1250" t="s">
        <v>392</v>
      </c>
      <c r="E1681" s="1251">
        <v>120000</v>
      </c>
      <c r="F1681" s="1252">
        <f>E1681*C1681</f>
        <v>11280000</v>
      </c>
      <c r="G1681" s="1232"/>
      <c r="I1681" s="68"/>
    </row>
    <row r="1682" spans="1:12" ht="15.75" thickBot="1" x14ac:dyDescent="0.3">
      <c r="A1682" s="1253"/>
      <c r="B1682" s="2018" t="s">
        <v>515</v>
      </c>
      <c r="C1682" s="2019"/>
      <c r="D1682" s="2019"/>
      <c r="E1682" s="2020"/>
      <c r="F1682" s="1243">
        <f>SUM(F1680:F1681)</f>
        <v>17280000</v>
      </c>
      <c r="G1682" s="1254"/>
      <c r="I1682" s="68"/>
    </row>
    <row r="1683" spans="1:12" x14ac:dyDescent="0.25">
      <c r="A1683" s="1233" t="s">
        <v>1687</v>
      </c>
      <c r="B1683" s="1265" t="s">
        <v>1271</v>
      </c>
      <c r="C1683" s="1245"/>
      <c r="D1683" s="1246"/>
      <c r="E1683" s="1242"/>
      <c r="F1683" s="1247"/>
      <c r="G1683" s="1232"/>
      <c r="I1683" s="68"/>
    </row>
    <row r="1684" spans="1:12" x14ac:dyDescent="0.25">
      <c r="A1684" s="1242"/>
      <c r="B1684" s="911" t="s">
        <v>1281</v>
      </c>
      <c r="C1684" s="1229">
        <v>234</v>
      </c>
      <c r="D1684" s="1230" t="s">
        <v>1275</v>
      </c>
      <c r="E1684" s="945">
        <v>152000</v>
      </c>
      <c r="F1684" s="1238">
        <f>E1684*C1684</f>
        <v>35568000</v>
      </c>
      <c r="G1684" s="1232"/>
      <c r="I1684" s="68"/>
    </row>
    <row r="1685" spans="1:12" x14ac:dyDescent="0.25">
      <c r="A1685" s="1242"/>
      <c r="B1685" s="911" t="s">
        <v>1280</v>
      </c>
      <c r="C1685" s="1229">
        <v>23</v>
      </c>
      <c r="D1685" s="1230" t="s">
        <v>767</v>
      </c>
      <c r="E1685" s="945">
        <v>230000</v>
      </c>
      <c r="F1685" s="1238">
        <f t="shared" ref="F1685:F1690" si="42">E1685*C1685</f>
        <v>5290000</v>
      </c>
      <c r="G1685" s="1232"/>
      <c r="I1685" s="68"/>
    </row>
    <row r="1686" spans="1:12" x14ac:dyDescent="0.25">
      <c r="A1686" s="1242"/>
      <c r="B1686" s="1241" t="s">
        <v>1273</v>
      </c>
      <c r="C1686" s="1239">
        <v>244</v>
      </c>
      <c r="D1686" s="1236" t="s">
        <v>154</v>
      </c>
      <c r="E1686" s="1237">
        <v>3000</v>
      </c>
      <c r="F1686" s="1238">
        <f t="shared" si="42"/>
        <v>732000</v>
      </c>
      <c r="G1686" s="1232"/>
      <c r="I1686" s="68"/>
    </row>
    <row r="1687" spans="1:12" x14ac:dyDescent="0.25">
      <c r="A1687" s="1233"/>
      <c r="B1687" s="1241" t="s">
        <v>1282</v>
      </c>
      <c r="C1687" s="1239">
        <v>18</v>
      </c>
      <c r="D1687" s="1236" t="s">
        <v>106</v>
      </c>
      <c r="E1687" s="1237">
        <v>96000</v>
      </c>
      <c r="F1687" s="1238">
        <f t="shared" si="42"/>
        <v>1728000</v>
      </c>
      <c r="G1687" s="1232"/>
      <c r="I1687" s="68"/>
    </row>
    <row r="1688" spans="1:12" x14ac:dyDescent="0.25">
      <c r="A1688" s="1266"/>
      <c r="B1688" s="1255" t="s">
        <v>2755</v>
      </c>
      <c r="C1688" s="1239">
        <v>215</v>
      </c>
      <c r="D1688" s="1236" t="s">
        <v>106</v>
      </c>
      <c r="E1688" s="1237">
        <v>31000</v>
      </c>
      <c r="F1688" s="1238">
        <f t="shared" si="42"/>
        <v>6665000</v>
      </c>
      <c r="G1688" s="1232"/>
      <c r="I1688" s="68"/>
    </row>
    <row r="1689" spans="1:12" x14ac:dyDescent="0.25">
      <c r="A1689" s="1266"/>
      <c r="B1689" s="1255" t="s">
        <v>1276</v>
      </c>
      <c r="C1689" s="1256">
        <v>1</v>
      </c>
      <c r="D1689" s="1257" t="s">
        <v>106</v>
      </c>
      <c r="E1689" s="1258">
        <v>250000</v>
      </c>
      <c r="F1689" s="1252">
        <f>E1689*C1689</f>
        <v>250000</v>
      </c>
      <c r="G1689" s="1232"/>
      <c r="I1689" s="68"/>
    </row>
    <row r="1690" spans="1:12" ht="15.75" thickBot="1" x14ac:dyDescent="0.3">
      <c r="A1690" s="1240"/>
      <c r="B1690" s="1255" t="s">
        <v>1277</v>
      </c>
      <c r="C1690" s="1256">
        <v>1</v>
      </c>
      <c r="D1690" s="1257" t="s">
        <v>106</v>
      </c>
      <c r="E1690" s="1258">
        <v>500000</v>
      </c>
      <c r="F1690" s="1252">
        <f t="shared" si="42"/>
        <v>500000</v>
      </c>
      <c r="G1690" s="1232"/>
      <c r="I1690" s="68"/>
    </row>
    <row r="1691" spans="1:12" ht="15.75" thickBot="1" x14ac:dyDescent="0.3">
      <c r="A1691" s="1245"/>
      <c r="B1691" s="2015" t="s">
        <v>515</v>
      </c>
      <c r="C1691" s="2016"/>
      <c r="D1691" s="2016"/>
      <c r="E1691" s="2017"/>
      <c r="F1691" s="1243">
        <f>SUM(F1684:F1690)</f>
        <v>50733000</v>
      </c>
      <c r="G1691" s="1254"/>
      <c r="I1691" s="68"/>
    </row>
    <row r="1692" spans="1:12" ht="15.75" thickBot="1" x14ac:dyDescent="0.3">
      <c r="A1692" s="1245"/>
      <c r="B1692" s="2015" t="s">
        <v>26</v>
      </c>
      <c r="C1692" s="2016"/>
      <c r="D1692" s="2016"/>
      <c r="E1692" s="2017"/>
      <c r="F1692" s="1243"/>
      <c r="G1692" s="1254" t="s">
        <v>1506</v>
      </c>
      <c r="I1692" s="68"/>
      <c r="L1692" s="139">
        <f>F1692</f>
        <v>0</v>
      </c>
    </row>
    <row r="1693" spans="1:12" x14ac:dyDescent="0.25">
      <c r="A1693" s="1969" t="s">
        <v>516</v>
      </c>
      <c r="B1693" s="1969"/>
      <c r="C1693" s="1259" t="s">
        <v>27</v>
      </c>
      <c r="D1693" s="1970" t="s">
        <v>1224</v>
      </c>
      <c r="E1693" s="1970"/>
      <c r="F1693" s="1970"/>
      <c r="G1693" s="1259"/>
    </row>
    <row r="1694" spans="1:12" x14ac:dyDescent="0.25">
      <c r="A1694" s="1969" t="s">
        <v>28</v>
      </c>
      <c r="B1694" s="1969"/>
      <c r="C1694" s="1259"/>
      <c r="D1694" s="1971" t="s">
        <v>2443</v>
      </c>
      <c r="E1694" s="1971"/>
      <c r="F1694" s="1971"/>
      <c r="G1694" s="1259"/>
    </row>
    <row r="1695" spans="1:12" x14ac:dyDescent="0.25">
      <c r="A1695" s="1261"/>
      <c r="B1695" s="1262"/>
      <c r="C1695" s="1259"/>
      <c r="D1695" s="1260"/>
      <c r="E1695" s="948"/>
      <c r="F1695" s="993"/>
      <c r="G1695" s="1259"/>
    </row>
    <row r="1696" spans="1:12" x14ac:dyDescent="0.25">
      <c r="A1696" s="1261"/>
      <c r="B1696" s="1262"/>
      <c r="C1696" s="1259"/>
      <c r="D1696" s="1260"/>
      <c r="E1696" s="948"/>
      <c r="F1696" s="993"/>
      <c r="G1696" s="1259"/>
    </row>
    <row r="1697" spans="1:7" x14ac:dyDescent="0.25">
      <c r="A1697" s="1969"/>
      <c r="B1697" s="1969"/>
      <c r="C1697" s="1259"/>
      <c r="D1697" s="1260"/>
      <c r="E1697" s="1969"/>
      <c r="F1697" s="1969"/>
      <c r="G1697" s="1259"/>
    </row>
    <row r="1698" spans="1:7" x14ac:dyDescent="0.25">
      <c r="A1698" s="1969" t="s">
        <v>29</v>
      </c>
      <c r="B1698" s="1969"/>
      <c r="C1698" s="1259"/>
      <c r="D1698" s="1969" t="s">
        <v>517</v>
      </c>
      <c r="E1698" s="1969"/>
      <c r="F1698" s="1969"/>
      <c r="G1698" s="1259"/>
    </row>
    <row r="1701" spans="1:7" x14ac:dyDescent="0.25">
      <c r="A1701" s="1928" t="s">
        <v>1285</v>
      </c>
      <c r="B1701" s="1928"/>
      <c r="C1701" s="1928"/>
      <c r="D1701" s="1928"/>
      <c r="E1701" s="1928"/>
      <c r="F1701" s="1928"/>
      <c r="G1701" s="1928"/>
    </row>
    <row r="1702" spans="1:7" x14ac:dyDescent="0.25">
      <c r="A1702" s="1928" t="s">
        <v>1</v>
      </c>
      <c r="B1702" s="1928"/>
      <c r="C1702" s="1928"/>
      <c r="D1702" s="1928"/>
      <c r="E1702" s="1928"/>
      <c r="F1702" s="1928"/>
      <c r="G1702" s="1928"/>
    </row>
    <row r="1703" spans="1:7" x14ac:dyDescent="0.25">
      <c r="A1703" s="1928" t="s">
        <v>2398</v>
      </c>
      <c r="B1703" s="1928"/>
      <c r="C1703" s="1928"/>
      <c r="D1703" s="1928"/>
      <c r="E1703" s="1928"/>
      <c r="F1703" s="1928"/>
      <c r="G1703" s="1928"/>
    </row>
    <row r="1704" spans="1:7" x14ac:dyDescent="0.25">
      <c r="A1704" s="329"/>
      <c r="B1704" s="330"/>
      <c r="C1704" s="331"/>
      <c r="D1704" s="331"/>
      <c r="E1704" s="332"/>
      <c r="F1704" s="332"/>
      <c r="G1704" s="332"/>
    </row>
    <row r="1705" spans="1:7" ht="24.75" x14ac:dyDescent="0.25">
      <c r="A1705" s="332" t="s">
        <v>1263</v>
      </c>
      <c r="B1705" s="333" t="s">
        <v>648</v>
      </c>
      <c r="C1705" s="334"/>
      <c r="D1705" s="334"/>
      <c r="E1705" s="335"/>
      <c r="F1705" s="335"/>
      <c r="G1705" s="332"/>
    </row>
    <row r="1706" spans="1:7" ht="24.75" x14ac:dyDescent="0.25">
      <c r="A1706" s="336" t="s">
        <v>659</v>
      </c>
      <c r="B1706" s="337" t="s">
        <v>1283</v>
      </c>
      <c r="C1706" s="334"/>
      <c r="D1706" s="334"/>
      <c r="E1706" s="335" t="s">
        <v>1264</v>
      </c>
      <c r="F1706" s="335"/>
      <c r="G1706" s="332"/>
    </row>
    <row r="1707" spans="1:7" ht="60" x14ac:dyDescent="0.25">
      <c r="A1707" s="338" t="s">
        <v>685</v>
      </c>
      <c r="B1707" s="339" t="s">
        <v>2756</v>
      </c>
      <c r="C1707" s="334"/>
      <c r="D1707" s="334"/>
      <c r="E1707" s="335" t="s">
        <v>1265</v>
      </c>
      <c r="F1707" s="335"/>
      <c r="G1707" s="336"/>
    </row>
    <row r="1708" spans="1:7" ht="60" x14ac:dyDescent="0.25">
      <c r="A1708" s="338" t="s">
        <v>1266</v>
      </c>
      <c r="B1708" s="339" t="s">
        <v>3499</v>
      </c>
      <c r="C1708" s="334"/>
      <c r="D1708" s="334"/>
      <c r="E1708" s="335"/>
      <c r="F1708" s="335"/>
      <c r="G1708" s="336"/>
    </row>
    <row r="1709" spans="1:7" x14ac:dyDescent="0.25">
      <c r="A1709" s="332" t="s">
        <v>1267</v>
      </c>
      <c r="B1709" s="333" t="s">
        <v>60</v>
      </c>
      <c r="C1709" s="334"/>
      <c r="D1709" s="334"/>
      <c r="E1709" s="332"/>
      <c r="F1709" s="332"/>
      <c r="G1709" s="332"/>
    </row>
    <row r="1710" spans="1:7" x14ac:dyDescent="0.25">
      <c r="A1710" s="336" t="s">
        <v>61</v>
      </c>
      <c r="B1710" s="337" t="s">
        <v>62</v>
      </c>
      <c r="C1710" s="334"/>
      <c r="D1710" s="334"/>
      <c r="E1710" s="336"/>
      <c r="F1710" s="336"/>
      <c r="G1710" s="336"/>
    </row>
    <row r="1711" spans="1:7" x14ac:dyDescent="0.25">
      <c r="A1711" s="340"/>
      <c r="B1711" s="341"/>
      <c r="C1711" s="342"/>
      <c r="D1711" s="342"/>
      <c r="E1711" s="340"/>
      <c r="F1711" s="340"/>
      <c r="G1711" s="340"/>
    </row>
    <row r="1712" spans="1:7" ht="24" x14ac:dyDescent="0.25">
      <c r="A1712" s="343" t="s">
        <v>30</v>
      </c>
      <c r="B1712" s="343" t="s">
        <v>11</v>
      </c>
      <c r="C1712" s="1929" t="s">
        <v>12</v>
      </c>
      <c r="D1712" s="1930"/>
      <c r="E1712" s="121" t="s">
        <v>13</v>
      </c>
      <c r="F1712" s="344" t="s">
        <v>14</v>
      </c>
      <c r="G1712" s="345" t="s">
        <v>256</v>
      </c>
    </row>
    <row r="1713" spans="1:7" x14ac:dyDescent="0.25">
      <c r="A1713" s="161">
        <v>1</v>
      </c>
      <c r="B1713" s="162">
        <v>2</v>
      </c>
      <c r="C1713" s="1931">
        <v>3</v>
      </c>
      <c r="D1713" s="1932"/>
      <c r="E1713" s="2">
        <v>4</v>
      </c>
      <c r="F1713" s="169">
        <v>5</v>
      </c>
      <c r="G1713" s="166">
        <v>7</v>
      </c>
    </row>
    <row r="1714" spans="1:7" x14ac:dyDescent="0.25">
      <c r="A1714" s="346" t="s">
        <v>1683</v>
      </c>
      <c r="B1714" s="122" t="s">
        <v>1284</v>
      </c>
      <c r="C1714" s="123"/>
      <c r="D1714" s="124"/>
      <c r="E1714" s="125"/>
      <c r="F1714" s="126"/>
      <c r="G1714" s="166"/>
    </row>
    <row r="1715" spans="1:7" x14ac:dyDescent="0.25">
      <c r="A1715" s="346" t="s">
        <v>1684</v>
      </c>
      <c r="B1715" s="122" t="s">
        <v>1658</v>
      </c>
      <c r="C1715" s="123"/>
      <c r="D1715" s="124"/>
      <c r="E1715" s="125"/>
      <c r="F1715" s="126"/>
      <c r="G1715" s="166"/>
    </row>
    <row r="1716" spans="1:7" ht="24" x14ac:dyDescent="0.25">
      <c r="A1716" s="346" t="s">
        <v>1685</v>
      </c>
      <c r="B1716" s="122" t="s">
        <v>1279</v>
      </c>
      <c r="C1716" s="347"/>
      <c r="D1716" s="124"/>
      <c r="E1716" s="125"/>
      <c r="F1716" s="126"/>
      <c r="G1716" s="166"/>
    </row>
    <row r="1717" spans="1:7" ht="15.75" thickBot="1" x14ac:dyDescent="0.3">
      <c r="A1717" s="220"/>
      <c r="B1717" s="127" t="s">
        <v>1660</v>
      </c>
      <c r="C1717" s="347">
        <v>1</v>
      </c>
      <c r="D1717" s="124" t="s">
        <v>444</v>
      </c>
      <c r="E1717" s="125">
        <v>1500000</v>
      </c>
      <c r="F1717" s="126">
        <f>E1717*C1717</f>
        <v>1500000</v>
      </c>
      <c r="G1717" s="166"/>
    </row>
    <row r="1718" spans="1:7" ht="15.75" thickBot="1" x14ac:dyDescent="0.3">
      <c r="A1718" s="171"/>
      <c r="B1718" s="1933" t="s">
        <v>515</v>
      </c>
      <c r="C1718" s="1934"/>
      <c r="D1718" s="1934"/>
      <c r="E1718" s="1935"/>
      <c r="F1718" s="132">
        <f>SUM(F1717:F1717)</f>
        <v>1500000</v>
      </c>
      <c r="G1718" s="166"/>
    </row>
    <row r="1719" spans="1:7" x14ac:dyDescent="0.25">
      <c r="A1719" s="346" t="s">
        <v>1686</v>
      </c>
      <c r="B1719" s="349" t="s">
        <v>1268</v>
      </c>
      <c r="C1719" s="174"/>
      <c r="D1719" s="175"/>
      <c r="E1719" s="171"/>
      <c r="F1719" s="133"/>
      <c r="G1719" s="166"/>
    </row>
    <row r="1720" spans="1:7" x14ac:dyDescent="0.25">
      <c r="A1720" s="346"/>
      <c r="B1720" s="350" t="s">
        <v>1269</v>
      </c>
      <c r="C1720" s="169">
        <v>91</v>
      </c>
      <c r="D1720" s="170" t="s">
        <v>392</v>
      </c>
      <c r="E1720" s="141">
        <v>150000</v>
      </c>
      <c r="F1720" s="126">
        <f>E1720*C1720</f>
        <v>13650000</v>
      </c>
      <c r="G1720" s="166"/>
    </row>
    <row r="1721" spans="1:7" ht="15.75" thickBot="1" x14ac:dyDescent="0.3">
      <c r="A1721" s="346"/>
      <c r="B1721" s="351" t="s">
        <v>1270</v>
      </c>
      <c r="C1721" s="352">
        <v>215</v>
      </c>
      <c r="D1721" s="199" t="s">
        <v>392</v>
      </c>
      <c r="E1721" s="140">
        <v>120000</v>
      </c>
      <c r="F1721" s="131">
        <f>E1721*C1721</f>
        <v>25800000</v>
      </c>
      <c r="G1721" s="166"/>
    </row>
    <row r="1722" spans="1:7" ht="15.75" thickBot="1" x14ac:dyDescent="0.3">
      <c r="A1722" s="353"/>
      <c r="B1722" s="1936" t="s">
        <v>515</v>
      </c>
      <c r="C1722" s="1937"/>
      <c r="D1722" s="1937"/>
      <c r="E1722" s="1938"/>
      <c r="F1722" s="132">
        <f>SUM(F1720:F1721)</f>
        <v>39450000</v>
      </c>
      <c r="G1722" s="354"/>
    </row>
    <row r="1723" spans="1:7" x14ac:dyDescent="0.25">
      <c r="A1723" s="346" t="s">
        <v>1687</v>
      </c>
      <c r="B1723" s="316" t="s">
        <v>1271</v>
      </c>
      <c r="C1723" s="174"/>
      <c r="D1723" s="175"/>
      <c r="E1723" s="171"/>
      <c r="F1723" s="133"/>
      <c r="G1723" s="166"/>
    </row>
    <row r="1724" spans="1:7" x14ac:dyDescent="0.25">
      <c r="A1724" s="171"/>
      <c r="B1724" s="177" t="s">
        <v>1281</v>
      </c>
      <c r="C1724" s="169">
        <v>524</v>
      </c>
      <c r="D1724" s="170" t="s">
        <v>1275</v>
      </c>
      <c r="E1724" s="179">
        <v>152000</v>
      </c>
      <c r="F1724" s="126">
        <f>E1724*C1724</f>
        <v>79648000</v>
      </c>
      <c r="G1724" s="166"/>
    </row>
    <row r="1725" spans="1:7" x14ac:dyDescent="0.25">
      <c r="A1725" s="171"/>
      <c r="B1725" s="177" t="s">
        <v>1280</v>
      </c>
      <c r="C1725" s="169">
        <v>52</v>
      </c>
      <c r="D1725" s="170" t="s">
        <v>767</v>
      </c>
      <c r="E1725" s="179">
        <v>230000</v>
      </c>
      <c r="F1725" s="126">
        <f t="shared" ref="F1725:F1730" si="43">E1725*C1725</f>
        <v>11960000</v>
      </c>
      <c r="G1725" s="166"/>
    </row>
    <row r="1726" spans="1:7" x14ac:dyDescent="0.25">
      <c r="A1726" s="171"/>
      <c r="B1726" s="127" t="s">
        <v>1273</v>
      </c>
      <c r="C1726" s="347">
        <v>563</v>
      </c>
      <c r="D1726" s="124" t="s">
        <v>154</v>
      </c>
      <c r="E1726" s="125">
        <v>3000</v>
      </c>
      <c r="F1726" s="126">
        <f t="shared" si="43"/>
        <v>1689000</v>
      </c>
      <c r="G1726" s="166"/>
    </row>
    <row r="1727" spans="1:7" x14ac:dyDescent="0.25">
      <c r="A1727" s="346"/>
      <c r="B1727" s="127" t="s">
        <v>1282</v>
      </c>
      <c r="C1727" s="347">
        <v>13</v>
      </c>
      <c r="D1727" s="124" t="s">
        <v>106</v>
      </c>
      <c r="E1727" s="125">
        <v>96000</v>
      </c>
      <c r="F1727" s="126">
        <f t="shared" si="43"/>
        <v>1248000</v>
      </c>
      <c r="G1727" s="166"/>
    </row>
    <row r="1728" spans="1:7" x14ac:dyDescent="0.25">
      <c r="A1728" s="355"/>
      <c r="B1728" s="128" t="s">
        <v>2755</v>
      </c>
      <c r="C1728" s="347">
        <v>524</v>
      </c>
      <c r="D1728" s="124" t="s">
        <v>106</v>
      </c>
      <c r="E1728" s="125">
        <v>31000</v>
      </c>
      <c r="F1728" s="126">
        <f t="shared" si="43"/>
        <v>16244000</v>
      </c>
      <c r="G1728" s="166"/>
    </row>
    <row r="1729" spans="1:12" x14ac:dyDescent="0.25">
      <c r="A1729" s="355"/>
      <c r="B1729" s="128" t="s">
        <v>1276</v>
      </c>
      <c r="C1729" s="348">
        <v>1</v>
      </c>
      <c r="D1729" s="129" t="s">
        <v>106</v>
      </c>
      <c r="E1729" s="130">
        <v>250000</v>
      </c>
      <c r="F1729" s="131">
        <f>E1729*C1729</f>
        <v>250000</v>
      </c>
      <c r="G1729" s="166"/>
    </row>
    <row r="1730" spans="1:12" ht="15.75" thickBot="1" x14ac:dyDescent="0.3">
      <c r="A1730" s="220"/>
      <c r="B1730" s="128" t="s">
        <v>1277</v>
      </c>
      <c r="C1730" s="348">
        <v>1</v>
      </c>
      <c r="D1730" s="129" t="s">
        <v>106</v>
      </c>
      <c r="E1730" s="130">
        <v>500000</v>
      </c>
      <c r="F1730" s="131">
        <f t="shared" si="43"/>
        <v>500000</v>
      </c>
      <c r="G1730" s="166"/>
    </row>
    <row r="1731" spans="1:12" ht="15.75" thickBot="1" x14ac:dyDescent="0.3">
      <c r="A1731" s="174"/>
      <c r="B1731" s="1933" t="s">
        <v>515</v>
      </c>
      <c r="C1731" s="1934"/>
      <c r="D1731" s="1934"/>
      <c r="E1731" s="1935"/>
      <c r="F1731" s="132">
        <f>SUM(F1724:F1730)</f>
        <v>111539000</v>
      </c>
      <c r="G1731" s="354"/>
    </row>
    <row r="1732" spans="1:12" ht="15.75" thickBot="1" x14ac:dyDescent="0.3">
      <c r="A1732" s="174"/>
      <c r="B1732" s="1933" t="s">
        <v>26</v>
      </c>
      <c r="C1732" s="1934"/>
      <c r="D1732" s="1934"/>
      <c r="E1732" s="1935"/>
      <c r="F1732" s="132">
        <f>F1731+F1722+F1718</f>
        <v>152489000</v>
      </c>
      <c r="G1732" s="354" t="s">
        <v>1506</v>
      </c>
      <c r="L1732" s="139">
        <f>F1732</f>
        <v>152489000</v>
      </c>
    </row>
    <row r="1733" spans="1:12" x14ac:dyDescent="0.25">
      <c r="A1733" s="1926" t="s">
        <v>516</v>
      </c>
      <c r="B1733" s="1926"/>
      <c r="C1733" s="152" t="s">
        <v>27</v>
      </c>
      <c r="D1733" s="1926" t="s">
        <v>3654</v>
      </c>
      <c r="E1733" s="1926"/>
      <c r="F1733" s="1926"/>
      <c r="G1733" s="152"/>
    </row>
    <row r="1734" spans="1:12" x14ac:dyDescent="0.25">
      <c r="A1734" s="1926" t="s">
        <v>28</v>
      </c>
      <c r="B1734" s="1926"/>
      <c r="C1734" s="152"/>
      <c r="D1734" s="1927" t="s">
        <v>3565</v>
      </c>
      <c r="E1734" s="1927"/>
      <c r="F1734" s="1927"/>
      <c r="G1734" s="152"/>
    </row>
    <row r="1735" spans="1:12" x14ac:dyDescent="0.25">
      <c r="A1735" s="150"/>
      <c r="B1735" s="151"/>
      <c r="C1735" s="152"/>
      <c r="D1735" s="153"/>
      <c r="E1735" s="1770"/>
      <c r="F1735" s="182"/>
      <c r="G1735" s="152"/>
    </row>
    <row r="1736" spans="1:12" x14ac:dyDescent="0.25">
      <c r="A1736" s="150"/>
      <c r="B1736" s="151"/>
      <c r="C1736" s="152"/>
      <c r="D1736" s="153"/>
      <c r="E1736" s="1770"/>
      <c r="F1736" s="182"/>
      <c r="G1736" s="152"/>
    </row>
    <row r="1737" spans="1:12" x14ac:dyDescent="0.25">
      <c r="A1737" s="1926"/>
      <c r="B1737" s="1926"/>
      <c r="C1737" s="152"/>
      <c r="D1737" s="153"/>
      <c r="E1737" s="1926"/>
      <c r="F1737" s="1926"/>
      <c r="G1737" s="152"/>
    </row>
    <row r="1738" spans="1:12" x14ac:dyDescent="0.25">
      <c r="A1738" s="1926" t="s">
        <v>29</v>
      </c>
      <c r="B1738" s="1926"/>
      <c r="C1738" s="152"/>
      <c r="D1738" s="1926" t="s">
        <v>3564</v>
      </c>
      <c r="E1738" s="1926"/>
      <c r="F1738" s="1926"/>
      <c r="G1738" s="152"/>
    </row>
    <row r="1742" spans="1:12" x14ac:dyDescent="0.25">
      <c r="A1742" s="2010" t="s">
        <v>0</v>
      </c>
      <c r="B1742" s="2010"/>
      <c r="C1742" s="2010"/>
      <c r="D1742" s="2010"/>
      <c r="E1742" s="2010"/>
      <c r="F1742" s="2010"/>
      <c r="G1742" s="2010"/>
    </row>
    <row r="1743" spans="1:12" x14ac:dyDescent="0.25">
      <c r="A1743" s="2010" t="s">
        <v>1</v>
      </c>
      <c r="B1743" s="2010"/>
      <c r="C1743" s="2010"/>
      <c r="D1743" s="2010"/>
      <c r="E1743" s="2010"/>
      <c r="F1743" s="2010"/>
      <c r="G1743" s="2010"/>
    </row>
    <row r="1744" spans="1:12" x14ac:dyDescent="0.25">
      <c r="A1744" s="2010" t="s">
        <v>2398</v>
      </c>
      <c r="B1744" s="2010"/>
      <c r="C1744" s="2010"/>
      <c r="D1744" s="2010"/>
      <c r="E1744" s="2010"/>
      <c r="F1744" s="2010"/>
      <c r="G1744" s="2010"/>
    </row>
    <row r="1745" spans="1:7" x14ac:dyDescent="0.25">
      <c r="A1745" s="1209"/>
      <c r="B1745" s="1210"/>
      <c r="C1745" s="1211"/>
      <c r="D1745" s="1211"/>
      <c r="E1745" s="1212"/>
      <c r="F1745" s="1212"/>
      <c r="G1745" s="1212"/>
    </row>
    <row r="1746" spans="1:7" ht="24.75" x14ac:dyDescent="0.25">
      <c r="A1746" s="1212" t="s">
        <v>1263</v>
      </c>
      <c r="B1746" s="1213" t="s">
        <v>648</v>
      </c>
      <c r="C1746" s="1214"/>
      <c r="D1746" s="1214"/>
      <c r="E1746" s="1215"/>
      <c r="F1746" s="1215"/>
      <c r="G1746" s="1212"/>
    </row>
    <row r="1747" spans="1:7" ht="24.75" x14ac:dyDescent="0.25">
      <c r="A1747" s="1216" t="s">
        <v>659</v>
      </c>
      <c r="B1747" s="1217" t="s">
        <v>1283</v>
      </c>
      <c r="C1747" s="1214"/>
      <c r="D1747" s="1214"/>
      <c r="E1747" s="1215" t="s">
        <v>1264</v>
      </c>
      <c r="F1747" s="1215"/>
      <c r="G1747" s="1212"/>
    </row>
    <row r="1748" spans="1:7" ht="60" x14ac:dyDescent="0.25">
      <c r="A1748" s="1218" t="s">
        <v>685</v>
      </c>
      <c r="B1748" s="1219" t="s">
        <v>2757</v>
      </c>
      <c r="C1748" s="1214"/>
      <c r="D1748" s="1214"/>
      <c r="E1748" s="1215" t="s">
        <v>1265</v>
      </c>
      <c r="F1748" s="1215"/>
      <c r="G1748" s="1216"/>
    </row>
    <row r="1749" spans="1:7" ht="30" x14ac:dyDescent="0.25">
      <c r="A1749" s="1218" t="s">
        <v>1266</v>
      </c>
      <c r="B1749" s="1219" t="s">
        <v>2758</v>
      </c>
      <c r="C1749" s="1214"/>
      <c r="D1749" s="1214"/>
      <c r="E1749" s="1215"/>
      <c r="F1749" s="1215"/>
      <c r="G1749" s="1216"/>
    </row>
    <row r="1750" spans="1:7" x14ac:dyDescent="0.25">
      <c r="A1750" s="1212" t="s">
        <v>1267</v>
      </c>
      <c r="B1750" s="1213" t="s">
        <v>60</v>
      </c>
      <c r="C1750" s="1214"/>
      <c r="D1750" s="1214"/>
      <c r="E1750" s="1212"/>
      <c r="F1750" s="1212"/>
      <c r="G1750" s="1212"/>
    </row>
    <row r="1751" spans="1:7" x14ac:dyDescent="0.25">
      <c r="A1751" s="1216" t="s">
        <v>61</v>
      </c>
      <c r="B1751" s="1217" t="s">
        <v>62</v>
      </c>
      <c r="C1751" s="1214"/>
      <c r="D1751" s="1214"/>
      <c r="E1751" s="1216"/>
      <c r="F1751" s="1216"/>
      <c r="G1751" s="1216"/>
    </row>
    <row r="1752" spans="1:7" x14ac:dyDescent="0.25">
      <c r="A1752" s="1220"/>
      <c r="B1752" s="1221"/>
      <c r="C1752" s="1222"/>
      <c r="D1752" s="1222"/>
      <c r="E1752" s="1220"/>
      <c r="F1752" s="1220"/>
      <c r="G1752" s="1220"/>
    </row>
    <row r="1753" spans="1:7" ht="24" x14ac:dyDescent="0.25">
      <c r="A1753" s="1223" t="s">
        <v>30</v>
      </c>
      <c r="B1753" s="1223" t="s">
        <v>11</v>
      </c>
      <c r="C1753" s="2011" t="s">
        <v>12</v>
      </c>
      <c r="D1753" s="2012"/>
      <c r="E1753" s="1225" t="s">
        <v>13</v>
      </c>
      <c r="F1753" s="1224" t="s">
        <v>14</v>
      </c>
      <c r="G1753" s="1226" t="s">
        <v>256</v>
      </c>
    </row>
    <row r="1754" spans="1:7" x14ac:dyDescent="0.25">
      <c r="A1754" s="1227">
        <v>1</v>
      </c>
      <c r="B1754" s="1228">
        <v>2</v>
      </c>
      <c r="C1754" s="2013">
        <v>3</v>
      </c>
      <c r="D1754" s="2014"/>
      <c r="E1754" s="1231">
        <v>4</v>
      </c>
      <c r="F1754" s="1229">
        <v>5</v>
      </c>
      <c r="G1754" s="1232">
        <v>7</v>
      </c>
    </row>
    <row r="1755" spans="1:7" x14ac:dyDescent="0.25">
      <c r="A1755" s="1233" t="s">
        <v>1683</v>
      </c>
      <c r="B1755" s="1234" t="s">
        <v>1284</v>
      </c>
      <c r="C1755" s="1235"/>
      <c r="D1755" s="1236"/>
      <c r="E1755" s="1237"/>
      <c r="F1755" s="1238"/>
      <c r="G1755" s="1232"/>
    </row>
    <row r="1756" spans="1:7" x14ac:dyDescent="0.25">
      <c r="A1756" s="1233" t="s">
        <v>1684</v>
      </c>
      <c r="B1756" s="1234" t="s">
        <v>1658</v>
      </c>
      <c r="C1756" s="1235"/>
      <c r="D1756" s="1236"/>
      <c r="E1756" s="1237"/>
      <c r="F1756" s="1238"/>
      <c r="G1756" s="1232"/>
    </row>
    <row r="1757" spans="1:7" ht="24" x14ac:dyDescent="0.25">
      <c r="A1757" s="1233" t="s">
        <v>1685</v>
      </c>
      <c r="B1757" s="1234" t="s">
        <v>1279</v>
      </c>
      <c r="C1757" s="1239"/>
      <c r="D1757" s="1236"/>
      <c r="E1757" s="1237"/>
      <c r="F1757" s="1238"/>
      <c r="G1757" s="1232"/>
    </row>
    <row r="1758" spans="1:7" ht="15.75" thickBot="1" x14ac:dyDescent="0.3">
      <c r="A1758" s="1240"/>
      <c r="B1758" s="1241" t="s">
        <v>1660</v>
      </c>
      <c r="C1758" s="1239">
        <v>1</v>
      </c>
      <c r="D1758" s="1236" t="s">
        <v>444</v>
      </c>
      <c r="E1758" s="1237">
        <v>660000</v>
      </c>
      <c r="F1758" s="1238">
        <f>E1758*C1758</f>
        <v>660000</v>
      </c>
      <c r="G1758" s="1232"/>
    </row>
    <row r="1759" spans="1:7" ht="15.75" thickBot="1" x14ac:dyDescent="0.3">
      <c r="A1759" s="1242"/>
      <c r="B1759" s="2015" t="s">
        <v>515</v>
      </c>
      <c r="C1759" s="2016"/>
      <c r="D1759" s="2016"/>
      <c r="E1759" s="2017"/>
      <c r="F1759" s="1243">
        <f>SUM(F1758:F1758)</f>
        <v>660000</v>
      </c>
      <c r="G1759" s="1232"/>
    </row>
    <row r="1760" spans="1:7" x14ac:dyDescent="0.25">
      <c r="A1760" s="1233" t="s">
        <v>1686</v>
      </c>
      <c r="B1760" s="1244" t="s">
        <v>1268</v>
      </c>
      <c r="C1760" s="1245"/>
      <c r="D1760" s="1246"/>
      <c r="E1760" s="1242"/>
      <c r="F1760" s="1247"/>
      <c r="G1760" s="1232"/>
    </row>
    <row r="1761" spans="1:12" x14ac:dyDescent="0.25">
      <c r="A1761" s="1233"/>
      <c r="B1761" s="1263" t="s">
        <v>1269</v>
      </c>
      <c r="C1761" s="1229">
        <v>21</v>
      </c>
      <c r="D1761" s="1230" t="s">
        <v>392</v>
      </c>
      <c r="E1761" s="1264">
        <v>150000</v>
      </c>
      <c r="F1761" s="1238">
        <f>E1761*C1761</f>
        <v>3150000</v>
      </c>
      <c r="G1761" s="1232"/>
    </row>
    <row r="1762" spans="1:12" ht="15.75" thickBot="1" x14ac:dyDescent="0.3">
      <c r="A1762" s="1233"/>
      <c r="B1762" s="1248" t="s">
        <v>1270</v>
      </c>
      <c r="C1762" s="1249">
        <v>50</v>
      </c>
      <c r="D1762" s="1250" t="s">
        <v>392</v>
      </c>
      <c r="E1762" s="1251">
        <v>120000</v>
      </c>
      <c r="F1762" s="1252">
        <f>E1762*C1762</f>
        <v>6000000</v>
      </c>
      <c r="G1762" s="1232"/>
    </row>
    <row r="1763" spans="1:12" ht="15.75" thickBot="1" x14ac:dyDescent="0.3">
      <c r="A1763" s="1253"/>
      <c r="B1763" s="2018" t="s">
        <v>515</v>
      </c>
      <c r="C1763" s="2019"/>
      <c r="D1763" s="2019"/>
      <c r="E1763" s="2020"/>
      <c r="F1763" s="1243">
        <f>SUM(F1761:F1762)</f>
        <v>9150000</v>
      </c>
      <c r="G1763" s="1254"/>
    </row>
    <row r="1764" spans="1:12" x14ac:dyDescent="0.25">
      <c r="A1764" s="1233" t="s">
        <v>1687</v>
      </c>
      <c r="B1764" s="1265" t="s">
        <v>1271</v>
      </c>
      <c r="C1764" s="1245"/>
      <c r="D1764" s="1246"/>
      <c r="E1764" s="1242"/>
      <c r="F1764" s="1247"/>
      <c r="G1764" s="1232"/>
    </row>
    <row r="1765" spans="1:12" x14ac:dyDescent="0.25">
      <c r="A1765" s="1242"/>
      <c r="B1765" s="911" t="s">
        <v>1281</v>
      </c>
      <c r="C1765" s="1229">
        <v>105</v>
      </c>
      <c r="D1765" s="1230" t="s">
        <v>1275</v>
      </c>
      <c r="E1765" s="945">
        <v>152000</v>
      </c>
      <c r="F1765" s="1238">
        <f>E1765*C1765</f>
        <v>15960000</v>
      </c>
      <c r="G1765" s="1232"/>
    </row>
    <row r="1766" spans="1:12" x14ac:dyDescent="0.25">
      <c r="A1766" s="1242"/>
      <c r="B1766" s="911" t="s">
        <v>1280</v>
      </c>
      <c r="C1766" s="1229">
        <v>11</v>
      </c>
      <c r="D1766" s="1230" t="s">
        <v>767</v>
      </c>
      <c r="E1766" s="945">
        <v>230000</v>
      </c>
      <c r="F1766" s="1238">
        <f t="shared" ref="F1766:F1770" si="44">E1766*C1766</f>
        <v>2530000</v>
      </c>
      <c r="G1766" s="1232"/>
    </row>
    <row r="1767" spans="1:12" x14ac:dyDescent="0.25">
      <c r="A1767" s="1242"/>
      <c r="B1767" s="1241" t="s">
        <v>1273</v>
      </c>
      <c r="C1767" s="1239">
        <v>148</v>
      </c>
      <c r="D1767" s="1236" t="s">
        <v>154</v>
      </c>
      <c r="E1767" s="1237">
        <v>3000</v>
      </c>
      <c r="F1767" s="1238">
        <f t="shared" si="44"/>
        <v>444000</v>
      </c>
      <c r="G1767" s="1232"/>
    </row>
    <row r="1768" spans="1:12" x14ac:dyDescent="0.25">
      <c r="A1768" s="1266"/>
      <c r="B1768" s="1255" t="s">
        <v>2755</v>
      </c>
      <c r="C1768" s="1239">
        <v>141</v>
      </c>
      <c r="D1768" s="1236" t="s">
        <v>106</v>
      </c>
      <c r="E1768" s="1237">
        <v>31000</v>
      </c>
      <c r="F1768" s="1238">
        <f t="shared" si="44"/>
        <v>4371000</v>
      </c>
      <c r="G1768" s="1232"/>
    </row>
    <row r="1769" spans="1:12" x14ac:dyDescent="0.25">
      <c r="A1769" s="1266"/>
      <c r="B1769" s="1255" t="s">
        <v>1276</v>
      </c>
      <c r="C1769" s="1256">
        <v>1</v>
      </c>
      <c r="D1769" s="1257" t="s">
        <v>106</v>
      </c>
      <c r="E1769" s="1258">
        <v>250000</v>
      </c>
      <c r="F1769" s="1252">
        <f>E1769*C1769</f>
        <v>250000</v>
      </c>
      <c r="G1769" s="1232"/>
    </row>
    <row r="1770" spans="1:12" ht="15.75" thickBot="1" x14ac:dyDescent="0.3">
      <c r="A1770" s="1240"/>
      <c r="B1770" s="1255" t="s">
        <v>1277</v>
      </c>
      <c r="C1770" s="1256">
        <v>1</v>
      </c>
      <c r="D1770" s="1257" t="s">
        <v>106</v>
      </c>
      <c r="E1770" s="1258">
        <v>500000</v>
      </c>
      <c r="F1770" s="1252">
        <f t="shared" si="44"/>
        <v>500000</v>
      </c>
      <c r="G1770" s="1232"/>
    </row>
    <row r="1771" spans="1:12" ht="15.75" thickBot="1" x14ac:dyDescent="0.3">
      <c r="A1771" s="1245"/>
      <c r="B1771" s="2015" t="s">
        <v>515</v>
      </c>
      <c r="C1771" s="2016"/>
      <c r="D1771" s="2016"/>
      <c r="E1771" s="2017"/>
      <c r="F1771" s="1243">
        <f>SUM(F1765:F1770)</f>
        <v>24055000</v>
      </c>
      <c r="G1771" s="1254"/>
    </row>
    <row r="1772" spans="1:12" ht="15.75" thickBot="1" x14ac:dyDescent="0.3">
      <c r="A1772" s="1245"/>
      <c r="B1772" s="2015" t="s">
        <v>26</v>
      </c>
      <c r="C1772" s="2016"/>
      <c r="D1772" s="2016"/>
      <c r="E1772" s="2017"/>
      <c r="F1772" s="1243">
        <f>F1771+F1763+F1759</f>
        <v>33865000</v>
      </c>
      <c r="G1772" s="1254"/>
      <c r="L1772" s="139"/>
    </row>
    <row r="1773" spans="1:12" x14ac:dyDescent="0.25">
      <c r="A1773" s="1969" t="s">
        <v>516</v>
      </c>
      <c r="B1773" s="1969"/>
      <c r="C1773" s="1259" t="s">
        <v>27</v>
      </c>
      <c r="D1773" s="1970" t="s">
        <v>1224</v>
      </c>
      <c r="E1773" s="1970"/>
      <c r="F1773" s="1970"/>
      <c r="G1773" s="1259"/>
    </row>
    <row r="1774" spans="1:12" x14ac:dyDescent="0.25">
      <c r="A1774" s="1969" t="s">
        <v>28</v>
      </c>
      <c r="B1774" s="1969"/>
      <c r="C1774" s="1259"/>
      <c r="D1774" s="1971" t="s">
        <v>2443</v>
      </c>
      <c r="E1774" s="1971"/>
      <c r="F1774" s="1971"/>
      <c r="G1774" s="1259"/>
    </row>
    <row r="1775" spans="1:12" x14ac:dyDescent="0.25">
      <c r="A1775" s="1261"/>
      <c r="B1775" s="1262"/>
      <c r="C1775" s="1259"/>
      <c r="D1775" s="1260"/>
      <c r="E1775" s="948"/>
      <c r="F1775" s="993"/>
      <c r="G1775" s="1259"/>
    </row>
    <row r="1776" spans="1:12" x14ac:dyDescent="0.25">
      <c r="A1776" s="1261"/>
      <c r="B1776" s="1262"/>
      <c r="C1776" s="1259"/>
      <c r="D1776" s="1260"/>
      <c r="E1776" s="948"/>
      <c r="F1776" s="993"/>
      <c r="G1776" s="1259"/>
    </row>
    <row r="1777" spans="1:8" x14ac:dyDescent="0.25">
      <c r="A1777" s="1969"/>
      <c r="B1777" s="1969"/>
      <c r="C1777" s="1259"/>
      <c r="D1777" s="1260"/>
      <c r="E1777" s="1969"/>
      <c r="F1777" s="1969"/>
      <c r="G1777" s="1259"/>
    </row>
    <row r="1778" spans="1:8" x14ac:dyDescent="0.25">
      <c r="A1778" s="1969" t="s">
        <v>29</v>
      </c>
      <c r="B1778" s="1969"/>
      <c r="C1778" s="1259"/>
      <c r="D1778" s="1969" t="s">
        <v>517</v>
      </c>
      <c r="E1778" s="1969"/>
      <c r="F1778" s="1969"/>
      <c r="G1778" s="1259"/>
    </row>
    <row r="1779" spans="1:8" x14ac:dyDescent="0.25">
      <c r="A1779" s="2010" t="s">
        <v>2251</v>
      </c>
      <c r="B1779" s="2010"/>
      <c r="C1779" s="2010"/>
      <c r="D1779" s="2010"/>
      <c r="E1779" s="2010"/>
      <c r="F1779" s="2010"/>
      <c r="G1779" s="2010"/>
      <c r="H1779" s="68"/>
    </row>
    <row r="1780" spans="1:8" x14ac:dyDescent="0.25">
      <c r="A1780" s="2010" t="s">
        <v>1</v>
      </c>
      <c r="B1780" s="2010"/>
      <c r="C1780" s="2010"/>
      <c r="D1780" s="2010"/>
      <c r="E1780" s="2010"/>
      <c r="F1780" s="2010"/>
      <c r="G1780" s="2010"/>
      <c r="H1780" s="68"/>
    </row>
    <row r="1781" spans="1:8" x14ac:dyDescent="0.25">
      <c r="A1781" s="2010" t="s">
        <v>2398</v>
      </c>
      <c r="B1781" s="2010"/>
      <c r="C1781" s="2010"/>
      <c r="D1781" s="2010"/>
      <c r="E1781" s="2010"/>
      <c r="F1781" s="2010"/>
      <c r="G1781" s="2010"/>
      <c r="H1781" s="68"/>
    </row>
    <row r="1782" spans="1:8" x14ac:dyDescent="0.25">
      <c r="A1782" s="1209"/>
      <c r="B1782" s="1210"/>
      <c r="C1782" s="1211"/>
      <c r="D1782" s="1211"/>
      <c r="E1782" s="1212"/>
      <c r="F1782" s="1212"/>
      <c r="G1782" s="1212"/>
      <c r="H1782" s="68"/>
    </row>
    <row r="1783" spans="1:8" ht="24.75" x14ac:dyDescent="0.25">
      <c r="A1783" s="1212" t="s">
        <v>1263</v>
      </c>
      <c r="B1783" s="1213" t="s">
        <v>648</v>
      </c>
      <c r="C1783" s="1214"/>
      <c r="D1783" s="1214"/>
      <c r="E1783" s="1215"/>
      <c r="F1783" s="1215"/>
      <c r="G1783" s="1212"/>
      <c r="H1783" s="68"/>
    </row>
    <row r="1784" spans="1:8" ht="24.75" x14ac:dyDescent="0.25">
      <c r="A1784" s="1216" t="s">
        <v>659</v>
      </c>
      <c r="B1784" s="1217" t="s">
        <v>1283</v>
      </c>
      <c r="C1784" s="1214"/>
      <c r="D1784" s="1214"/>
      <c r="E1784" s="1215" t="s">
        <v>1264</v>
      </c>
      <c r="F1784" s="1215"/>
      <c r="G1784" s="1212"/>
      <c r="H1784" s="68"/>
    </row>
    <row r="1785" spans="1:8" ht="60" x14ac:dyDescent="0.25">
      <c r="A1785" s="1218" t="s">
        <v>685</v>
      </c>
      <c r="B1785" s="1219" t="s">
        <v>2759</v>
      </c>
      <c r="C1785" s="1214"/>
      <c r="D1785" s="1214"/>
      <c r="E1785" s="1215" t="s">
        <v>1265</v>
      </c>
      <c r="F1785" s="1215"/>
      <c r="G1785" s="1216"/>
      <c r="H1785" s="68"/>
    </row>
    <row r="1786" spans="1:8" ht="30" x14ac:dyDescent="0.25">
      <c r="A1786" s="1218" t="s">
        <v>1266</v>
      </c>
      <c r="B1786" s="1219" t="s">
        <v>2760</v>
      </c>
      <c r="C1786" s="1214"/>
      <c r="D1786" s="1214"/>
      <c r="E1786" s="1215"/>
      <c r="F1786" s="1215"/>
      <c r="G1786" s="1216"/>
      <c r="H1786" s="68"/>
    </row>
    <row r="1787" spans="1:8" x14ac:dyDescent="0.25">
      <c r="A1787" s="1212" t="s">
        <v>1267</v>
      </c>
      <c r="B1787" s="1213" t="s">
        <v>60</v>
      </c>
      <c r="C1787" s="1214"/>
      <c r="D1787" s="1214"/>
      <c r="E1787" s="1212"/>
      <c r="F1787" s="1212"/>
      <c r="G1787" s="1212"/>
      <c r="H1787" s="68"/>
    </row>
    <row r="1788" spans="1:8" x14ac:dyDescent="0.25">
      <c r="A1788" s="1216" t="s">
        <v>61</v>
      </c>
      <c r="B1788" s="1217" t="s">
        <v>62</v>
      </c>
      <c r="C1788" s="1214"/>
      <c r="D1788" s="1214"/>
      <c r="E1788" s="1216"/>
      <c r="F1788" s="1216"/>
      <c r="G1788" s="1216"/>
      <c r="H1788" s="68"/>
    </row>
    <row r="1789" spans="1:8" x14ac:dyDescent="0.25">
      <c r="A1789" s="1220"/>
      <c r="B1789" s="1221"/>
      <c r="C1789" s="1222"/>
      <c r="D1789" s="1222"/>
      <c r="E1789" s="1220"/>
      <c r="F1789" s="1220"/>
      <c r="G1789" s="1220"/>
      <c r="H1789" s="68"/>
    </row>
    <row r="1790" spans="1:8" ht="24" x14ac:dyDescent="0.25">
      <c r="A1790" s="1223" t="s">
        <v>30</v>
      </c>
      <c r="B1790" s="1223" t="s">
        <v>11</v>
      </c>
      <c r="C1790" s="2011" t="s">
        <v>12</v>
      </c>
      <c r="D1790" s="2012"/>
      <c r="E1790" s="1225" t="s">
        <v>13</v>
      </c>
      <c r="F1790" s="1224" t="s">
        <v>14</v>
      </c>
      <c r="G1790" s="1226" t="s">
        <v>256</v>
      </c>
      <c r="H1790" s="68"/>
    </row>
    <row r="1791" spans="1:8" x14ac:dyDescent="0.25">
      <c r="A1791" s="1227">
        <v>1</v>
      </c>
      <c r="B1791" s="1228">
        <v>2</v>
      </c>
      <c r="C1791" s="2013">
        <v>3</v>
      </c>
      <c r="D1791" s="2014"/>
      <c r="E1791" s="1231">
        <v>4</v>
      </c>
      <c r="F1791" s="1229">
        <v>5</v>
      </c>
      <c r="G1791" s="1232">
        <v>7</v>
      </c>
      <c r="H1791" s="68"/>
    </row>
    <row r="1792" spans="1:8" x14ac:dyDescent="0.25">
      <c r="A1792" s="1233" t="s">
        <v>1683</v>
      </c>
      <c r="B1792" s="1234" t="s">
        <v>1284</v>
      </c>
      <c r="C1792" s="1235"/>
      <c r="D1792" s="1236"/>
      <c r="E1792" s="1237"/>
      <c r="F1792" s="1238"/>
      <c r="G1792" s="1232"/>
      <c r="H1792" s="68"/>
    </row>
    <row r="1793" spans="1:12" x14ac:dyDescent="0.25">
      <c r="A1793" s="1233" t="s">
        <v>1684</v>
      </c>
      <c r="B1793" s="1234" t="s">
        <v>1658</v>
      </c>
      <c r="C1793" s="1235"/>
      <c r="D1793" s="1236"/>
      <c r="E1793" s="1237"/>
      <c r="F1793" s="1238"/>
      <c r="G1793" s="1232"/>
      <c r="H1793" s="68"/>
    </row>
    <row r="1794" spans="1:12" ht="24" x14ac:dyDescent="0.25">
      <c r="A1794" s="1233" t="s">
        <v>1685</v>
      </c>
      <c r="B1794" s="1234" t="s">
        <v>1279</v>
      </c>
      <c r="C1794" s="1239"/>
      <c r="D1794" s="1236"/>
      <c r="E1794" s="1237"/>
      <c r="F1794" s="1238"/>
      <c r="G1794" s="1232"/>
      <c r="H1794" s="68"/>
    </row>
    <row r="1795" spans="1:12" ht="15.75" thickBot="1" x14ac:dyDescent="0.3">
      <c r="A1795" s="1240"/>
      <c r="B1795" s="1241" t="s">
        <v>1660</v>
      </c>
      <c r="C1795" s="1239">
        <v>1</v>
      </c>
      <c r="D1795" s="1236" t="s">
        <v>213</v>
      </c>
      <c r="E1795" s="1237">
        <v>132600</v>
      </c>
      <c r="F1795" s="1238">
        <f>E1795*C1795</f>
        <v>132600</v>
      </c>
      <c r="G1795" s="1232"/>
      <c r="H1795" s="68"/>
    </row>
    <row r="1796" spans="1:12" ht="15.75" thickBot="1" x14ac:dyDescent="0.3">
      <c r="A1796" s="1242"/>
      <c r="B1796" s="2015" t="s">
        <v>515</v>
      </c>
      <c r="C1796" s="2016"/>
      <c r="D1796" s="2016"/>
      <c r="E1796" s="2017"/>
      <c r="F1796" s="1243">
        <f>SUM(F1795:F1795)</f>
        <v>132600</v>
      </c>
      <c r="G1796" s="1232"/>
      <c r="H1796" s="68"/>
    </row>
    <row r="1797" spans="1:12" x14ac:dyDescent="0.25">
      <c r="A1797" s="1233" t="s">
        <v>1686</v>
      </c>
      <c r="B1797" s="1244" t="s">
        <v>1268</v>
      </c>
      <c r="C1797" s="1245"/>
      <c r="D1797" s="1246"/>
      <c r="E1797" s="1242"/>
      <c r="F1797" s="1247"/>
      <c r="G1797" s="1232"/>
      <c r="H1797" s="68"/>
    </row>
    <row r="1798" spans="1:12" ht="15.75" thickBot="1" x14ac:dyDescent="0.3">
      <c r="A1798" s="1233"/>
      <c r="B1798" s="1248" t="s">
        <v>1270</v>
      </c>
      <c r="C1798" s="1249">
        <v>51</v>
      </c>
      <c r="D1798" s="1250" t="s">
        <v>392</v>
      </c>
      <c r="E1798" s="1251">
        <v>120000</v>
      </c>
      <c r="F1798" s="1252">
        <f>E1798*C1798</f>
        <v>6120000</v>
      </c>
      <c r="G1798" s="1232"/>
      <c r="H1798" s="68"/>
    </row>
    <row r="1799" spans="1:12" ht="15.75" thickBot="1" x14ac:dyDescent="0.3">
      <c r="A1799" s="1253"/>
      <c r="B1799" s="2018" t="s">
        <v>515</v>
      </c>
      <c r="C1799" s="2019"/>
      <c r="D1799" s="2019"/>
      <c r="E1799" s="2020"/>
      <c r="F1799" s="1243">
        <f>SUM(F1798:F1798)</f>
        <v>6120000</v>
      </c>
      <c r="G1799" s="1254"/>
      <c r="H1799" s="68"/>
    </row>
    <row r="1800" spans="1:12" ht="15.75" thickBot="1" x14ac:dyDescent="0.3">
      <c r="A1800" s="1240"/>
      <c r="B1800" s="1255"/>
      <c r="C1800" s="1256"/>
      <c r="D1800" s="1257"/>
      <c r="E1800" s="1258"/>
      <c r="F1800" s="1252"/>
      <c r="G1800" s="1232"/>
      <c r="H1800" s="68"/>
    </row>
    <row r="1801" spans="1:12" ht="15.75" thickBot="1" x14ac:dyDescent="0.3">
      <c r="A1801" s="1245"/>
      <c r="B1801" s="2015" t="s">
        <v>26</v>
      </c>
      <c r="C1801" s="2016"/>
      <c r="D1801" s="2016"/>
      <c r="E1801" s="2017"/>
      <c r="F1801" s="1243">
        <f>F1799+F1796</f>
        <v>6252600</v>
      </c>
      <c r="G1801" s="1254"/>
      <c r="H1801" s="68"/>
      <c r="L1801" s="139"/>
    </row>
    <row r="1802" spans="1:12" x14ac:dyDescent="0.25">
      <c r="A1802" s="96"/>
      <c r="B1802" s="96"/>
      <c r="C1802" s="96"/>
      <c r="D1802" s="96"/>
      <c r="E1802" s="96"/>
      <c r="F1802" s="96"/>
      <c r="G1802" s="96"/>
      <c r="H1802" s="68"/>
    </row>
    <row r="1803" spans="1:12" x14ac:dyDescent="0.25">
      <c r="A1803" s="1969" t="s">
        <v>516</v>
      </c>
      <c r="B1803" s="1969"/>
      <c r="C1803" s="1259" t="s">
        <v>27</v>
      </c>
      <c r="D1803" s="1970" t="s">
        <v>1224</v>
      </c>
      <c r="E1803" s="1970"/>
      <c r="F1803" s="1970"/>
      <c r="G1803" s="1259"/>
    </row>
    <row r="1804" spans="1:12" x14ac:dyDescent="0.25">
      <c r="A1804" s="1969" t="s">
        <v>28</v>
      </c>
      <c r="B1804" s="1969"/>
      <c r="C1804" s="1259"/>
      <c r="D1804" s="1971" t="s">
        <v>2443</v>
      </c>
      <c r="E1804" s="1971"/>
      <c r="F1804" s="1971"/>
      <c r="G1804" s="1259"/>
    </row>
    <row r="1805" spans="1:12" x14ac:dyDescent="0.25">
      <c r="A1805" s="1261"/>
      <c r="B1805" s="1262"/>
      <c r="C1805" s="1259"/>
      <c r="D1805" s="1260"/>
      <c r="E1805" s="948"/>
      <c r="F1805" s="948"/>
      <c r="G1805" s="1259"/>
    </row>
    <row r="1806" spans="1:12" x14ac:dyDescent="0.25">
      <c r="A1806" s="1261"/>
      <c r="B1806" s="1262"/>
      <c r="C1806" s="1259"/>
      <c r="D1806" s="1260"/>
      <c r="E1806" s="948"/>
      <c r="F1806" s="948"/>
      <c r="G1806" s="1259"/>
    </row>
    <row r="1807" spans="1:12" x14ac:dyDescent="0.25">
      <c r="A1807" s="1969"/>
      <c r="B1807" s="1969"/>
      <c r="C1807" s="1259"/>
      <c r="D1807" s="1260"/>
      <c r="E1807" s="1969"/>
      <c r="F1807" s="1969"/>
      <c r="G1807" s="1259"/>
    </row>
    <row r="1808" spans="1:12" x14ac:dyDescent="0.25">
      <c r="A1808" s="1969" t="s">
        <v>29</v>
      </c>
      <c r="B1808" s="1969"/>
      <c r="C1808" s="1259"/>
      <c r="D1808" s="1969" t="s">
        <v>517</v>
      </c>
      <c r="E1808" s="1969"/>
      <c r="F1808" s="1969"/>
      <c r="G1808" s="1259"/>
    </row>
    <row r="1809" spans="1:8" x14ac:dyDescent="0.25">
      <c r="A1809" s="96"/>
      <c r="B1809" s="96"/>
      <c r="C1809" s="96"/>
      <c r="D1809" s="96"/>
      <c r="E1809" s="96"/>
      <c r="F1809" s="96"/>
      <c r="G1809" s="96"/>
      <c r="H1809" s="68"/>
    </row>
    <row r="1810" spans="1:8" x14ac:dyDescent="0.25">
      <c r="A1810" s="96"/>
      <c r="B1810" s="96"/>
      <c r="C1810" s="96"/>
      <c r="D1810" s="96"/>
      <c r="E1810" s="96"/>
      <c r="F1810" s="96"/>
      <c r="G1810" s="96"/>
      <c r="H1810" s="68"/>
    </row>
    <row r="1811" spans="1:8" x14ac:dyDescent="0.25">
      <c r="A1811" s="2010" t="s">
        <v>2251</v>
      </c>
      <c r="B1811" s="2010"/>
      <c r="C1811" s="2010"/>
      <c r="D1811" s="2010"/>
      <c r="E1811" s="2010"/>
      <c r="F1811" s="2010"/>
      <c r="G1811" s="2010"/>
      <c r="H1811" s="68"/>
    </row>
    <row r="1812" spans="1:8" x14ac:dyDescent="0.25">
      <c r="A1812" s="2010" t="s">
        <v>1</v>
      </c>
      <c r="B1812" s="2010"/>
      <c r="C1812" s="2010"/>
      <c r="D1812" s="2010"/>
      <c r="E1812" s="2010"/>
      <c r="F1812" s="2010"/>
      <c r="G1812" s="2010"/>
      <c r="H1812" s="68"/>
    </row>
    <row r="1813" spans="1:8" x14ac:dyDescent="0.25">
      <c r="A1813" s="2010" t="s">
        <v>2761</v>
      </c>
      <c r="B1813" s="2010"/>
      <c r="C1813" s="2010"/>
      <c r="D1813" s="2010"/>
      <c r="E1813" s="2010"/>
      <c r="F1813" s="2010"/>
      <c r="G1813" s="2010"/>
      <c r="H1813" s="68"/>
    </row>
    <row r="1814" spans="1:8" x14ac:dyDescent="0.25">
      <c r="A1814" s="1209"/>
      <c r="B1814" s="1210"/>
      <c r="C1814" s="1211"/>
      <c r="D1814" s="1211"/>
      <c r="E1814" s="1212"/>
      <c r="F1814" s="1212"/>
      <c r="G1814" s="1212"/>
      <c r="H1814" s="68"/>
    </row>
    <row r="1815" spans="1:8" ht="24.75" x14ac:dyDescent="0.25">
      <c r="A1815" s="1212" t="s">
        <v>1263</v>
      </c>
      <c r="B1815" s="1213" t="s">
        <v>648</v>
      </c>
      <c r="C1815" s="1214"/>
      <c r="D1815" s="1214"/>
      <c r="E1815" s="1215"/>
      <c r="F1815" s="1215"/>
      <c r="G1815" s="1212"/>
      <c r="H1815" s="68"/>
    </row>
    <row r="1816" spans="1:8" ht="24.75" x14ac:dyDescent="0.25">
      <c r="A1816" s="1216" t="s">
        <v>659</v>
      </c>
      <c r="B1816" s="1217" t="s">
        <v>1283</v>
      </c>
      <c r="C1816" s="1214"/>
      <c r="D1816" s="1214"/>
      <c r="E1816" s="1215" t="s">
        <v>1264</v>
      </c>
      <c r="F1816" s="1215"/>
      <c r="G1816" s="1212"/>
      <c r="H1816" s="68"/>
    </row>
    <row r="1817" spans="1:8" ht="60" x14ac:dyDescent="0.25">
      <c r="A1817" s="1218" t="s">
        <v>685</v>
      </c>
      <c r="B1817" s="1219" t="s">
        <v>2762</v>
      </c>
      <c r="C1817" s="1214"/>
      <c r="D1817" s="1214"/>
      <c r="E1817" s="1215" t="s">
        <v>1265</v>
      </c>
      <c r="F1817" s="1215"/>
      <c r="G1817" s="1216"/>
      <c r="H1817" s="68"/>
    </row>
    <row r="1818" spans="1:8" ht="45" x14ac:dyDescent="0.25">
      <c r="A1818" s="1218" t="s">
        <v>1266</v>
      </c>
      <c r="B1818" s="1219" t="s">
        <v>2763</v>
      </c>
      <c r="C1818" s="1214"/>
      <c r="D1818" s="1214"/>
      <c r="E1818" s="1215"/>
      <c r="F1818" s="1215"/>
      <c r="G1818" s="1216"/>
      <c r="H1818" s="68"/>
    </row>
    <row r="1819" spans="1:8" x14ac:dyDescent="0.25">
      <c r="A1819" s="1212" t="s">
        <v>1267</v>
      </c>
      <c r="B1819" s="1213" t="s">
        <v>60</v>
      </c>
      <c r="C1819" s="1214"/>
      <c r="D1819" s="1214"/>
      <c r="E1819" s="1212"/>
      <c r="F1819" s="1212"/>
      <c r="G1819" s="1212"/>
      <c r="H1819" s="68"/>
    </row>
    <row r="1820" spans="1:8" x14ac:dyDescent="0.25">
      <c r="A1820" s="1216" t="s">
        <v>61</v>
      </c>
      <c r="B1820" s="1217" t="s">
        <v>62</v>
      </c>
      <c r="C1820" s="1214"/>
      <c r="D1820" s="1214"/>
      <c r="E1820" s="1216"/>
      <c r="F1820" s="1216"/>
      <c r="G1820" s="1216"/>
      <c r="H1820" s="68"/>
    </row>
    <row r="1821" spans="1:8" x14ac:dyDescent="0.25">
      <c r="A1821" s="1220"/>
      <c r="B1821" s="1221"/>
      <c r="C1821" s="1222"/>
      <c r="D1821" s="1222"/>
      <c r="E1821" s="1220"/>
      <c r="F1821" s="1220"/>
      <c r="G1821" s="1220"/>
      <c r="H1821" s="68"/>
    </row>
    <row r="1822" spans="1:8" ht="24" x14ac:dyDescent="0.25">
      <c r="A1822" s="1223" t="s">
        <v>30</v>
      </c>
      <c r="B1822" s="1223" t="s">
        <v>11</v>
      </c>
      <c r="C1822" s="2011" t="s">
        <v>12</v>
      </c>
      <c r="D1822" s="2012"/>
      <c r="E1822" s="1225" t="s">
        <v>13</v>
      </c>
      <c r="F1822" s="1224" t="s">
        <v>14</v>
      </c>
      <c r="G1822" s="1226" t="s">
        <v>256</v>
      </c>
      <c r="H1822" s="68"/>
    </row>
    <row r="1823" spans="1:8" x14ac:dyDescent="0.25">
      <c r="A1823" s="1227">
        <v>1</v>
      </c>
      <c r="B1823" s="1228">
        <v>2</v>
      </c>
      <c r="C1823" s="2013">
        <v>3</v>
      </c>
      <c r="D1823" s="2014"/>
      <c r="E1823" s="1231">
        <v>4</v>
      </c>
      <c r="F1823" s="1229">
        <v>5</v>
      </c>
      <c r="G1823" s="1232">
        <v>7</v>
      </c>
      <c r="H1823" s="68"/>
    </row>
    <row r="1824" spans="1:8" x14ac:dyDescent="0.25">
      <c r="A1824" s="1233" t="s">
        <v>1683</v>
      </c>
      <c r="B1824" s="1234" t="s">
        <v>1284</v>
      </c>
      <c r="C1824" s="1235"/>
      <c r="D1824" s="1236"/>
      <c r="E1824" s="1237"/>
      <c r="F1824" s="1238"/>
      <c r="G1824" s="1232"/>
      <c r="H1824" s="68"/>
    </row>
    <row r="1825" spans="1:8" x14ac:dyDescent="0.25">
      <c r="A1825" s="1233" t="s">
        <v>1684</v>
      </c>
      <c r="B1825" s="1234" t="s">
        <v>1658</v>
      </c>
      <c r="C1825" s="1235"/>
      <c r="D1825" s="1236"/>
      <c r="E1825" s="1237"/>
      <c r="F1825" s="1238"/>
      <c r="G1825" s="1232"/>
      <c r="H1825" s="68"/>
    </row>
    <row r="1826" spans="1:8" ht="24" x14ac:dyDescent="0.25">
      <c r="A1826" s="1233" t="s">
        <v>1685</v>
      </c>
      <c r="B1826" s="1234" t="s">
        <v>1279</v>
      </c>
      <c r="C1826" s="1239"/>
      <c r="D1826" s="1236"/>
      <c r="E1826" s="1237"/>
      <c r="F1826" s="1238"/>
      <c r="G1826" s="1232"/>
      <c r="H1826" s="68"/>
    </row>
    <row r="1827" spans="1:8" ht="15.75" thickBot="1" x14ac:dyDescent="0.3">
      <c r="A1827" s="1240"/>
      <c r="B1827" s="1241" t="s">
        <v>1660</v>
      </c>
      <c r="C1827" s="1239">
        <v>1</v>
      </c>
      <c r="D1827" s="1236" t="s">
        <v>444</v>
      </c>
      <c r="E1827" s="1237">
        <v>3847600</v>
      </c>
      <c r="F1827" s="1238">
        <f>E1827*C1827</f>
        <v>3847600</v>
      </c>
      <c r="G1827" s="1232"/>
      <c r="H1827" s="68"/>
    </row>
    <row r="1828" spans="1:8" ht="15.75" thickBot="1" x14ac:dyDescent="0.3">
      <c r="A1828" s="1242"/>
      <c r="B1828" s="2015" t="s">
        <v>515</v>
      </c>
      <c r="C1828" s="2016"/>
      <c r="D1828" s="2016"/>
      <c r="E1828" s="2017"/>
      <c r="F1828" s="1243">
        <f>SUM(F1827:F1827)</f>
        <v>3847600</v>
      </c>
      <c r="G1828" s="1232"/>
      <c r="H1828" s="68"/>
    </row>
    <row r="1829" spans="1:8" x14ac:dyDescent="0.25">
      <c r="A1829" s="1233" t="s">
        <v>1686</v>
      </c>
      <c r="B1829" s="1244" t="s">
        <v>1268</v>
      </c>
      <c r="C1829" s="1245"/>
      <c r="D1829" s="1246"/>
      <c r="E1829" s="1242"/>
      <c r="F1829" s="1247"/>
      <c r="G1829" s="1232"/>
      <c r="H1829" s="68"/>
    </row>
    <row r="1830" spans="1:8" x14ac:dyDescent="0.25">
      <c r="A1830" s="1233"/>
      <c r="B1830" s="1263" t="s">
        <v>1269</v>
      </c>
      <c r="C1830" s="1229">
        <v>126</v>
      </c>
      <c r="D1830" s="1230" t="s">
        <v>392</v>
      </c>
      <c r="E1830" s="1264">
        <v>150000</v>
      </c>
      <c r="F1830" s="1238">
        <f>E1830*C1830</f>
        <v>18900000</v>
      </c>
      <c r="G1830" s="1232"/>
      <c r="H1830" s="68"/>
    </row>
    <row r="1831" spans="1:8" ht="15.75" thickBot="1" x14ac:dyDescent="0.3">
      <c r="A1831" s="1233"/>
      <c r="B1831" s="1248" t="s">
        <v>1270</v>
      </c>
      <c r="C1831" s="1249">
        <v>252</v>
      </c>
      <c r="D1831" s="1250" t="s">
        <v>392</v>
      </c>
      <c r="E1831" s="1251">
        <v>120000</v>
      </c>
      <c r="F1831" s="1252">
        <f>E1831*C1831</f>
        <v>30240000</v>
      </c>
      <c r="G1831" s="1232"/>
      <c r="H1831" s="68"/>
    </row>
    <row r="1832" spans="1:8" ht="15.75" thickBot="1" x14ac:dyDescent="0.3">
      <c r="A1832" s="1253"/>
      <c r="B1832" s="2018" t="s">
        <v>515</v>
      </c>
      <c r="C1832" s="2019"/>
      <c r="D1832" s="2019"/>
      <c r="E1832" s="2020"/>
      <c r="F1832" s="1243">
        <f>SUM(F1830:F1831)</f>
        <v>49140000</v>
      </c>
      <c r="G1832" s="1254"/>
      <c r="H1832" s="68"/>
    </row>
    <row r="1833" spans="1:8" x14ac:dyDescent="0.25">
      <c r="A1833" s="1233" t="s">
        <v>1687</v>
      </c>
      <c r="B1833" s="1265" t="s">
        <v>1271</v>
      </c>
      <c r="C1833" s="1245"/>
      <c r="D1833" s="1246"/>
      <c r="E1833" s="1242"/>
      <c r="F1833" s="1247"/>
      <c r="G1833" s="1232"/>
      <c r="H1833" s="68"/>
    </row>
    <row r="1834" spans="1:8" x14ac:dyDescent="0.25">
      <c r="A1834" s="1242"/>
      <c r="B1834" s="911" t="s">
        <v>1281</v>
      </c>
      <c r="C1834" s="1229">
        <v>632</v>
      </c>
      <c r="D1834" s="1230" t="s">
        <v>1275</v>
      </c>
      <c r="E1834" s="945">
        <v>152000</v>
      </c>
      <c r="F1834" s="1238">
        <f>E1834*C1834</f>
        <v>96064000</v>
      </c>
      <c r="G1834" s="1232"/>
      <c r="H1834" s="68"/>
    </row>
    <row r="1835" spans="1:8" x14ac:dyDescent="0.25">
      <c r="A1835" s="1242"/>
      <c r="B1835" s="911" t="s">
        <v>1280</v>
      </c>
      <c r="C1835" s="1229">
        <v>63</v>
      </c>
      <c r="D1835" s="1230" t="s">
        <v>767</v>
      </c>
      <c r="E1835" s="945">
        <v>230000</v>
      </c>
      <c r="F1835" s="1238">
        <f t="shared" ref="F1835:F1840" si="45">E1835*C1835</f>
        <v>14490000</v>
      </c>
      <c r="G1835" s="1232"/>
      <c r="H1835" s="68"/>
    </row>
    <row r="1836" spans="1:8" x14ac:dyDescent="0.25">
      <c r="A1836" s="1242"/>
      <c r="B1836" s="1241" t="s">
        <v>1273</v>
      </c>
      <c r="C1836" s="1239">
        <v>892</v>
      </c>
      <c r="D1836" s="1236" t="s">
        <v>154</v>
      </c>
      <c r="E1836" s="1237">
        <v>3000</v>
      </c>
      <c r="F1836" s="1238">
        <f t="shared" si="45"/>
        <v>2676000</v>
      </c>
      <c r="G1836" s="1232"/>
      <c r="H1836" s="68"/>
    </row>
    <row r="1837" spans="1:8" x14ac:dyDescent="0.25">
      <c r="A1837" s="1233"/>
      <c r="B1837" s="1241" t="s">
        <v>2746</v>
      </c>
      <c r="C1837" s="1239">
        <v>6</v>
      </c>
      <c r="D1837" s="1236" t="s">
        <v>106</v>
      </c>
      <c r="E1837" s="1237">
        <v>96000</v>
      </c>
      <c r="F1837" s="1238">
        <f t="shared" si="45"/>
        <v>576000</v>
      </c>
      <c r="G1837" s="1232"/>
      <c r="H1837" s="68"/>
    </row>
    <row r="1838" spans="1:8" x14ac:dyDescent="0.25">
      <c r="A1838" s="1266"/>
      <c r="B1838" s="1255" t="s">
        <v>2747</v>
      </c>
      <c r="C1838" s="1239">
        <v>844</v>
      </c>
      <c r="D1838" s="1236" t="s">
        <v>106</v>
      </c>
      <c r="E1838" s="1237">
        <v>31000</v>
      </c>
      <c r="F1838" s="1238">
        <f t="shared" si="45"/>
        <v>26164000</v>
      </c>
      <c r="G1838" s="1232"/>
      <c r="H1838" s="68"/>
    </row>
    <row r="1839" spans="1:8" x14ac:dyDescent="0.25">
      <c r="A1839" s="1266"/>
      <c r="B1839" s="1255" t="s">
        <v>1276</v>
      </c>
      <c r="C1839" s="1256">
        <v>1</v>
      </c>
      <c r="D1839" s="1257" t="s">
        <v>106</v>
      </c>
      <c r="E1839" s="1258">
        <v>250000</v>
      </c>
      <c r="F1839" s="1252">
        <f>E1839*C1839</f>
        <v>250000</v>
      </c>
      <c r="G1839" s="1232"/>
      <c r="H1839" s="68"/>
    </row>
    <row r="1840" spans="1:8" ht="15.75" thickBot="1" x14ac:dyDescent="0.3">
      <c r="A1840" s="1240"/>
      <c r="B1840" s="1255" t="s">
        <v>1277</v>
      </c>
      <c r="C1840" s="1256">
        <v>1</v>
      </c>
      <c r="D1840" s="1257" t="s">
        <v>106</v>
      </c>
      <c r="E1840" s="1258">
        <v>500000</v>
      </c>
      <c r="F1840" s="1252">
        <f t="shared" si="45"/>
        <v>500000</v>
      </c>
      <c r="G1840" s="1232"/>
      <c r="H1840" s="68"/>
    </row>
    <row r="1841" spans="1:12" ht="15.75" thickBot="1" x14ac:dyDescent="0.3">
      <c r="A1841" s="1245"/>
      <c r="B1841" s="2015" t="s">
        <v>515</v>
      </c>
      <c r="C1841" s="2016"/>
      <c r="D1841" s="2016"/>
      <c r="E1841" s="2017"/>
      <c r="F1841" s="1243">
        <f>SUM(F1834:F1840)</f>
        <v>140720000</v>
      </c>
      <c r="G1841" s="1254"/>
      <c r="H1841" s="68"/>
    </row>
    <row r="1842" spans="1:12" ht="15.75" thickBot="1" x14ac:dyDescent="0.3">
      <c r="A1842" s="1245"/>
      <c r="B1842" s="2015" t="s">
        <v>26</v>
      </c>
      <c r="C1842" s="2016"/>
      <c r="D1842" s="2016"/>
      <c r="E1842" s="2017"/>
      <c r="F1842" s="1243">
        <f>F1841+F1832+F1828</f>
        <v>193707600</v>
      </c>
      <c r="G1842" s="1254"/>
      <c r="H1842" s="68"/>
      <c r="L1842" s="139"/>
    </row>
    <row r="1843" spans="1:12" x14ac:dyDescent="0.25">
      <c r="A1843" s="1969" t="s">
        <v>516</v>
      </c>
      <c r="B1843" s="1969"/>
      <c r="C1843" s="1259" t="s">
        <v>27</v>
      </c>
      <c r="D1843" s="1970" t="s">
        <v>1224</v>
      </c>
      <c r="E1843" s="1970"/>
      <c r="F1843" s="1970"/>
      <c r="G1843" s="1259"/>
    </row>
    <row r="1844" spans="1:12" x14ac:dyDescent="0.25">
      <c r="A1844" s="1969" t="s">
        <v>28</v>
      </c>
      <c r="B1844" s="1969"/>
      <c r="C1844" s="1259"/>
      <c r="D1844" s="1971" t="s">
        <v>2443</v>
      </c>
      <c r="E1844" s="1971"/>
      <c r="F1844" s="1971"/>
      <c r="G1844" s="1259"/>
    </row>
    <row r="1845" spans="1:12" x14ac:dyDescent="0.25">
      <c r="A1845" s="1261"/>
      <c r="B1845" s="1262"/>
      <c r="C1845" s="1259"/>
      <c r="D1845" s="1260"/>
      <c r="E1845" s="948"/>
      <c r="F1845" s="948"/>
      <c r="G1845" s="1259"/>
    </row>
    <row r="1846" spans="1:12" x14ac:dyDescent="0.25">
      <c r="A1846" s="1261"/>
      <c r="B1846" s="1262"/>
      <c r="C1846" s="1259"/>
      <c r="D1846" s="1260"/>
      <c r="E1846" s="948"/>
      <c r="F1846" s="948"/>
      <c r="G1846" s="1259"/>
    </row>
    <row r="1847" spans="1:12" x14ac:dyDescent="0.25">
      <c r="A1847" s="1969"/>
      <c r="B1847" s="1969"/>
      <c r="C1847" s="1259"/>
      <c r="D1847" s="1260"/>
      <c r="E1847" s="1969"/>
      <c r="F1847" s="1969"/>
      <c r="G1847" s="1259"/>
    </row>
    <row r="1848" spans="1:12" x14ac:dyDescent="0.25">
      <c r="A1848" s="1969" t="s">
        <v>29</v>
      </c>
      <c r="B1848" s="1969"/>
      <c r="C1848" s="1259"/>
      <c r="D1848" s="1969" t="s">
        <v>517</v>
      </c>
      <c r="E1848" s="1969"/>
      <c r="F1848" s="1969"/>
      <c r="G1848" s="1259"/>
    </row>
    <row r="1849" spans="1:12" x14ac:dyDescent="0.25">
      <c r="A1849" s="1928" t="s">
        <v>1285</v>
      </c>
      <c r="B1849" s="1928"/>
      <c r="C1849" s="1928"/>
      <c r="D1849" s="1928"/>
      <c r="E1849" s="1928"/>
      <c r="F1849" s="1928"/>
      <c r="G1849" s="1928"/>
    </row>
    <row r="1850" spans="1:12" x14ac:dyDescent="0.25">
      <c r="A1850" s="1928" t="s">
        <v>1</v>
      </c>
      <c r="B1850" s="1928"/>
      <c r="C1850" s="1928"/>
      <c r="D1850" s="1928"/>
      <c r="E1850" s="1928"/>
      <c r="F1850" s="1928"/>
      <c r="G1850" s="1928"/>
    </row>
    <row r="1851" spans="1:12" x14ac:dyDescent="0.25">
      <c r="A1851" s="1928" t="s">
        <v>2398</v>
      </c>
      <c r="B1851" s="1928"/>
      <c r="C1851" s="1928"/>
      <c r="D1851" s="1928"/>
      <c r="E1851" s="1928"/>
      <c r="F1851" s="1928"/>
      <c r="G1851" s="1928"/>
    </row>
    <row r="1852" spans="1:12" x14ac:dyDescent="0.25">
      <c r="A1852" s="329"/>
      <c r="B1852" s="330"/>
      <c r="C1852" s="331"/>
      <c r="D1852" s="331"/>
      <c r="E1852" s="332"/>
      <c r="F1852" s="332"/>
      <c r="G1852" s="332"/>
    </row>
    <row r="1853" spans="1:12" x14ac:dyDescent="0.25">
      <c r="A1853" s="332" t="s">
        <v>1263</v>
      </c>
      <c r="B1853" s="333"/>
      <c r="C1853" s="334"/>
      <c r="D1853" s="334"/>
      <c r="E1853" s="335"/>
      <c r="F1853" s="335"/>
      <c r="G1853" s="332"/>
    </row>
    <row r="1854" spans="1:12" ht="24.75" x14ac:dyDescent="0.25">
      <c r="A1854" s="336" t="s">
        <v>659</v>
      </c>
      <c r="B1854" s="337" t="s">
        <v>1283</v>
      </c>
      <c r="C1854" s="334"/>
      <c r="D1854" s="334"/>
      <c r="E1854" s="335" t="s">
        <v>1264</v>
      </c>
      <c r="F1854" s="335"/>
      <c r="G1854" s="332"/>
    </row>
    <row r="1855" spans="1:12" ht="45" x14ac:dyDescent="0.25">
      <c r="A1855" s="338" t="s">
        <v>685</v>
      </c>
      <c r="B1855" s="339" t="s">
        <v>2943</v>
      </c>
      <c r="C1855" s="334"/>
      <c r="D1855" s="334"/>
      <c r="E1855" s="335" t="s">
        <v>1265</v>
      </c>
      <c r="F1855" s="335"/>
      <c r="G1855" s="336"/>
    </row>
    <row r="1856" spans="1:12" ht="105" x14ac:dyDescent="0.25">
      <c r="A1856" s="338" t="s">
        <v>1266</v>
      </c>
      <c r="B1856" s="339" t="s">
        <v>3501</v>
      </c>
      <c r="C1856" s="334"/>
      <c r="D1856" s="334"/>
      <c r="E1856" s="335"/>
      <c r="F1856" s="335"/>
      <c r="G1856" s="336"/>
    </row>
    <row r="1857" spans="1:7" x14ac:dyDescent="0.25">
      <c r="A1857" s="332" t="s">
        <v>1267</v>
      </c>
      <c r="B1857" s="333" t="s">
        <v>60</v>
      </c>
      <c r="C1857" s="334"/>
      <c r="D1857" s="334"/>
      <c r="E1857" s="332"/>
      <c r="F1857" s="332"/>
      <c r="G1857" s="332"/>
    </row>
    <row r="1858" spans="1:7" x14ac:dyDescent="0.25">
      <c r="A1858" s="336" t="s">
        <v>61</v>
      </c>
      <c r="B1858" s="337" t="s">
        <v>62</v>
      </c>
      <c r="C1858" s="334"/>
      <c r="D1858" s="334"/>
      <c r="E1858" s="336"/>
      <c r="F1858" s="336"/>
      <c r="G1858" s="336"/>
    </row>
    <row r="1859" spans="1:7" x14ac:dyDescent="0.25">
      <c r="A1859" s="340"/>
      <c r="B1859" s="341"/>
      <c r="C1859" s="342"/>
      <c r="D1859" s="342"/>
      <c r="E1859" s="340"/>
      <c r="F1859" s="340"/>
      <c r="G1859" s="340"/>
    </row>
    <row r="1860" spans="1:7" ht="24" x14ac:dyDescent="0.25">
      <c r="A1860" s="343" t="s">
        <v>30</v>
      </c>
      <c r="B1860" s="343" t="s">
        <v>11</v>
      </c>
      <c r="C1860" s="1929" t="s">
        <v>12</v>
      </c>
      <c r="D1860" s="1930"/>
      <c r="E1860" s="121" t="s">
        <v>13</v>
      </c>
      <c r="F1860" s="344" t="s">
        <v>14</v>
      </c>
      <c r="G1860" s="345" t="s">
        <v>256</v>
      </c>
    </row>
    <row r="1861" spans="1:7" x14ac:dyDescent="0.25">
      <c r="A1861" s="161">
        <v>1</v>
      </c>
      <c r="B1861" s="162">
        <v>2</v>
      </c>
      <c r="C1861" s="1931">
        <v>3</v>
      </c>
      <c r="D1861" s="1932"/>
      <c r="E1861" s="2">
        <v>4</v>
      </c>
      <c r="F1861" s="169">
        <v>5</v>
      </c>
      <c r="G1861" s="166">
        <v>7</v>
      </c>
    </row>
    <row r="1862" spans="1:7" x14ac:dyDescent="0.25">
      <c r="A1862" s="346" t="s">
        <v>1679</v>
      </c>
      <c r="B1862" s="122" t="s">
        <v>1284</v>
      </c>
      <c r="C1862" s="123"/>
      <c r="D1862" s="124"/>
      <c r="E1862" s="125"/>
      <c r="F1862" s="126"/>
      <c r="G1862" s="166"/>
    </row>
    <row r="1863" spans="1:7" x14ac:dyDescent="0.25">
      <c r="A1863" s="346" t="s">
        <v>1680</v>
      </c>
      <c r="B1863" s="122" t="s">
        <v>1658</v>
      </c>
      <c r="C1863" s="123"/>
      <c r="D1863" s="124"/>
      <c r="E1863" s="125"/>
      <c r="F1863" s="126"/>
      <c r="G1863" s="166"/>
    </row>
    <row r="1864" spans="1:7" ht="24" x14ac:dyDescent="0.25">
      <c r="A1864" s="346" t="s">
        <v>1681</v>
      </c>
      <c r="B1864" s="122" t="s">
        <v>1279</v>
      </c>
      <c r="C1864" s="347"/>
      <c r="D1864" s="124"/>
      <c r="E1864" s="125"/>
      <c r="F1864" s="126"/>
      <c r="G1864" s="166"/>
    </row>
    <row r="1865" spans="1:7" ht="15.75" thickBot="1" x14ac:dyDescent="0.3">
      <c r="A1865" s="220"/>
      <c r="B1865" s="127" t="s">
        <v>1660</v>
      </c>
      <c r="C1865" s="347">
        <v>1</v>
      </c>
      <c r="D1865" s="124" t="s">
        <v>444</v>
      </c>
      <c r="E1865" s="23">
        <v>1600000</v>
      </c>
      <c r="F1865" s="126">
        <f>E1865*C1865</f>
        <v>1600000</v>
      </c>
      <c r="G1865" s="166"/>
    </row>
    <row r="1866" spans="1:7" ht="15.75" thickBot="1" x14ac:dyDescent="0.3">
      <c r="A1866" s="171"/>
      <c r="B1866" s="1933" t="s">
        <v>515</v>
      </c>
      <c r="C1866" s="1934"/>
      <c r="D1866" s="1934"/>
      <c r="E1866" s="1935"/>
      <c r="F1866" s="132">
        <f>SUM(F1865:F1865)</f>
        <v>1600000</v>
      </c>
      <c r="G1866" s="166"/>
    </row>
    <row r="1867" spans="1:7" x14ac:dyDescent="0.25">
      <c r="A1867" s="346" t="s">
        <v>1682</v>
      </c>
      <c r="B1867" s="349" t="s">
        <v>1268</v>
      </c>
      <c r="C1867" s="174"/>
      <c r="D1867" s="175"/>
      <c r="E1867" s="171"/>
      <c r="F1867" s="133"/>
      <c r="G1867" s="166"/>
    </row>
    <row r="1868" spans="1:7" x14ac:dyDescent="0.25">
      <c r="A1868" s="519"/>
      <c r="B1868" s="1565" t="s">
        <v>1269</v>
      </c>
      <c r="C1868" s="1556">
        <v>20</v>
      </c>
      <c r="D1868" s="199" t="s">
        <v>392</v>
      </c>
      <c r="E1868" s="1566">
        <v>150000</v>
      </c>
      <c r="F1868" s="1557">
        <f>E1868*C1868</f>
        <v>3000000</v>
      </c>
      <c r="G1868" s="520"/>
    </row>
    <row r="1869" spans="1:7" x14ac:dyDescent="0.25">
      <c r="A1869" s="519"/>
      <c r="B1869" s="351" t="s">
        <v>1270</v>
      </c>
      <c r="C1869" s="352">
        <v>151</v>
      </c>
      <c r="D1869" s="199" t="s">
        <v>392</v>
      </c>
      <c r="E1869" s="140">
        <v>120000</v>
      </c>
      <c r="F1869" s="131">
        <f>E1869*C1869</f>
        <v>18120000</v>
      </c>
      <c r="G1869" s="520"/>
    </row>
    <row r="1870" spans="1:7" ht="15.75" thickBot="1" x14ac:dyDescent="0.3">
      <c r="A1870" s="346"/>
      <c r="B1870" s="351" t="s">
        <v>1667</v>
      </c>
      <c r="C1870" s="521">
        <v>176</v>
      </c>
      <c r="D1870" s="521" t="s">
        <v>392</v>
      </c>
      <c r="E1870" s="140">
        <v>120000</v>
      </c>
      <c r="F1870" s="131">
        <f>E1870*C1870</f>
        <v>21120000</v>
      </c>
      <c r="G1870" s="520"/>
    </row>
    <row r="1871" spans="1:7" ht="15.75" thickBot="1" x14ac:dyDescent="0.3">
      <c r="A1871" s="171"/>
      <c r="B1871" s="1933" t="s">
        <v>515</v>
      </c>
      <c r="C1871" s="1934"/>
      <c r="D1871" s="1934"/>
      <c r="E1871" s="1935"/>
      <c r="F1871" s="132">
        <f>SUM(F1868:F1870)</f>
        <v>42240000</v>
      </c>
      <c r="G1871" s="354"/>
    </row>
    <row r="1872" spans="1:7" x14ac:dyDescent="0.25">
      <c r="A1872" s="346"/>
      <c r="B1872" s="168"/>
      <c r="C1872" s="171"/>
      <c r="D1872" s="171"/>
      <c r="E1872" s="144"/>
      <c r="F1872" s="522"/>
      <c r="G1872" s="166"/>
    </row>
    <row r="1873" spans="1:9" x14ac:dyDescent="0.25">
      <c r="A1873" s="346" t="s">
        <v>2944</v>
      </c>
      <c r="B1873" s="316" t="s">
        <v>1271</v>
      </c>
      <c r="C1873" s="174"/>
      <c r="D1873" s="175"/>
      <c r="E1873" s="171"/>
      <c r="F1873" s="133"/>
      <c r="G1873" s="166"/>
    </row>
    <row r="1874" spans="1:9" ht="16.5" x14ac:dyDescent="0.25">
      <c r="A1874" s="355"/>
      <c r="B1874" s="143" t="s">
        <v>1668</v>
      </c>
      <c r="C1874" s="174">
        <v>30</v>
      </c>
      <c r="D1874" s="175" t="s">
        <v>767</v>
      </c>
      <c r="E1874" s="144">
        <v>318000</v>
      </c>
      <c r="F1874" s="133">
        <f>E1874*C1874</f>
        <v>9540000</v>
      </c>
      <c r="G1874" s="166"/>
    </row>
    <row r="1875" spans="1:9" ht="16.5" x14ac:dyDescent="0.25">
      <c r="A1875" s="355"/>
      <c r="B1875" s="145" t="s">
        <v>1674</v>
      </c>
      <c r="C1875" s="24">
        <v>1</v>
      </c>
      <c r="D1875" s="1619" t="s">
        <v>767</v>
      </c>
      <c r="E1875" s="144">
        <v>3807000</v>
      </c>
      <c r="F1875" s="133">
        <f t="shared" ref="F1875:F1878" si="46">E1875*C1875</f>
        <v>3807000</v>
      </c>
      <c r="G1875" s="367"/>
    </row>
    <row r="1876" spans="1:9" ht="16.5" x14ac:dyDescent="0.25">
      <c r="A1876" s="355"/>
      <c r="B1876" s="146" t="s">
        <v>1675</v>
      </c>
      <c r="C1876" s="84">
        <v>5</v>
      </c>
      <c r="D1876" s="1619" t="s">
        <v>1274</v>
      </c>
      <c r="E1876" s="144">
        <v>18000</v>
      </c>
      <c r="F1876" s="133">
        <f t="shared" si="46"/>
        <v>90000</v>
      </c>
      <c r="G1876" s="367"/>
    </row>
    <row r="1877" spans="1:9" ht="16.5" x14ac:dyDescent="0.25">
      <c r="A1877" s="355"/>
      <c r="B1877" s="146" t="s">
        <v>1676</v>
      </c>
      <c r="C1877" s="84">
        <v>0.5</v>
      </c>
      <c r="D1877" s="1619" t="s">
        <v>767</v>
      </c>
      <c r="E1877" s="144">
        <v>2350000</v>
      </c>
      <c r="F1877" s="133">
        <f t="shared" si="46"/>
        <v>1175000</v>
      </c>
      <c r="G1877" s="871"/>
    </row>
    <row r="1878" spans="1:9" ht="16.5" x14ac:dyDescent="0.25">
      <c r="A1878" s="355"/>
      <c r="B1878" s="145" t="s">
        <v>1733</v>
      </c>
      <c r="C1878" s="84">
        <v>5</v>
      </c>
      <c r="D1878" s="1619" t="s">
        <v>266</v>
      </c>
      <c r="E1878" s="144">
        <v>151000</v>
      </c>
      <c r="F1878" s="133">
        <f t="shared" si="46"/>
        <v>755000</v>
      </c>
      <c r="G1878" s="871"/>
    </row>
    <row r="1879" spans="1:9" ht="16.5" x14ac:dyDescent="0.25">
      <c r="A1879" s="355"/>
      <c r="B1879" s="145" t="s">
        <v>1677</v>
      </c>
      <c r="C1879" s="84">
        <v>11</v>
      </c>
      <c r="D1879" s="175" t="s">
        <v>266</v>
      </c>
      <c r="E1879" s="144">
        <v>1172000</v>
      </c>
      <c r="F1879" s="133">
        <f>E1879*C1879</f>
        <v>12892000</v>
      </c>
      <c r="G1879" s="166"/>
    </row>
    <row r="1880" spans="1:9" ht="16.5" x14ac:dyDescent="0.25">
      <c r="A1880" s="355"/>
      <c r="B1880" s="146" t="s">
        <v>1678</v>
      </c>
      <c r="C1880" s="84">
        <v>16</v>
      </c>
      <c r="D1880" s="175" t="s">
        <v>1274</v>
      </c>
      <c r="E1880" s="144">
        <v>61000</v>
      </c>
      <c r="F1880" s="133">
        <f>E1880*C1880</f>
        <v>976000</v>
      </c>
      <c r="G1880" s="166"/>
    </row>
    <row r="1881" spans="1:9" ht="16.5" x14ac:dyDescent="0.25">
      <c r="A1881" s="355"/>
      <c r="B1881" s="145" t="s">
        <v>1665</v>
      </c>
      <c r="C1881" s="84">
        <v>7511</v>
      </c>
      <c r="D1881" s="175" t="s">
        <v>1671</v>
      </c>
      <c r="E1881" s="144">
        <v>3000</v>
      </c>
      <c r="F1881" s="133">
        <f>E1881*C1881</f>
        <v>22533000</v>
      </c>
      <c r="G1881" s="166"/>
      <c r="I1881" s="23"/>
    </row>
    <row r="1882" spans="1:9" ht="16.5" x14ac:dyDescent="0.25">
      <c r="A1882" s="355"/>
      <c r="B1882" s="146" t="s">
        <v>1672</v>
      </c>
      <c r="C1882" s="84">
        <v>9</v>
      </c>
      <c r="D1882" s="175" t="s">
        <v>767</v>
      </c>
      <c r="E1882" s="144">
        <v>210000</v>
      </c>
      <c r="F1882" s="133">
        <f t="shared" ref="F1882:F1884" si="47">E1882*C1882</f>
        <v>1890000</v>
      </c>
      <c r="G1882" s="166"/>
      <c r="I1882" s="23"/>
    </row>
    <row r="1883" spans="1:9" ht="33" x14ac:dyDescent="0.25">
      <c r="A1883" s="355"/>
      <c r="B1883" s="1567" t="s">
        <v>3500</v>
      </c>
      <c r="C1883" s="84">
        <v>14</v>
      </c>
      <c r="D1883" s="175" t="s">
        <v>767</v>
      </c>
      <c r="E1883" s="144">
        <v>281000</v>
      </c>
      <c r="F1883" s="133">
        <f t="shared" si="47"/>
        <v>3934000</v>
      </c>
      <c r="G1883" s="166"/>
    </row>
    <row r="1884" spans="1:9" ht="16.5" x14ac:dyDescent="0.25">
      <c r="A1884" s="355"/>
      <c r="B1884" s="1039" t="s">
        <v>2929</v>
      </c>
      <c r="C1884" s="114">
        <v>1</v>
      </c>
      <c r="D1884" s="525" t="s">
        <v>213</v>
      </c>
      <c r="E1884" s="526">
        <v>2000000</v>
      </c>
      <c r="F1884" s="133">
        <f t="shared" si="47"/>
        <v>2000000</v>
      </c>
      <c r="G1884" s="166"/>
    </row>
    <row r="1885" spans="1:9" ht="16.5" x14ac:dyDescent="0.25">
      <c r="A1885" s="355"/>
      <c r="B1885" s="143" t="s">
        <v>1664</v>
      </c>
      <c r="C1885" s="105">
        <v>5</v>
      </c>
      <c r="D1885" s="175" t="s">
        <v>767</v>
      </c>
      <c r="E1885" s="144">
        <v>305000</v>
      </c>
      <c r="F1885" s="133">
        <f>E1885*C1885</f>
        <v>1525000</v>
      </c>
      <c r="G1885" s="166"/>
    </row>
    <row r="1886" spans="1:9" ht="16.5" x14ac:dyDescent="0.25">
      <c r="A1886" s="355"/>
      <c r="B1886" s="143" t="s">
        <v>1272</v>
      </c>
      <c r="C1886" s="105">
        <v>2</v>
      </c>
      <c r="D1886" s="175" t="s">
        <v>767</v>
      </c>
      <c r="E1886" s="144">
        <v>230000</v>
      </c>
      <c r="F1886" s="133">
        <f t="shared" ref="F1886:F1888" si="48">E1886*C1886</f>
        <v>460000</v>
      </c>
      <c r="G1886" s="166"/>
    </row>
    <row r="1887" spans="1:9" ht="16.5" x14ac:dyDescent="0.25">
      <c r="A1887" s="355"/>
      <c r="B1887" s="143" t="s">
        <v>1666</v>
      </c>
      <c r="C1887" s="161">
        <v>1</v>
      </c>
      <c r="D1887" s="161" t="s">
        <v>106</v>
      </c>
      <c r="E1887" s="141">
        <v>250000</v>
      </c>
      <c r="F1887" s="133">
        <f t="shared" si="48"/>
        <v>250000</v>
      </c>
      <c r="G1887" s="166"/>
    </row>
    <row r="1888" spans="1:9" ht="17.25" thickBot="1" x14ac:dyDescent="0.3">
      <c r="A1888" s="355"/>
      <c r="B1888" s="143" t="s">
        <v>1277</v>
      </c>
      <c r="C1888" s="161">
        <v>1</v>
      </c>
      <c r="D1888" s="161" t="s">
        <v>106</v>
      </c>
      <c r="E1888" s="141">
        <v>500000</v>
      </c>
      <c r="F1888" s="133">
        <f t="shared" si="48"/>
        <v>500000</v>
      </c>
      <c r="G1888" s="166"/>
    </row>
    <row r="1889" spans="1:18" ht="15.75" thickBot="1" x14ac:dyDescent="0.3">
      <c r="A1889" s="171"/>
      <c r="B1889" s="1933" t="s">
        <v>515</v>
      </c>
      <c r="C1889" s="1934"/>
      <c r="D1889" s="1934"/>
      <c r="E1889" s="1935"/>
      <c r="F1889" s="132">
        <f>SUM(F1874:F1888)</f>
        <v>62327000</v>
      </c>
      <c r="G1889" s="166"/>
    </row>
    <row r="1890" spans="1:18" ht="16.5" x14ac:dyDescent="0.25">
      <c r="A1890" s="355"/>
      <c r="B1890" s="143"/>
      <c r="C1890" s="174"/>
      <c r="D1890" s="175"/>
      <c r="E1890" s="144"/>
      <c r="F1890" s="133"/>
      <c r="G1890" s="166"/>
    </row>
    <row r="1891" spans="1:18" x14ac:dyDescent="0.25">
      <c r="A1891" s="346" t="s">
        <v>3429</v>
      </c>
      <c r="B1891" s="316" t="s">
        <v>1669</v>
      </c>
      <c r="C1891" s="174"/>
      <c r="D1891" s="175"/>
      <c r="E1891" s="144"/>
      <c r="F1891" s="133"/>
      <c r="G1891" s="166"/>
    </row>
    <row r="1892" spans="1:18" ht="15.75" thickBot="1" x14ac:dyDescent="0.3">
      <c r="A1892" s="346"/>
      <c r="B1892" s="201" t="s">
        <v>1670</v>
      </c>
      <c r="C1892" s="161">
        <v>4</v>
      </c>
      <c r="D1892" s="161" t="s">
        <v>213</v>
      </c>
      <c r="E1892" s="141">
        <v>550000</v>
      </c>
      <c r="F1892" s="125">
        <f>E1892*C1892</f>
        <v>2200000</v>
      </c>
      <c r="G1892" s="166"/>
    </row>
    <row r="1893" spans="1:18" ht="15.75" thickBot="1" x14ac:dyDescent="0.3">
      <c r="A1893" s="171"/>
      <c r="B1893" s="1933" t="s">
        <v>515</v>
      </c>
      <c r="C1893" s="1934"/>
      <c r="D1893" s="1934"/>
      <c r="E1893" s="1935"/>
      <c r="F1893" s="132">
        <f>SUM(F1892:F1892)</f>
        <v>2200000</v>
      </c>
      <c r="G1893" s="166"/>
    </row>
    <row r="1894" spans="1:18" ht="15.75" thickBot="1" x14ac:dyDescent="0.3">
      <c r="A1894" s="174"/>
      <c r="B1894" s="1933"/>
      <c r="C1894" s="1934"/>
      <c r="D1894" s="1934"/>
      <c r="E1894" s="1935"/>
      <c r="F1894" s="132"/>
      <c r="G1894" s="354"/>
    </row>
    <row r="1895" spans="1:18" ht="15.75" thickBot="1" x14ac:dyDescent="0.3">
      <c r="A1895" s="174"/>
      <c r="B1895" s="1933" t="s">
        <v>26</v>
      </c>
      <c r="C1895" s="1934"/>
      <c r="D1895" s="1934"/>
      <c r="E1895" s="1935"/>
      <c r="F1895" s="132">
        <f>F1893+F1889+F1871+F1866</f>
        <v>108367000</v>
      </c>
      <c r="G1895" s="354"/>
    </row>
    <row r="1896" spans="1:18" x14ac:dyDescent="0.25">
      <c r="A1896" s="1926" t="s">
        <v>516</v>
      </c>
      <c r="B1896" s="1926"/>
      <c r="C1896" s="152" t="s">
        <v>27</v>
      </c>
      <c r="D1896" s="1926" t="s">
        <v>3654</v>
      </c>
      <c r="E1896" s="1926"/>
      <c r="F1896" s="1926"/>
      <c r="G1896" s="152"/>
    </row>
    <row r="1897" spans="1:18" x14ac:dyDescent="0.25">
      <c r="A1897" s="1926" t="s">
        <v>28</v>
      </c>
      <c r="B1897" s="1926"/>
      <c r="C1897" s="152"/>
      <c r="D1897" s="1927" t="s">
        <v>3565</v>
      </c>
      <c r="E1897" s="1927"/>
      <c r="F1897" s="1927"/>
      <c r="G1897" s="152"/>
    </row>
    <row r="1898" spans="1:18" x14ac:dyDescent="0.25">
      <c r="A1898" s="150"/>
      <c r="B1898" s="151"/>
      <c r="C1898" s="152"/>
      <c r="D1898" s="153"/>
      <c r="E1898" s="1770"/>
      <c r="F1898" s="182"/>
      <c r="G1898" s="152"/>
    </row>
    <row r="1899" spans="1:18" x14ac:dyDescent="0.25">
      <c r="A1899" s="150"/>
      <c r="B1899" s="151"/>
      <c r="C1899" s="152"/>
      <c r="D1899" s="153"/>
      <c r="E1899" s="1770"/>
      <c r="F1899" s="182"/>
      <c r="G1899" s="152"/>
    </row>
    <row r="1900" spans="1:18" x14ac:dyDescent="0.25">
      <c r="A1900" s="1926" t="s">
        <v>29</v>
      </c>
      <c r="B1900" s="1926"/>
      <c r="C1900" s="152"/>
      <c r="D1900" s="1926" t="s">
        <v>3564</v>
      </c>
      <c r="E1900" s="1926"/>
      <c r="F1900" s="1926"/>
      <c r="G1900" s="152"/>
    </row>
    <row r="1901" spans="1:18" x14ac:dyDescent="0.25">
      <c r="A1901" s="153"/>
      <c r="B1901" s="524"/>
      <c r="C1901" s="524"/>
      <c r="D1901" s="524"/>
      <c r="E1901" s="524"/>
      <c r="F1901" s="523"/>
      <c r="G1901" s="148"/>
    </row>
    <row r="1902" spans="1:18" x14ac:dyDescent="0.25">
      <c r="A1902" s="2024" t="s">
        <v>0</v>
      </c>
      <c r="B1902" s="2024"/>
      <c r="C1902" s="2024"/>
      <c r="D1902" s="2024"/>
      <c r="E1902" s="2024"/>
      <c r="F1902" s="2024"/>
      <c r="G1902" s="2024"/>
      <c r="H1902" s="1069"/>
      <c r="I1902" s="1069"/>
      <c r="J1902" s="1069"/>
      <c r="K1902" s="1069"/>
      <c r="L1902" s="1069"/>
      <c r="M1902" s="1069"/>
      <c r="R1902" s="139"/>
    </row>
    <row r="1903" spans="1:18" x14ac:dyDescent="0.25">
      <c r="A1903" s="2024" t="s">
        <v>1</v>
      </c>
      <c r="B1903" s="2024"/>
      <c r="C1903" s="2024"/>
      <c r="D1903" s="2024"/>
      <c r="E1903" s="2024"/>
      <c r="F1903" s="2024"/>
      <c r="G1903" s="2024"/>
      <c r="H1903" s="1069"/>
      <c r="I1903" s="1069"/>
      <c r="J1903" s="1069"/>
      <c r="K1903" s="1069"/>
      <c r="L1903" s="1069"/>
      <c r="M1903" s="1069"/>
      <c r="R1903" s="139"/>
    </row>
    <row r="1904" spans="1:18" x14ac:dyDescent="0.25">
      <c r="A1904" s="2024" t="s">
        <v>2398</v>
      </c>
      <c r="B1904" s="2024"/>
      <c r="C1904" s="2024"/>
      <c r="D1904" s="2024"/>
      <c r="E1904" s="2024"/>
      <c r="F1904" s="2024"/>
      <c r="G1904" s="2024"/>
      <c r="H1904" s="1069"/>
      <c r="I1904" s="1069"/>
      <c r="J1904" s="1069"/>
      <c r="K1904" s="1069"/>
      <c r="L1904" s="1069"/>
      <c r="M1904" s="1069"/>
      <c r="R1904" s="139"/>
    </row>
    <row r="1905" spans="1:18" x14ac:dyDescent="0.25">
      <c r="A1905" s="187"/>
      <c r="B1905" s="187"/>
      <c r="C1905" s="1070"/>
      <c r="D1905" s="1070"/>
      <c r="E1905" s="187"/>
      <c r="F1905" s="187"/>
      <c r="G1905" s="564"/>
      <c r="H1905" s="564"/>
      <c r="I1905" s="564"/>
      <c r="J1905" s="564"/>
      <c r="K1905" s="564"/>
      <c r="L1905" s="564"/>
      <c r="M1905" s="564"/>
      <c r="R1905" s="139"/>
    </row>
    <row r="1906" spans="1:18" x14ac:dyDescent="0.25">
      <c r="A1906" s="768" t="s">
        <v>994</v>
      </c>
      <c r="B1906" s="768" t="s">
        <v>3095</v>
      </c>
      <c r="C1906" s="1070"/>
      <c r="D1906" s="1070"/>
      <c r="E1906" s="1071"/>
      <c r="F1906" s="1071"/>
      <c r="G1906" s="1072"/>
      <c r="H1906" s="1072"/>
      <c r="I1906" s="1072"/>
      <c r="J1906" s="1072"/>
      <c r="K1906" s="1072"/>
      <c r="L1906" s="1072"/>
      <c r="M1906" s="1072"/>
      <c r="R1906" s="139"/>
    </row>
    <row r="1907" spans="1:18" x14ac:dyDescent="0.25">
      <c r="A1907" s="768" t="s">
        <v>1065</v>
      </c>
      <c r="B1907" s="768" t="s">
        <v>3096</v>
      </c>
      <c r="C1907" s="1070"/>
      <c r="D1907" s="1070"/>
      <c r="E1907" s="1073" t="s">
        <v>6</v>
      </c>
      <c r="F1907" s="1073" t="s">
        <v>62</v>
      </c>
      <c r="G1907" s="1074"/>
      <c r="H1907" s="1074"/>
      <c r="I1907" s="1074"/>
      <c r="J1907" s="1074"/>
      <c r="K1907" s="1074"/>
      <c r="L1907" s="1074"/>
      <c r="M1907" s="1074"/>
      <c r="R1907" s="139"/>
    </row>
    <row r="1908" spans="1:18" ht="105" x14ac:dyDescent="0.25">
      <c r="A1908" s="1075" t="s">
        <v>687</v>
      </c>
      <c r="B1908" s="1076" t="s">
        <v>3097</v>
      </c>
      <c r="C1908" s="1077"/>
      <c r="D1908" s="1077"/>
      <c r="E1908" s="1076" t="s">
        <v>319</v>
      </c>
      <c r="F1908" s="1075" t="s">
        <v>62</v>
      </c>
      <c r="G1908" s="1078"/>
      <c r="H1908" s="1078"/>
      <c r="I1908" s="1078"/>
      <c r="J1908" s="1078"/>
      <c r="K1908" s="1078"/>
      <c r="L1908" s="1078"/>
      <c r="M1908" s="1078"/>
      <c r="R1908" s="139"/>
    </row>
    <row r="1909" spans="1:18" x14ac:dyDescent="0.25">
      <c r="A1909" s="768" t="s">
        <v>512</v>
      </c>
      <c r="B1909" s="768" t="s">
        <v>3098</v>
      </c>
      <c r="C1909" s="1070"/>
      <c r="D1909" s="1070"/>
      <c r="E1909" s="1070">
        <v>261</v>
      </c>
      <c r="F1909" s="1070"/>
      <c r="G1909" s="1072"/>
      <c r="H1909" s="1072"/>
      <c r="I1909" s="1072"/>
      <c r="J1909" s="1072"/>
      <c r="K1909" s="1072"/>
      <c r="L1909" s="1072"/>
      <c r="M1909" s="1072"/>
      <c r="R1909" s="139"/>
    </row>
    <row r="1910" spans="1:18" x14ac:dyDescent="0.25">
      <c r="A1910" s="187" t="s">
        <v>395</v>
      </c>
      <c r="B1910" s="187" t="s">
        <v>513</v>
      </c>
      <c r="C1910" s="1070"/>
      <c r="D1910" s="1070"/>
      <c r="E1910" s="187"/>
      <c r="F1910" s="187"/>
      <c r="G1910" s="564"/>
      <c r="H1910" s="564"/>
      <c r="I1910" s="564"/>
      <c r="J1910" s="564"/>
      <c r="K1910" s="564"/>
      <c r="L1910" s="564"/>
      <c r="M1910" s="564"/>
      <c r="R1910" s="139"/>
    </row>
    <row r="1911" spans="1:18" x14ac:dyDescent="0.25">
      <c r="A1911" s="2025" t="s">
        <v>470</v>
      </c>
      <c r="B1911" s="2025"/>
      <c r="C1911" s="1070"/>
      <c r="D1911" s="1070"/>
      <c r="E1911" s="1071"/>
      <c r="F1911" s="187"/>
      <c r="G1911" s="564"/>
      <c r="H1911" s="564"/>
      <c r="I1911" s="564"/>
      <c r="J1911" s="564"/>
      <c r="K1911" s="564"/>
      <c r="L1911" s="564"/>
      <c r="M1911" s="564"/>
      <c r="R1911" s="139"/>
    </row>
    <row r="1912" spans="1:18" ht="30" x14ac:dyDescent="0.25">
      <c r="A1912" s="1079" t="s">
        <v>951</v>
      </c>
      <c r="B1912" s="1079" t="s">
        <v>11</v>
      </c>
      <c r="C1912" s="2026" t="s">
        <v>12</v>
      </c>
      <c r="D1912" s="2026"/>
      <c r="E1912" s="1080" t="s">
        <v>13</v>
      </c>
      <c r="F1912" s="750" t="s">
        <v>14</v>
      </c>
      <c r="G1912" s="750" t="s">
        <v>34</v>
      </c>
      <c r="H1912" s="1081"/>
      <c r="I1912" s="1081"/>
      <c r="J1912" s="1081"/>
      <c r="K1912" s="1081"/>
      <c r="L1912" s="1081"/>
      <c r="M1912" s="1081"/>
      <c r="R1912" s="139"/>
    </row>
    <row r="1913" spans="1:18" x14ac:dyDescent="0.25">
      <c r="A1913" s="272">
        <v>1</v>
      </c>
      <c r="B1913" s="272">
        <v>2</v>
      </c>
      <c r="C1913" s="2027">
        <v>3</v>
      </c>
      <c r="D1913" s="2028"/>
      <c r="E1913" s="1082">
        <v>4</v>
      </c>
      <c r="F1913" s="727">
        <v>5</v>
      </c>
      <c r="G1913" s="711">
        <v>6</v>
      </c>
      <c r="H1913" s="1072"/>
      <c r="I1913" s="1072"/>
      <c r="J1913" s="1072"/>
      <c r="K1913" s="1072"/>
      <c r="L1913" s="1072"/>
      <c r="M1913" s="1072"/>
      <c r="R1913" s="139"/>
    </row>
    <row r="1914" spans="1:18" x14ac:dyDescent="0.25">
      <c r="A1914" s="1083" t="s">
        <v>3099</v>
      </c>
      <c r="B1914" s="1084" t="s">
        <v>397</v>
      </c>
      <c r="C1914" s="1064"/>
      <c r="D1914" s="1065"/>
      <c r="E1914" s="1085"/>
      <c r="F1914" s="1086"/>
      <c r="G1914" s="711"/>
      <c r="H1914" s="1072"/>
      <c r="I1914" s="1072"/>
      <c r="J1914" s="1072"/>
      <c r="K1914" s="1072"/>
      <c r="L1914" s="1072"/>
      <c r="M1914" s="1072"/>
      <c r="R1914" s="139"/>
    </row>
    <row r="1915" spans="1:18" x14ac:dyDescent="0.25">
      <c r="A1915" s="1083" t="s">
        <v>3100</v>
      </c>
      <c r="B1915" s="1084" t="s">
        <v>2978</v>
      </c>
      <c r="C1915" s="1064"/>
      <c r="D1915" s="1065"/>
      <c r="E1915" s="1085"/>
      <c r="F1915" s="1086"/>
      <c r="G1915" s="711"/>
      <c r="H1915" s="1072"/>
      <c r="I1915" s="1072"/>
      <c r="J1915" s="1072"/>
      <c r="K1915" s="1072"/>
      <c r="L1915" s="1072"/>
      <c r="M1915" s="1072"/>
      <c r="R1915" s="139"/>
    </row>
    <row r="1916" spans="1:18" x14ac:dyDescent="0.25">
      <c r="A1916" s="1083" t="s">
        <v>3101</v>
      </c>
      <c r="B1916" s="1084" t="s">
        <v>3102</v>
      </c>
      <c r="C1916" s="1087"/>
      <c r="D1916" s="1088"/>
      <c r="E1916" s="1085"/>
      <c r="F1916" s="1086"/>
      <c r="G1916" s="1089"/>
      <c r="H1916" s="1090"/>
      <c r="I1916" s="1090"/>
      <c r="J1916" s="1090"/>
      <c r="K1916" s="1090"/>
      <c r="L1916" s="1090"/>
      <c r="M1916" s="1090"/>
      <c r="R1916" s="139"/>
    </row>
    <row r="1917" spans="1:18" ht="30" x14ac:dyDescent="0.25">
      <c r="A1917" s="1091"/>
      <c r="B1917" s="1092" t="s">
        <v>3103</v>
      </c>
      <c r="C1917" s="1093">
        <v>210</v>
      </c>
      <c r="D1917" s="902" t="s">
        <v>392</v>
      </c>
      <c r="E1917" s="1094">
        <v>55000</v>
      </c>
      <c r="F1917" s="1095">
        <v>11550000</v>
      </c>
      <c r="G1917" s="1096"/>
      <c r="H1917" s="1090"/>
      <c r="I1917" s="1090"/>
      <c r="J1917" s="1090"/>
      <c r="K1917" s="1090"/>
      <c r="L1917" s="1090"/>
      <c r="M1917" s="1090"/>
      <c r="R1917" s="139"/>
    </row>
    <row r="1918" spans="1:18" ht="15.75" thickBot="1" x14ac:dyDescent="0.3">
      <c r="A1918" s="1097"/>
      <c r="B1918" s="1098"/>
      <c r="C1918" s="1099"/>
      <c r="D1918" s="1100"/>
      <c r="E1918" s="1101"/>
      <c r="F1918" s="1102"/>
      <c r="G1918" s="1103"/>
      <c r="H1918" s="1090"/>
      <c r="I1918" s="1090"/>
      <c r="J1918" s="1090"/>
      <c r="K1918" s="1090"/>
      <c r="L1918" s="1090"/>
      <c r="M1918" s="1090"/>
      <c r="R1918" s="139"/>
    </row>
    <row r="1919" spans="1:18" ht="15.75" thickBot="1" x14ac:dyDescent="0.3">
      <c r="A1919" s="1097"/>
      <c r="B1919" s="1104"/>
      <c r="C1919" s="2029" t="s">
        <v>771</v>
      </c>
      <c r="D1919" s="2030"/>
      <c r="E1919" s="2031"/>
      <c r="F1919" s="1105">
        <f>F1917</f>
        <v>11550000</v>
      </c>
      <c r="G1919" s="1106"/>
      <c r="H1919" s="1090"/>
      <c r="I1919" s="1090"/>
      <c r="J1919" s="1090"/>
      <c r="K1919" s="1090"/>
      <c r="L1919" s="1090"/>
      <c r="M1919" s="1090"/>
      <c r="R1919" s="139"/>
    </row>
    <row r="1920" spans="1:18" x14ac:dyDescent="0.25">
      <c r="A1920" s="727"/>
      <c r="B1920" s="1094"/>
      <c r="C1920" s="1087"/>
      <c r="D1920" s="1088"/>
      <c r="E1920" s="1107"/>
      <c r="F1920" s="1108"/>
      <c r="G1920" s="302"/>
      <c r="H1920" s="564"/>
      <c r="I1920" s="564"/>
      <c r="J1920" s="564"/>
      <c r="K1920" s="564"/>
      <c r="L1920" s="564"/>
      <c r="M1920" s="564"/>
      <c r="R1920" s="139"/>
    </row>
    <row r="1921" spans="1:19" ht="30" x14ac:dyDescent="0.25">
      <c r="A1921" s="727"/>
      <c r="B1921" s="2032" t="s">
        <v>26</v>
      </c>
      <c r="C1921" s="2032"/>
      <c r="D1921" s="2032"/>
      <c r="E1921" s="2032"/>
      <c r="F1921" s="1109">
        <f>F1919</f>
        <v>11550000</v>
      </c>
      <c r="G1921" s="302" t="s">
        <v>2179</v>
      </c>
      <c r="H1921" s="564"/>
      <c r="I1921" s="564"/>
      <c r="J1921" s="1152"/>
      <c r="K1921" s="564"/>
      <c r="L1921" s="1152"/>
      <c r="M1921" s="564"/>
      <c r="P1921" s="23"/>
      <c r="R1921" s="139"/>
      <c r="S1921" s="23">
        <f>F1921</f>
        <v>11550000</v>
      </c>
    </row>
    <row r="1922" spans="1:19" x14ac:dyDescent="0.25">
      <c r="A1922" s="1926" t="s">
        <v>516</v>
      </c>
      <c r="B1922" s="1926"/>
      <c r="C1922" s="152" t="s">
        <v>27</v>
      </c>
      <c r="D1922" s="1926" t="s">
        <v>3654</v>
      </c>
      <c r="E1922" s="1926"/>
      <c r="F1922" s="1926"/>
      <c r="G1922" s="152"/>
    </row>
    <row r="1923" spans="1:19" x14ac:dyDescent="0.25">
      <c r="A1923" s="1926" t="s">
        <v>28</v>
      </c>
      <c r="B1923" s="1926"/>
      <c r="C1923" s="152"/>
      <c r="D1923" s="1927" t="s">
        <v>3565</v>
      </c>
      <c r="E1923" s="1927"/>
      <c r="F1923" s="1927"/>
      <c r="G1923" s="152"/>
    </row>
    <row r="1924" spans="1:19" x14ac:dyDescent="0.25">
      <c r="A1924" s="150"/>
      <c r="B1924" s="151"/>
      <c r="C1924" s="152"/>
      <c r="D1924" s="153"/>
      <c r="E1924" s="1770"/>
      <c r="F1924" s="182"/>
      <c r="G1924" s="152"/>
    </row>
    <row r="1925" spans="1:19" x14ac:dyDescent="0.25">
      <c r="A1925" s="150"/>
      <c r="B1925" s="151"/>
      <c r="C1925" s="152"/>
      <c r="D1925" s="153"/>
      <c r="E1925" s="1770"/>
      <c r="F1925" s="182"/>
      <c r="G1925" s="152"/>
    </row>
    <row r="1926" spans="1:19" x14ac:dyDescent="0.25">
      <c r="A1926" s="1926"/>
      <c r="B1926" s="1926"/>
      <c r="C1926" s="152"/>
      <c r="D1926" s="153"/>
      <c r="E1926" s="1926"/>
      <c r="F1926" s="1926"/>
      <c r="G1926" s="152"/>
    </row>
    <row r="1927" spans="1:19" x14ac:dyDescent="0.25">
      <c r="A1927" s="1926" t="s">
        <v>29</v>
      </c>
      <c r="B1927" s="1926"/>
      <c r="C1927" s="152"/>
      <c r="D1927" s="1926" t="s">
        <v>3564</v>
      </c>
      <c r="E1927" s="1926"/>
      <c r="F1927" s="1926"/>
      <c r="G1927" s="152"/>
    </row>
    <row r="1928" spans="1:19" x14ac:dyDescent="0.25">
      <c r="A1928" s="2010" t="s">
        <v>0</v>
      </c>
      <c r="B1928" s="2010"/>
      <c r="C1928" s="2010"/>
      <c r="D1928" s="2010"/>
      <c r="E1928" s="2010"/>
      <c r="F1928" s="2010"/>
      <c r="G1928" s="2010"/>
    </row>
    <row r="1929" spans="1:19" x14ac:dyDescent="0.25">
      <c r="A1929" s="2010" t="s">
        <v>1</v>
      </c>
      <c r="B1929" s="2010"/>
      <c r="C1929" s="2010"/>
      <c r="D1929" s="2010"/>
      <c r="E1929" s="2010"/>
      <c r="F1929" s="2010"/>
      <c r="G1929" s="2010"/>
    </row>
    <row r="1930" spans="1:19" x14ac:dyDescent="0.25">
      <c r="A1930" s="2010" t="s">
        <v>2398</v>
      </c>
      <c r="B1930" s="2010"/>
      <c r="C1930" s="2010"/>
      <c r="D1930" s="2010"/>
      <c r="E1930" s="2010"/>
      <c r="F1930" s="2010"/>
      <c r="G1930" s="2010"/>
    </row>
    <row r="1931" spans="1:19" x14ac:dyDescent="0.25">
      <c r="A1931" s="1209"/>
      <c r="B1931" s="1210"/>
      <c r="C1931" s="1211"/>
      <c r="D1931" s="1211"/>
      <c r="E1931" s="1212"/>
      <c r="F1931" s="1212"/>
      <c r="G1931" s="1212"/>
    </row>
    <row r="1932" spans="1:19" x14ac:dyDescent="0.25">
      <c r="A1932" s="1212" t="s">
        <v>1263</v>
      </c>
      <c r="B1932" s="1213"/>
      <c r="C1932" s="1214"/>
      <c r="D1932" s="1214"/>
      <c r="E1932" s="1215"/>
      <c r="F1932" s="1215"/>
      <c r="G1932" s="1212"/>
    </row>
    <row r="1933" spans="1:19" ht="24.75" x14ac:dyDescent="0.25">
      <c r="A1933" s="1216" t="s">
        <v>659</v>
      </c>
      <c r="B1933" s="1217" t="s">
        <v>1283</v>
      </c>
      <c r="C1933" s="1214"/>
      <c r="D1933" s="1214"/>
      <c r="E1933" s="1215" t="s">
        <v>1264</v>
      </c>
      <c r="F1933" s="1215"/>
      <c r="G1933" s="1212"/>
    </row>
    <row r="1934" spans="1:19" ht="75" x14ac:dyDescent="0.25">
      <c r="A1934" s="1218" t="s">
        <v>685</v>
      </c>
      <c r="B1934" s="1219" t="s">
        <v>2920</v>
      </c>
      <c r="C1934" s="1214"/>
      <c r="D1934" s="1214"/>
      <c r="E1934" s="1215" t="s">
        <v>1265</v>
      </c>
      <c r="F1934" s="1215"/>
      <c r="G1934" s="1216"/>
    </row>
    <row r="1935" spans="1:19" ht="30" x14ac:dyDescent="0.25">
      <c r="A1935" s="1218" t="s">
        <v>1266</v>
      </c>
      <c r="B1935" s="1219" t="s">
        <v>2921</v>
      </c>
      <c r="C1935" s="1214"/>
      <c r="D1935" s="1214"/>
      <c r="E1935" s="1215"/>
      <c r="F1935" s="1215"/>
      <c r="G1935" s="1216"/>
    </row>
    <row r="1936" spans="1:19" x14ac:dyDescent="0.25">
      <c r="A1936" s="1212" t="s">
        <v>1267</v>
      </c>
      <c r="B1936" s="1213" t="s">
        <v>60</v>
      </c>
      <c r="C1936" s="1214"/>
      <c r="D1936" s="1214"/>
      <c r="E1936" s="1212"/>
      <c r="F1936" s="1212"/>
      <c r="G1936" s="1212"/>
    </row>
    <row r="1937" spans="1:12" x14ac:dyDescent="0.25">
      <c r="A1937" s="1216" t="s">
        <v>61</v>
      </c>
      <c r="B1937" s="1217" t="s">
        <v>62</v>
      </c>
      <c r="C1937" s="1214"/>
      <c r="D1937" s="1214"/>
      <c r="E1937" s="1216"/>
      <c r="F1937" s="1216"/>
      <c r="G1937" s="1216"/>
    </row>
    <row r="1938" spans="1:12" x14ac:dyDescent="0.25">
      <c r="A1938" s="1220"/>
      <c r="B1938" s="1221"/>
      <c r="C1938" s="1222"/>
      <c r="D1938" s="1222"/>
      <c r="E1938" s="1220"/>
      <c r="F1938" s="1220"/>
      <c r="G1938" s="1220"/>
    </row>
    <row r="1939" spans="1:12" ht="24" x14ac:dyDescent="0.25">
      <c r="A1939" s="1223" t="s">
        <v>30</v>
      </c>
      <c r="B1939" s="1223" t="s">
        <v>11</v>
      </c>
      <c r="C1939" s="2011" t="s">
        <v>12</v>
      </c>
      <c r="D1939" s="2012"/>
      <c r="E1939" s="1225" t="s">
        <v>13</v>
      </c>
      <c r="F1939" s="1224" t="s">
        <v>14</v>
      </c>
      <c r="G1939" s="1226" t="s">
        <v>256</v>
      </c>
    </row>
    <row r="1940" spans="1:12" x14ac:dyDescent="0.25">
      <c r="A1940" s="1227">
        <v>1</v>
      </c>
      <c r="B1940" s="1228">
        <v>2</v>
      </c>
      <c r="C1940" s="2013">
        <v>3</v>
      </c>
      <c r="D1940" s="2014"/>
      <c r="E1940" s="1231">
        <v>4</v>
      </c>
      <c r="F1940" s="1229">
        <v>5</v>
      </c>
      <c r="G1940" s="1232">
        <v>7</v>
      </c>
    </row>
    <row r="1941" spans="1:12" x14ac:dyDescent="0.25">
      <c r="A1941" s="1233" t="s">
        <v>1656</v>
      </c>
      <c r="B1941" s="1234" t="s">
        <v>1284</v>
      </c>
      <c r="C1941" s="1235"/>
      <c r="D1941" s="1236"/>
      <c r="E1941" s="1237"/>
      <c r="F1941" s="1238"/>
      <c r="G1941" s="1232"/>
    </row>
    <row r="1942" spans="1:12" x14ac:dyDescent="0.25">
      <c r="A1942" s="1233" t="s">
        <v>1657</v>
      </c>
      <c r="B1942" s="1234" t="s">
        <v>1658</v>
      </c>
      <c r="C1942" s="1235"/>
      <c r="D1942" s="1236"/>
      <c r="E1942" s="1237"/>
      <c r="F1942" s="1238"/>
      <c r="G1942" s="1232"/>
    </row>
    <row r="1943" spans="1:12" ht="24" x14ac:dyDescent="0.25">
      <c r="A1943" s="1233" t="s">
        <v>1659</v>
      </c>
      <c r="B1943" s="1234" t="s">
        <v>1279</v>
      </c>
      <c r="C1943" s="1239"/>
      <c r="D1943" s="1236"/>
      <c r="E1943" s="1237"/>
      <c r="F1943" s="1238"/>
      <c r="G1943" s="1232"/>
    </row>
    <row r="1944" spans="1:12" ht="15.75" thickBot="1" x14ac:dyDescent="0.3">
      <c r="A1944" s="1240"/>
      <c r="B1944" s="1241" t="s">
        <v>1660</v>
      </c>
      <c r="C1944" s="1239">
        <v>1</v>
      </c>
      <c r="D1944" s="1236" t="s">
        <v>213</v>
      </c>
      <c r="E1944" s="1237">
        <v>83200</v>
      </c>
      <c r="F1944" s="1238">
        <f>E1944*C1944</f>
        <v>83200</v>
      </c>
      <c r="G1944" s="1232"/>
    </row>
    <row r="1945" spans="1:12" ht="15.75" thickBot="1" x14ac:dyDescent="0.3">
      <c r="A1945" s="1242"/>
      <c r="B1945" s="2015" t="s">
        <v>515</v>
      </c>
      <c r="C1945" s="2016"/>
      <c r="D1945" s="2016"/>
      <c r="E1945" s="2017"/>
      <c r="F1945" s="1243">
        <f>SUM(F1944:F1944)</f>
        <v>83200</v>
      </c>
      <c r="G1945" s="1232"/>
    </row>
    <row r="1946" spans="1:12" x14ac:dyDescent="0.25">
      <c r="A1946" s="1233" t="s">
        <v>1661</v>
      </c>
      <c r="B1946" s="1244" t="s">
        <v>1268</v>
      </c>
      <c r="C1946" s="1245"/>
      <c r="D1946" s="1246"/>
      <c r="E1946" s="1242"/>
      <c r="F1946" s="1247"/>
      <c r="G1946" s="1232"/>
    </row>
    <row r="1947" spans="1:12" ht="15.75" thickBot="1" x14ac:dyDescent="0.3">
      <c r="A1947" s="1233"/>
      <c r="B1947" s="1248" t="s">
        <v>1270</v>
      </c>
      <c r="C1947" s="1249">
        <v>45</v>
      </c>
      <c r="D1947" s="1250" t="s">
        <v>392</v>
      </c>
      <c r="E1947" s="1251">
        <v>120000</v>
      </c>
      <c r="F1947" s="1252">
        <f>E1947*C1947</f>
        <v>5400000</v>
      </c>
      <c r="G1947" s="1232"/>
    </row>
    <row r="1948" spans="1:12" ht="15.75" thickBot="1" x14ac:dyDescent="0.3">
      <c r="A1948" s="1253"/>
      <c r="B1948" s="2018" t="s">
        <v>515</v>
      </c>
      <c r="C1948" s="2019"/>
      <c r="D1948" s="2019"/>
      <c r="E1948" s="2020"/>
      <c r="F1948" s="1243">
        <f>SUM(F1947:F1947)</f>
        <v>5400000</v>
      </c>
      <c r="G1948" s="1254"/>
    </row>
    <row r="1949" spans="1:12" ht="15.75" thickBot="1" x14ac:dyDescent="0.3">
      <c r="A1949" s="1240"/>
      <c r="B1949" s="1255"/>
      <c r="C1949" s="1256"/>
      <c r="D1949" s="1257"/>
      <c r="E1949" s="1258"/>
      <c r="F1949" s="1252"/>
      <c r="G1949" s="1232"/>
    </row>
    <row r="1950" spans="1:12" ht="15.75" thickBot="1" x14ac:dyDescent="0.3">
      <c r="A1950" s="1245"/>
      <c r="B1950" s="2015" t="s">
        <v>26</v>
      </c>
      <c r="C1950" s="2016"/>
      <c r="D1950" s="2016"/>
      <c r="E1950" s="2017"/>
      <c r="F1950" s="1243">
        <f>F1948+F1945</f>
        <v>5483200</v>
      </c>
      <c r="G1950" s="1254"/>
      <c r="J1950" s="139"/>
      <c r="L1950" s="139"/>
    </row>
    <row r="1951" spans="1:12" x14ac:dyDescent="0.25">
      <c r="A1951" s="96"/>
      <c r="B1951" s="96"/>
      <c r="C1951" s="96"/>
      <c r="D1951" s="96"/>
      <c r="E1951" s="96"/>
      <c r="F1951" s="96"/>
      <c r="G1951" s="96"/>
    </row>
    <row r="1952" spans="1:12" x14ac:dyDescent="0.25">
      <c r="A1952" s="2010" t="s">
        <v>0</v>
      </c>
      <c r="B1952" s="2010"/>
      <c r="C1952" s="2010"/>
      <c r="D1952" s="2010"/>
      <c r="E1952" s="2010"/>
      <c r="F1952" s="2010"/>
      <c r="G1952" s="2010"/>
    </row>
    <row r="1953" spans="1:7" x14ac:dyDescent="0.25">
      <c r="A1953" s="2010" t="s">
        <v>1</v>
      </c>
      <c r="B1953" s="2010"/>
      <c r="C1953" s="2010"/>
      <c r="D1953" s="2010"/>
      <c r="E1953" s="2010"/>
      <c r="F1953" s="2010"/>
      <c r="G1953" s="2010"/>
    </row>
    <row r="1954" spans="1:7" x14ac:dyDescent="0.25">
      <c r="A1954" s="2010" t="s">
        <v>2398</v>
      </c>
      <c r="B1954" s="2010"/>
      <c r="C1954" s="2010"/>
      <c r="D1954" s="2010"/>
      <c r="E1954" s="2010"/>
      <c r="F1954" s="2010"/>
      <c r="G1954" s="2010"/>
    </row>
    <row r="1955" spans="1:7" x14ac:dyDescent="0.25">
      <c r="A1955" s="1209"/>
      <c r="B1955" s="1210"/>
      <c r="C1955" s="1211"/>
      <c r="D1955" s="1211"/>
      <c r="E1955" s="1212"/>
      <c r="F1955" s="1212"/>
      <c r="G1955" s="1212"/>
    </row>
    <row r="1956" spans="1:7" x14ac:dyDescent="0.25">
      <c r="A1956" s="1212" t="s">
        <v>1263</v>
      </c>
      <c r="B1956" s="1213"/>
      <c r="C1956" s="1214"/>
      <c r="D1956" s="1214"/>
      <c r="E1956" s="1215"/>
      <c r="F1956" s="1215"/>
      <c r="G1956" s="1212"/>
    </row>
    <row r="1957" spans="1:7" ht="24.75" x14ac:dyDescent="0.25">
      <c r="A1957" s="1216" t="s">
        <v>659</v>
      </c>
      <c r="B1957" s="1217" t="s">
        <v>1283</v>
      </c>
      <c r="C1957" s="1214"/>
      <c r="D1957" s="1214"/>
      <c r="E1957" s="1215" t="s">
        <v>1264</v>
      </c>
      <c r="F1957" s="1215"/>
      <c r="G1957" s="1212"/>
    </row>
    <row r="1958" spans="1:7" ht="75" x14ac:dyDescent="0.25">
      <c r="A1958" s="1218" t="s">
        <v>685</v>
      </c>
      <c r="B1958" s="1219" t="s">
        <v>2936</v>
      </c>
      <c r="C1958" s="1214"/>
      <c r="D1958" s="1214"/>
      <c r="E1958" s="1215" t="s">
        <v>1265</v>
      </c>
      <c r="F1958" s="1215"/>
      <c r="G1958" s="1216"/>
    </row>
    <row r="1959" spans="1:7" ht="30" x14ac:dyDescent="0.25">
      <c r="A1959" s="1218" t="s">
        <v>1266</v>
      </c>
      <c r="B1959" s="1219" t="s">
        <v>2922</v>
      </c>
      <c r="C1959" s="1214"/>
      <c r="D1959" s="1214"/>
      <c r="E1959" s="1215"/>
      <c r="F1959" s="1215"/>
      <c r="G1959" s="1216"/>
    </row>
    <row r="1960" spans="1:7" x14ac:dyDescent="0.25">
      <c r="A1960" s="1212" t="s">
        <v>1267</v>
      </c>
      <c r="B1960" s="1213" t="s">
        <v>60</v>
      </c>
      <c r="C1960" s="1214"/>
      <c r="D1960" s="1214"/>
      <c r="E1960" s="1212"/>
      <c r="F1960" s="1212"/>
      <c r="G1960" s="1212"/>
    </row>
    <row r="1961" spans="1:7" x14ac:dyDescent="0.25">
      <c r="A1961" s="1216" t="s">
        <v>61</v>
      </c>
      <c r="B1961" s="1217" t="s">
        <v>62</v>
      </c>
      <c r="C1961" s="1214"/>
      <c r="D1961" s="1214"/>
      <c r="E1961" s="1216"/>
      <c r="F1961" s="1216"/>
      <c r="G1961" s="1216"/>
    </row>
    <row r="1962" spans="1:7" x14ac:dyDescent="0.25">
      <c r="A1962" s="1220"/>
      <c r="B1962" s="1221"/>
      <c r="C1962" s="1222"/>
      <c r="D1962" s="1222"/>
      <c r="E1962" s="1220"/>
      <c r="F1962" s="1220"/>
      <c r="G1962" s="1220"/>
    </row>
    <row r="1963" spans="1:7" ht="24" x14ac:dyDescent="0.25">
      <c r="A1963" s="1223" t="s">
        <v>30</v>
      </c>
      <c r="B1963" s="1223" t="s">
        <v>11</v>
      </c>
      <c r="C1963" s="2011" t="s">
        <v>12</v>
      </c>
      <c r="D1963" s="2012"/>
      <c r="E1963" s="1225" t="s">
        <v>13</v>
      </c>
      <c r="F1963" s="1224" t="s">
        <v>14</v>
      </c>
      <c r="G1963" s="1226" t="s">
        <v>256</v>
      </c>
    </row>
    <row r="1964" spans="1:7" x14ac:dyDescent="0.25">
      <c r="A1964" s="1227">
        <v>1</v>
      </c>
      <c r="B1964" s="1228">
        <v>2</v>
      </c>
      <c r="C1964" s="2013">
        <v>3</v>
      </c>
      <c r="D1964" s="2014"/>
      <c r="E1964" s="1231">
        <v>4</v>
      </c>
      <c r="F1964" s="1229">
        <v>5</v>
      </c>
      <c r="G1964" s="1232">
        <v>7</v>
      </c>
    </row>
    <row r="1965" spans="1:7" x14ac:dyDescent="0.25">
      <c r="A1965" s="1233" t="s">
        <v>1656</v>
      </c>
      <c r="B1965" s="1234" t="s">
        <v>1284</v>
      </c>
      <c r="C1965" s="1235"/>
      <c r="D1965" s="1236"/>
      <c r="E1965" s="1237"/>
      <c r="F1965" s="1238"/>
      <c r="G1965" s="1232"/>
    </row>
    <row r="1966" spans="1:7" x14ac:dyDescent="0.25">
      <c r="A1966" s="1233" t="s">
        <v>1657</v>
      </c>
      <c r="B1966" s="1234" t="s">
        <v>1658</v>
      </c>
      <c r="C1966" s="1235"/>
      <c r="D1966" s="1236"/>
      <c r="E1966" s="1237"/>
      <c r="F1966" s="1238"/>
      <c r="G1966" s="1232"/>
    </row>
    <row r="1967" spans="1:7" ht="24" x14ac:dyDescent="0.25">
      <c r="A1967" s="1233" t="s">
        <v>1659</v>
      </c>
      <c r="B1967" s="1234" t="s">
        <v>1279</v>
      </c>
      <c r="C1967" s="1239"/>
      <c r="D1967" s="1236"/>
      <c r="E1967" s="1237"/>
      <c r="F1967" s="1238"/>
      <c r="G1967" s="1232"/>
    </row>
    <row r="1968" spans="1:7" ht="15.75" thickBot="1" x14ac:dyDescent="0.3">
      <c r="A1968" s="1240"/>
      <c r="B1968" s="1241" t="s">
        <v>1660</v>
      </c>
      <c r="C1968" s="1239">
        <v>1</v>
      </c>
      <c r="D1968" s="1236" t="s">
        <v>444</v>
      </c>
      <c r="E1968" s="1237">
        <v>11339020</v>
      </c>
      <c r="F1968" s="1238">
        <f>E1968*C1968</f>
        <v>11339020</v>
      </c>
      <c r="G1968" s="1232"/>
    </row>
    <row r="1969" spans="1:12" ht="15.75" thickBot="1" x14ac:dyDescent="0.3">
      <c r="A1969" s="1242"/>
      <c r="B1969" s="2015" t="s">
        <v>515</v>
      </c>
      <c r="C1969" s="2016"/>
      <c r="D1969" s="2016"/>
      <c r="E1969" s="2017"/>
      <c r="F1969" s="1243">
        <f>SUM(F1968:F1968)</f>
        <v>11339020</v>
      </c>
      <c r="G1969" s="1232"/>
    </row>
    <row r="1970" spans="1:12" x14ac:dyDescent="0.25">
      <c r="A1970" s="1233" t="s">
        <v>1661</v>
      </c>
      <c r="B1970" s="1244" t="s">
        <v>1268</v>
      </c>
      <c r="C1970" s="1245"/>
      <c r="D1970" s="1246"/>
      <c r="E1970" s="1242"/>
      <c r="F1970" s="1247"/>
      <c r="G1970" s="1232"/>
    </row>
    <row r="1971" spans="1:12" x14ac:dyDescent="0.25">
      <c r="A1971" s="1233"/>
      <c r="B1971" s="1263" t="s">
        <v>1269</v>
      </c>
      <c r="C1971" s="1229">
        <v>199</v>
      </c>
      <c r="D1971" s="1230" t="s">
        <v>392</v>
      </c>
      <c r="E1971" s="1264">
        <v>150000</v>
      </c>
      <c r="F1971" s="1238">
        <f>E1971*C1971</f>
        <v>29850000</v>
      </c>
      <c r="G1971" s="1232"/>
    </row>
    <row r="1972" spans="1:12" x14ac:dyDescent="0.25">
      <c r="A1972" s="1315"/>
      <c r="B1972" s="1248" t="s">
        <v>1270</v>
      </c>
      <c r="C1972" s="1249">
        <v>398</v>
      </c>
      <c r="D1972" s="1250" t="s">
        <v>392</v>
      </c>
      <c r="E1972" s="1251">
        <v>120000</v>
      </c>
      <c r="F1972" s="1252">
        <f>E1972*C1972</f>
        <v>47760000</v>
      </c>
      <c r="G1972" s="1316"/>
    </row>
    <row r="1973" spans="1:12" ht="15.75" thickBot="1" x14ac:dyDescent="0.3">
      <c r="A1973" s="1233"/>
      <c r="B1973" s="1248" t="s">
        <v>1662</v>
      </c>
      <c r="C1973" s="1317">
        <v>980</v>
      </c>
      <c r="D1973" s="1317" t="s">
        <v>392</v>
      </c>
      <c r="E1973" s="1251">
        <v>120000</v>
      </c>
      <c r="F1973" s="1252">
        <f>E1973*C1973</f>
        <v>117600000</v>
      </c>
      <c r="G1973" s="1232"/>
    </row>
    <row r="1974" spans="1:12" ht="15.75" thickBot="1" x14ac:dyDescent="0.3">
      <c r="A1974" s="1253"/>
      <c r="B1974" s="2018" t="s">
        <v>515</v>
      </c>
      <c r="C1974" s="2019"/>
      <c r="D1974" s="2019"/>
      <c r="E1974" s="2037"/>
      <c r="F1974" s="1434">
        <f>SUM(F1971:F1973)</f>
        <v>195210000</v>
      </c>
      <c r="G1974" s="1318"/>
    </row>
    <row r="1975" spans="1:12" x14ac:dyDescent="0.25">
      <c r="A1975" s="1233" t="s">
        <v>1663</v>
      </c>
      <c r="B1975" s="1265" t="s">
        <v>1271</v>
      </c>
      <c r="C1975" s="1242"/>
      <c r="D1975" s="1242"/>
      <c r="E1975" s="1242"/>
      <c r="F1975" s="1247"/>
      <c r="G1975" s="1232"/>
    </row>
    <row r="1976" spans="1:12" ht="16.5" x14ac:dyDescent="0.25">
      <c r="A1976" s="1266"/>
      <c r="B1976" s="1433" t="s">
        <v>1664</v>
      </c>
      <c r="C1976" s="865">
        <v>327</v>
      </c>
      <c r="D1976" s="1227" t="s">
        <v>767</v>
      </c>
      <c r="E1976" s="1313">
        <v>381000</v>
      </c>
      <c r="F1976" s="1247">
        <f>E1976*C1976</f>
        <v>124587000</v>
      </c>
      <c r="G1976" s="1232"/>
    </row>
    <row r="1977" spans="1:12" ht="16.5" x14ac:dyDescent="0.25">
      <c r="A1977" s="1266"/>
      <c r="B1977" s="1433" t="s">
        <v>1665</v>
      </c>
      <c r="C1977" s="865">
        <v>55017</v>
      </c>
      <c r="D1977" s="1227" t="s">
        <v>154</v>
      </c>
      <c r="E1977" s="1313">
        <v>3000</v>
      </c>
      <c r="F1977" s="1247">
        <f t="shared" ref="F1977:F1980" si="49">E1977*C1977</f>
        <v>165051000</v>
      </c>
      <c r="G1977" s="1232"/>
    </row>
    <row r="1978" spans="1:12" ht="16.5" x14ac:dyDescent="0.25">
      <c r="A1978" s="1266"/>
      <c r="B1978" s="1433" t="s">
        <v>1272</v>
      </c>
      <c r="C1978" s="865">
        <v>133</v>
      </c>
      <c r="D1978" s="1227" t="s">
        <v>767</v>
      </c>
      <c r="E1978" s="1313">
        <v>230000</v>
      </c>
      <c r="F1978" s="1247">
        <f t="shared" si="49"/>
        <v>30590000</v>
      </c>
      <c r="G1978" s="1232"/>
    </row>
    <row r="1979" spans="1:12" ht="16.5" x14ac:dyDescent="0.25">
      <c r="A1979" s="1266"/>
      <c r="B1979" s="1433" t="s">
        <v>1666</v>
      </c>
      <c r="C1979" s="1227">
        <v>1</v>
      </c>
      <c r="D1979" s="1227" t="s">
        <v>106</v>
      </c>
      <c r="E1979" s="1264">
        <v>250000</v>
      </c>
      <c r="F1979" s="1247">
        <f t="shared" si="49"/>
        <v>250000</v>
      </c>
      <c r="G1979" s="1232"/>
    </row>
    <row r="1980" spans="1:12" ht="16.5" x14ac:dyDescent="0.25">
      <c r="A1980" s="1266"/>
      <c r="B1980" s="1433" t="s">
        <v>1277</v>
      </c>
      <c r="C1980" s="1227">
        <v>1</v>
      </c>
      <c r="D1980" s="1227" t="s">
        <v>106</v>
      </c>
      <c r="E1980" s="1264">
        <v>500000</v>
      </c>
      <c r="F1980" s="1247">
        <f t="shared" si="49"/>
        <v>500000</v>
      </c>
      <c r="G1980" s="1232"/>
    </row>
    <row r="1981" spans="1:12" ht="15.75" thickBot="1" x14ac:dyDescent="0.3">
      <c r="A1981" s="1240"/>
      <c r="B1981" s="1255"/>
      <c r="C1981" s="1256"/>
      <c r="D1981" s="1257"/>
      <c r="E1981" s="1258"/>
      <c r="F1981" s="1252"/>
      <c r="G1981" s="1232"/>
    </row>
    <row r="1982" spans="1:12" ht="15.75" thickBot="1" x14ac:dyDescent="0.3">
      <c r="A1982" s="1245"/>
      <c r="B1982" s="2015" t="s">
        <v>515</v>
      </c>
      <c r="C1982" s="2016"/>
      <c r="D1982" s="2016"/>
      <c r="E1982" s="2017"/>
      <c r="F1982" s="1243">
        <f>SUM(F1976:F1980)</f>
        <v>320978000</v>
      </c>
      <c r="G1982" s="1254"/>
    </row>
    <row r="1983" spans="1:12" ht="15.75" thickBot="1" x14ac:dyDescent="0.3">
      <c r="A1983" s="1245"/>
      <c r="B1983" s="2015" t="s">
        <v>26</v>
      </c>
      <c r="C1983" s="2016"/>
      <c r="D1983" s="2016"/>
      <c r="E1983" s="2017"/>
      <c r="F1983" s="1243">
        <f>F1982+F1974+F1969</f>
        <v>527527020</v>
      </c>
      <c r="G1983" s="1254"/>
      <c r="J1983" s="139"/>
      <c r="L1983" s="139"/>
    </row>
    <row r="1986" spans="1:7" x14ac:dyDescent="0.25">
      <c r="A1986" s="2010" t="s">
        <v>0</v>
      </c>
      <c r="B1986" s="2010"/>
      <c r="C1986" s="2010"/>
      <c r="D1986" s="2010"/>
      <c r="E1986" s="2010"/>
      <c r="F1986" s="2010"/>
      <c r="G1986" s="2010"/>
    </row>
    <row r="1987" spans="1:7" x14ac:dyDescent="0.25">
      <c r="A1987" s="2010" t="s">
        <v>1</v>
      </c>
      <c r="B1987" s="2010"/>
      <c r="C1987" s="2010"/>
      <c r="D1987" s="2010"/>
      <c r="E1987" s="2010"/>
      <c r="F1987" s="2010"/>
      <c r="G1987" s="2010"/>
    </row>
    <row r="1988" spans="1:7" x14ac:dyDescent="0.25">
      <c r="A1988" s="2010" t="s">
        <v>2398</v>
      </c>
      <c r="B1988" s="2010"/>
      <c r="C1988" s="2010"/>
      <c r="D1988" s="2010"/>
      <c r="E1988" s="2010"/>
      <c r="F1988" s="2010"/>
      <c r="G1988" s="2010"/>
    </row>
    <row r="1989" spans="1:7" x14ac:dyDescent="0.25">
      <c r="A1989" s="1209"/>
      <c r="B1989" s="1210"/>
      <c r="C1989" s="1211"/>
      <c r="D1989" s="1211"/>
      <c r="E1989" s="1212"/>
      <c r="F1989" s="1212"/>
      <c r="G1989" s="1212"/>
    </row>
    <row r="1990" spans="1:7" x14ac:dyDescent="0.25">
      <c r="A1990" s="1212" t="s">
        <v>1263</v>
      </c>
      <c r="B1990" s="1213"/>
      <c r="C1990" s="1214"/>
      <c r="D1990" s="1214"/>
      <c r="E1990" s="1215"/>
      <c r="F1990" s="1215"/>
      <c r="G1990" s="1212"/>
    </row>
    <row r="1991" spans="1:7" ht="24.75" x14ac:dyDescent="0.25">
      <c r="A1991" s="1216" t="s">
        <v>659</v>
      </c>
      <c r="B1991" s="1217" t="s">
        <v>1283</v>
      </c>
      <c r="C1991" s="1214"/>
      <c r="D1991" s="1214"/>
      <c r="E1991" s="1215" t="s">
        <v>1264</v>
      </c>
      <c r="F1991" s="1215"/>
      <c r="G1991" s="1212"/>
    </row>
    <row r="1992" spans="1:7" ht="60" x14ac:dyDescent="0.25">
      <c r="A1992" s="1218" t="s">
        <v>685</v>
      </c>
      <c r="B1992" s="1219" t="s">
        <v>2937</v>
      </c>
      <c r="C1992" s="1214"/>
      <c r="D1992" s="1214"/>
      <c r="E1992" s="1215" t="s">
        <v>1265</v>
      </c>
      <c r="F1992" s="1215"/>
      <c r="G1992" s="1216"/>
    </row>
    <row r="1993" spans="1:7" x14ac:dyDescent="0.25">
      <c r="A1993" s="1218" t="s">
        <v>1266</v>
      </c>
      <c r="B1993" s="1219" t="s">
        <v>2923</v>
      </c>
      <c r="C1993" s="1214"/>
      <c r="D1993" s="1214"/>
      <c r="E1993" s="1215"/>
      <c r="F1993" s="1215"/>
      <c r="G1993" s="1216"/>
    </row>
    <row r="1994" spans="1:7" x14ac:dyDescent="0.25">
      <c r="A1994" s="1212" t="s">
        <v>1267</v>
      </c>
      <c r="B1994" s="1213" t="s">
        <v>60</v>
      </c>
      <c r="C1994" s="1214"/>
      <c r="D1994" s="1214"/>
      <c r="E1994" s="1212"/>
      <c r="F1994" s="1212"/>
      <c r="G1994" s="1212"/>
    </row>
    <row r="1995" spans="1:7" x14ac:dyDescent="0.25">
      <c r="A1995" s="1216" t="s">
        <v>61</v>
      </c>
      <c r="B1995" s="1217" t="s">
        <v>62</v>
      </c>
      <c r="C1995" s="1214"/>
      <c r="D1995" s="1214"/>
      <c r="E1995" s="1216"/>
      <c r="F1995" s="1216"/>
      <c r="G1995" s="1216"/>
    </row>
    <row r="1996" spans="1:7" x14ac:dyDescent="0.25">
      <c r="A1996" s="1220"/>
      <c r="B1996" s="1221"/>
      <c r="C1996" s="1222"/>
      <c r="D1996" s="1222"/>
      <c r="E1996" s="1220"/>
      <c r="F1996" s="1220"/>
      <c r="G1996" s="1220"/>
    </row>
    <row r="1997" spans="1:7" ht="24" x14ac:dyDescent="0.25">
      <c r="A1997" s="1223" t="s">
        <v>30</v>
      </c>
      <c r="B1997" s="1223" t="s">
        <v>11</v>
      </c>
      <c r="C1997" s="2011" t="s">
        <v>12</v>
      </c>
      <c r="D1997" s="2012"/>
      <c r="E1997" s="1225" t="s">
        <v>13</v>
      </c>
      <c r="F1997" s="1224" t="s">
        <v>14</v>
      </c>
      <c r="G1997" s="1226" t="s">
        <v>256</v>
      </c>
    </row>
    <row r="1998" spans="1:7" x14ac:dyDescent="0.25">
      <c r="A1998" s="1227">
        <v>1</v>
      </c>
      <c r="B1998" s="1228">
        <v>2</v>
      </c>
      <c r="C1998" s="2013">
        <v>3</v>
      </c>
      <c r="D1998" s="2014"/>
      <c r="E1998" s="1231">
        <v>4</v>
      </c>
      <c r="F1998" s="1229">
        <v>5</v>
      </c>
      <c r="G1998" s="1232">
        <v>7</v>
      </c>
    </row>
    <row r="1999" spans="1:7" x14ac:dyDescent="0.25">
      <c r="A1999" s="1233" t="s">
        <v>1656</v>
      </c>
      <c r="B1999" s="1234" t="s">
        <v>1284</v>
      </c>
      <c r="C1999" s="1235"/>
      <c r="D1999" s="1236"/>
      <c r="E1999" s="1237"/>
      <c r="F1999" s="1238"/>
      <c r="G1999" s="1232"/>
    </row>
    <row r="2000" spans="1:7" x14ac:dyDescent="0.25">
      <c r="A2000" s="1233" t="s">
        <v>1657</v>
      </c>
      <c r="B2000" s="1234" t="s">
        <v>1658</v>
      </c>
      <c r="C2000" s="1235"/>
      <c r="D2000" s="1236"/>
      <c r="E2000" s="1237"/>
      <c r="F2000" s="1238"/>
      <c r="G2000" s="1232"/>
    </row>
    <row r="2001" spans="1:12" ht="24" x14ac:dyDescent="0.25">
      <c r="A2001" s="1233" t="s">
        <v>1659</v>
      </c>
      <c r="B2001" s="1234" t="s">
        <v>1279</v>
      </c>
      <c r="C2001" s="1239"/>
      <c r="D2001" s="1236"/>
      <c r="E2001" s="1237"/>
      <c r="F2001" s="1238"/>
      <c r="G2001" s="1232"/>
    </row>
    <row r="2002" spans="1:12" ht="15.75" thickBot="1" x14ac:dyDescent="0.3">
      <c r="A2002" s="1240"/>
      <c r="B2002" s="1241" t="s">
        <v>1660</v>
      </c>
      <c r="C2002" s="1239">
        <v>1</v>
      </c>
      <c r="D2002" s="1236" t="s">
        <v>444</v>
      </c>
      <c r="E2002" s="1237">
        <v>270400</v>
      </c>
      <c r="F2002" s="1238">
        <f>E2002*C2002</f>
        <v>270400</v>
      </c>
      <c r="G2002" s="1232"/>
    </row>
    <row r="2003" spans="1:12" ht="15.75" thickBot="1" x14ac:dyDescent="0.3">
      <c r="A2003" s="1242"/>
      <c r="B2003" s="2015" t="s">
        <v>515</v>
      </c>
      <c r="C2003" s="2016"/>
      <c r="D2003" s="2016"/>
      <c r="E2003" s="2017"/>
      <c r="F2003" s="1243">
        <f>SUM(F2002:F2002)</f>
        <v>270400</v>
      </c>
      <c r="G2003" s="1232"/>
    </row>
    <row r="2004" spans="1:12" x14ac:dyDescent="0.25">
      <c r="A2004" s="1233" t="s">
        <v>1661</v>
      </c>
      <c r="B2004" s="1244" t="s">
        <v>1268</v>
      </c>
      <c r="C2004" s="1245"/>
      <c r="D2004" s="1246"/>
      <c r="E2004" s="1242"/>
      <c r="F2004" s="1247"/>
      <c r="G2004" s="1232"/>
    </row>
    <row r="2005" spans="1:12" x14ac:dyDescent="0.25">
      <c r="A2005" s="1315"/>
      <c r="B2005" s="1248" t="s">
        <v>1270</v>
      </c>
      <c r="C2005" s="1249">
        <v>104</v>
      </c>
      <c r="D2005" s="1250" t="s">
        <v>392</v>
      </c>
      <c r="E2005" s="1251">
        <v>120000</v>
      </c>
      <c r="F2005" s="1252">
        <f>E2005*C2005</f>
        <v>12480000</v>
      </c>
      <c r="G2005" s="1316"/>
    </row>
    <row r="2006" spans="1:12" x14ac:dyDescent="0.25">
      <c r="A2006" s="1233"/>
      <c r="B2006" s="1379"/>
      <c r="C2006" s="1227"/>
      <c r="D2006" s="1227"/>
      <c r="E2006" s="1264"/>
      <c r="F2006" s="1237"/>
      <c r="G2006" s="1232"/>
    </row>
    <row r="2007" spans="1:12" ht="15.75" thickBot="1" x14ac:dyDescent="0.3">
      <c r="A2007" s="1253"/>
      <c r="B2007" s="2021" t="s">
        <v>515</v>
      </c>
      <c r="C2007" s="2022"/>
      <c r="D2007" s="2022"/>
      <c r="E2007" s="2023"/>
      <c r="F2007" s="1427">
        <f>SUM(F2005:F2005)</f>
        <v>12480000</v>
      </c>
      <c r="G2007" s="1318"/>
    </row>
    <row r="2008" spans="1:12" ht="15.75" thickBot="1" x14ac:dyDescent="0.3">
      <c r="A2008" s="1245"/>
      <c r="B2008" s="2015" t="s">
        <v>26</v>
      </c>
      <c r="C2008" s="2016"/>
      <c r="D2008" s="2016"/>
      <c r="E2008" s="2017"/>
      <c r="F2008" s="1243">
        <f>F2007+F2003</f>
        <v>12750400</v>
      </c>
      <c r="G2008" s="1254"/>
      <c r="J2008" s="139"/>
      <c r="L2008" s="139"/>
    </row>
    <row r="2011" spans="1:12" x14ac:dyDescent="0.25">
      <c r="A2011" s="2010" t="s">
        <v>0</v>
      </c>
      <c r="B2011" s="2010"/>
      <c r="C2011" s="2010"/>
      <c r="D2011" s="2010"/>
      <c r="E2011" s="2010"/>
      <c r="F2011" s="2010"/>
      <c r="G2011" s="2010"/>
    </row>
    <row r="2012" spans="1:12" x14ac:dyDescent="0.25">
      <c r="A2012" s="2010" t="s">
        <v>1</v>
      </c>
      <c r="B2012" s="2010"/>
      <c r="C2012" s="2010"/>
      <c r="D2012" s="2010"/>
      <c r="E2012" s="2010"/>
      <c r="F2012" s="2010"/>
      <c r="G2012" s="2010"/>
    </row>
    <row r="2013" spans="1:12" x14ac:dyDescent="0.25">
      <c r="A2013" s="2010" t="s">
        <v>2398</v>
      </c>
      <c r="B2013" s="2010"/>
      <c r="C2013" s="2010"/>
      <c r="D2013" s="2010"/>
      <c r="E2013" s="2010"/>
      <c r="F2013" s="2010"/>
      <c r="G2013" s="2010"/>
    </row>
    <row r="2014" spans="1:12" x14ac:dyDescent="0.25">
      <c r="A2014" s="1209"/>
      <c r="B2014" s="1210"/>
      <c r="C2014" s="1211"/>
      <c r="D2014" s="1211"/>
      <c r="E2014" s="1212"/>
      <c r="F2014" s="1212"/>
      <c r="G2014" s="1212"/>
    </row>
    <row r="2015" spans="1:12" x14ac:dyDescent="0.25">
      <c r="A2015" s="1212" t="s">
        <v>1263</v>
      </c>
      <c r="B2015" s="1213"/>
      <c r="C2015" s="1214"/>
      <c r="D2015" s="1214"/>
      <c r="E2015" s="1215"/>
      <c r="F2015" s="1215"/>
      <c r="G2015" s="1212"/>
    </row>
    <row r="2016" spans="1:12" ht="24.75" x14ac:dyDescent="0.25">
      <c r="A2016" s="1216" t="s">
        <v>659</v>
      </c>
      <c r="B2016" s="1217" t="s">
        <v>1283</v>
      </c>
      <c r="C2016" s="1214"/>
      <c r="D2016" s="1214"/>
      <c r="E2016" s="1215" t="s">
        <v>1264</v>
      </c>
      <c r="F2016" s="1215"/>
      <c r="G2016" s="1212"/>
    </row>
    <row r="2017" spans="1:7" ht="75" x14ac:dyDescent="0.25">
      <c r="A2017" s="1218" t="s">
        <v>685</v>
      </c>
      <c r="B2017" s="1219" t="s">
        <v>2938</v>
      </c>
      <c r="C2017" s="1214"/>
      <c r="D2017" s="1214"/>
      <c r="E2017" s="1215" t="s">
        <v>1265</v>
      </c>
      <c r="F2017" s="1215"/>
      <c r="G2017" s="1216"/>
    </row>
    <row r="2018" spans="1:7" ht="30" x14ac:dyDescent="0.25">
      <c r="A2018" s="1218" t="s">
        <v>1266</v>
      </c>
      <c r="B2018" s="1219" t="s">
        <v>2924</v>
      </c>
      <c r="C2018" s="1214"/>
      <c r="D2018" s="1214"/>
      <c r="E2018" s="1215"/>
      <c r="F2018" s="1215"/>
      <c r="G2018" s="1216"/>
    </row>
    <row r="2019" spans="1:7" x14ac:dyDescent="0.25">
      <c r="A2019" s="1212" t="s">
        <v>1267</v>
      </c>
      <c r="B2019" s="1213" t="s">
        <v>60</v>
      </c>
      <c r="C2019" s="1214"/>
      <c r="D2019" s="1214"/>
      <c r="E2019" s="1212"/>
      <c r="F2019" s="1212"/>
      <c r="G2019" s="1212"/>
    </row>
    <row r="2020" spans="1:7" x14ac:dyDescent="0.25">
      <c r="A2020" s="1216" t="s">
        <v>61</v>
      </c>
      <c r="B2020" s="1217" t="s">
        <v>62</v>
      </c>
      <c r="C2020" s="1214"/>
      <c r="D2020" s="1214"/>
      <c r="E2020" s="1216"/>
      <c r="F2020" s="1216"/>
      <c r="G2020" s="1216"/>
    </row>
    <row r="2021" spans="1:7" x14ac:dyDescent="0.25">
      <c r="A2021" s="1220"/>
      <c r="B2021" s="1221"/>
      <c r="C2021" s="1222"/>
      <c r="D2021" s="1222"/>
      <c r="E2021" s="1220"/>
      <c r="F2021" s="1220"/>
      <c r="G2021" s="1220"/>
    </row>
    <row r="2022" spans="1:7" ht="24" x14ac:dyDescent="0.25">
      <c r="A2022" s="1223" t="s">
        <v>30</v>
      </c>
      <c r="B2022" s="1223" t="s">
        <v>11</v>
      </c>
      <c r="C2022" s="2011" t="s">
        <v>12</v>
      </c>
      <c r="D2022" s="2012"/>
      <c r="E2022" s="1225" t="s">
        <v>13</v>
      </c>
      <c r="F2022" s="1224" t="s">
        <v>14</v>
      </c>
      <c r="G2022" s="1226" t="s">
        <v>256</v>
      </c>
    </row>
    <row r="2023" spans="1:7" x14ac:dyDescent="0.25">
      <c r="A2023" s="1227">
        <v>1</v>
      </c>
      <c r="B2023" s="1228">
        <v>2</v>
      </c>
      <c r="C2023" s="2013">
        <v>3</v>
      </c>
      <c r="D2023" s="2014"/>
      <c r="E2023" s="1231">
        <v>4</v>
      </c>
      <c r="F2023" s="1229">
        <v>5</v>
      </c>
      <c r="G2023" s="1232">
        <v>7</v>
      </c>
    </row>
    <row r="2024" spans="1:7" x14ac:dyDescent="0.25">
      <c r="A2024" s="1233" t="s">
        <v>1656</v>
      </c>
      <c r="B2024" s="1234" t="s">
        <v>1284</v>
      </c>
      <c r="C2024" s="1235"/>
      <c r="D2024" s="1236"/>
      <c r="E2024" s="1237"/>
      <c r="F2024" s="1238"/>
      <c r="G2024" s="1232"/>
    </row>
    <row r="2025" spans="1:7" x14ac:dyDescent="0.25">
      <c r="A2025" s="1233" t="s">
        <v>1657</v>
      </c>
      <c r="B2025" s="1234" t="s">
        <v>1658</v>
      </c>
      <c r="C2025" s="1235"/>
      <c r="D2025" s="1236"/>
      <c r="E2025" s="1237"/>
      <c r="F2025" s="1238"/>
      <c r="G2025" s="1232"/>
    </row>
    <row r="2026" spans="1:7" ht="24" x14ac:dyDescent="0.25">
      <c r="A2026" s="1233" t="s">
        <v>1659</v>
      </c>
      <c r="B2026" s="1234" t="s">
        <v>1279</v>
      </c>
      <c r="C2026" s="1239"/>
      <c r="D2026" s="1236"/>
      <c r="E2026" s="1237"/>
      <c r="F2026" s="1238"/>
      <c r="G2026" s="1232"/>
    </row>
    <row r="2027" spans="1:7" ht="15.75" thickBot="1" x14ac:dyDescent="0.3">
      <c r="A2027" s="1240"/>
      <c r="B2027" s="1241" t="s">
        <v>1660</v>
      </c>
      <c r="C2027" s="1239">
        <v>1</v>
      </c>
      <c r="D2027" s="1236" t="s">
        <v>444</v>
      </c>
      <c r="E2027" s="923">
        <v>2271560</v>
      </c>
      <c r="F2027" s="1238">
        <f>E2027*C2027</f>
        <v>2271560</v>
      </c>
      <c r="G2027" s="1232"/>
    </row>
    <row r="2028" spans="1:7" ht="15.75" thickBot="1" x14ac:dyDescent="0.3">
      <c r="A2028" s="1242"/>
      <c r="B2028" s="2015" t="s">
        <v>515</v>
      </c>
      <c r="C2028" s="2016"/>
      <c r="D2028" s="2016"/>
      <c r="E2028" s="2017"/>
      <c r="F2028" s="1243">
        <f>SUM(F2027:F2027)</f>
        <v>2271560</v>
      </c>
      <c r="G2028" s="1232"/>
    </row>
    <row r="2029" spans="1:7" x14ac:dyDescent="0.25">
      <c r="A2029" s="1233" t="s">
        <v>1661</v>
      </c>
      <c r="B2029" s="1244" t="s">
        <v>1268</v>
      </c>
      <c r="C2029" s="1245"/>
      <c r="D2029" s="1246"/>
      <c r="E2029" s="1242"/>
      <c r="F2029" s="1247"/>
      <c r="G2029" s="1232"/>
    </row>
    <row r="2030" spans="1:7" x14ac:dyDescent="0.25">
      <c r="A2030" s="1315"/>
      <c r="B2030" s="1248" t="s">
        <v>1270</v>
      </c>
      <c r="C2030" s="1249">
        <v>40</v>
      </c>
      <c r="D2030" s="1250" t="s">
        <v>392</v>
      </c>
      <c r="E2030" s="1251">
        <v>120000</v>
      </c>
      <c r="F2030" s="1252">
        <f>E2030*C2030</f>
        <v>4800000</v>
      </c>
      <c r="G2030" s="1316"/>
    </row>
    <row r="2031" spans="1:7" ht="15.75" thickBot="1" x14ac:dyDescent="0.3">
      <c r="A2031" s="1233"/>
      <c r="B2031" s="1248" t="s">
        <v>1667</v>
      </c>
      <c r="C2031" s="1317">
        <v>382</v>
      </c>
      <c r="D2031" s="1317" t="s">
        <v>392</v>
      </c>
      <c r="E2031" s="1251">
        <v>120000</v>
      </c>
      <c r="F2031" s="1252">
        <f>E2031*C2031</f>
        <v>45840000</v>
      </c>
      <c r="G2031" s="1316"/>
    </row>
    <row r="2032" spans="1:7" ht="15.75" thickBot="1" x14ac:dyDescent="0.3">
      <c r="A2032" s="1242"/>
      <c r="B2032" s="2015" t="s">
        <v>515</v>
      </c>
      <c r="C2032" s="2016"/>
      <c r="D2032" s="2016"/>
      <c r="E2032" s="2017"/>
      <c r="F2032" s="1243">
        <f>SUM(F2030:F2031)</f>
        <v>50640000</v>
      </c>
      <c r="G2032" s="1254"/>
    </row>
    <row r="2033" spans="1:12" x14ac:dyDescent="0.25">
      <c r="A2033" s="1233"/>
      <c r="B2033" s="1428"/>
      <c r="C2033" s="1242"/>
      <c r="D2033" s="1242"/>
      <c r="E2033" s="1313"/>
      <c r="F2033" s="1429"/>
      <c r="G2033" s="1232"/>
    </row>
    <row r="2034" spans="1:12" x14ac:dyDescent="0.25">
      <c r="A2034" s="1233" t="s">
        <v>1663</v>
      </c>
      <c r="B2034" s="1265" t="s">
        <v>1271</v>
      </c>
      <c r="C2034" s="1245"/>
      <c r="D2034" s="1246"/>
      <c r="E2034" s="1242"/>
      <c r="F2034" s="1247"/>
      <c r="G2034" s="1232"/>
    </row>
    <row r="2035" spans="1:12" ht="17.25" thickBot="1" x14ac:dyDescent="0.3">
      <c r="A2035" s="1266"/>
      <c r="B2035" s="1433" t="s">
        <v>1668</v>
      </c>
      <c r="C2035" s="1245">
        <v>191</v>
      </c>
      <c r="D2035" s="1246" t="s">
        <v>767</v>
      </c>
      <c r="E2035" s="1313">
        <v>318000</v>
      </c>
      <c r="F2035" s="1247">
        <f>E2035*C2035</f>
        <v>60738000</v>
      </c>
      <c r="G2035" s="1232"/>
    </row>
    <row r="2036" spans="1:12" ht="15.75" thickBot="1" x14ac:dyDescent="0.3">
      <c r="A2036" s="1242"/>
      <c r="B2036" s="2015" t="s">
        <v>515</v>
      </c>
      <c r="C2036" s="2016"/>
      <c r="D2036" s="2016"/>
      <c r="E2036" s="2017"/>
      <c r="F2036" s="1243">
        <f>SUM(F2035:F2035)</f>
        <v>60738000</v>
      </c>
      <c r="G2036" s="1232"/>
    </row>
    <row r="2037" spans="1:12" ht="16.5" x14ac:dyDescent="0.25">
      <c r="A2037" s="1266"/>
      <c r="B2037" s="1433"/>
      <c r="C2037" s="1245"/>
      <c r="D2037" s="1246"/>
      <c r="E2037" s="1313"/>
      <c r="F2037" s="1247"/>
      <c r="G2037" s="1232"/>
    </row>
    <row r="2038" spans="1:12" x14ac:dyDescent="0.25">
      <c r="A2038" s="1266"/>
      <c r="B2038" s="1265" t="s">
        <v>1669</v>
      </c>
      <c r="C2038" s="1245"/>
      <c r="D2038" s="1246"/>
      <c r="E2038" s="1313"/>
      <c r="F2038" s="1247"/>
      <c r="G2038" s="1232"/>
    </row>
    <row r="2039" spans="1:12" ht="15.75" thickBot="1" x14ac:dyDescent="0.3">
      <c r="A2039" s="1253"/>
      <c r="B2039" s="1379" t="s">
        <v>1670</v>
      </c>
      <c r="C2039" s="1227">
        <v>4</v>
      </c>
      <c r="D2039" s="1227" t="s">
        <v>213</v>
      </c>
      <c r="E2039" s="1264">
        <v>550000</v>
      </c>
      <c r="F2039" s="1237">
        <f>E2039*C2039</f>
        <v>2200000</v>
      </c>
      <c r="G2039" s="1232"/>
    </row>
    <row r="2040" spans="1:12" ht="15.75" thickBot="1" x14ac:dyDescent="0.3">
      <c r="A2040" s="1242"/>
      <c r="B2040" s="2015" t="s">
        <v>515</v>
      </c>
      <c r="C2040" s="2016"/>
      <c r="D2040" s="2016"/>
      <c r="E2040" s="2017"/>
      <c r="F2040" s="1243">
        <f>SUM(F2039:F2039)</f>
        <v>2200000</v>
      </c>
      <c r="G2040" s="1232"/>
    </row>
    <row r="2041" spans="1:12" ht="15.75" thickBot="1" x14ac:dyDescent="0.3">
      <c r="A2041" s="1245"/>
      <c r="B2041" s="2015"/>
      <c r="C2041" s="2016"/>
      <c r="D2041" s="2016"/>
      <c r="E2041" s="2017"/>
      <c r="F2041" s="1243"/>
      <c r="G2041" s="1254"/>
    </row>
    <row r="2042" spans="1:12" ht="15.75" thickBot="1" x14ac:dyDescent="0.3">
      <c r="A2042" s="1245"/>
      <c r="B2042" s="2015" t="s">
        <v>26</v>
      </c>
      <c r="C2042" s="2016"/>
      <c r="D2042" s="2016"/>
      <c r="E2042" s="2017"/>
      <c r="F2042" s="1243">
        <f>F2040+F2036+F2032+F2028</f>
        <v>115849560</v>
      </c>
      <c r="G2042" s="1254"/>
      <c r="J2042" s="139"/>
      <c r="L2042" s="139"/>
    </row>
    <row r="2043" spans="1:12" x14ac:dyDescent="0.25">
      <c r="A2043" s="96"/>
      <c r="B2043" s="96"/>
      <c r="C2043" s="96"/>
      <c r="D2043" s="96"/>
      <c r="E2043" s="96"/>
      <c r="F2043" s="96"/>
      <c r="G2043" s="96"/>
    </row>
    <row r="2044" spans="1:12" x14ac:dyDescent="0.25">
      <c r="A2044" s="2010" t="s">
        <v>0</v>
      </c>
      <c r="B2044" s="2010"/>
      <c r="C2044" s="2010"/>
      <c r="D2044" s="2010"/>
      <c r="E2044" s="2010"/>
      <c r="F2044" s="2010"/>
      <c r="G2044" s="2010"/>
    </row>
    <row r="2045" spans="1:12" x14ac:dyDescent="0.25">
      <c r="A2045" s="2010" t="s">
        <v>1</v>
      </c>
      <c r="B2045" s="2010"/>
      <c r="C2045" s="2010"/>
      <c r="D2045" s="2010"/>
      <c r="E2045" s="2010"/>
      <c r="F2045" s="2010"/>
      <c r="G2045" s="2010"/>
    </row>
    <row r="2046" spans="1:12" x14ac:dyDescent="0.25">
      <c r="A2046" s="2010" t="s">
        <v>2398</v>
      </c>
      <c r="B2046" s="2010"/>
      <c r="C2046" s="2010"/>
      <c r="D2046" s="2010"/>
      <c r="E2046" s="2010"/>
      <c r="F2046" s="2010"/>
      <c r="G2046" s="2010"/>
    </row>
    <row r="2047" spans="1:12" x14ac:dyDescent="0.25">
      <c r="A2047" s="1209"/>
      <c r="B2047" s="1210"/>
      <c r="C2047" s="1211"/>
      <c r="D2047" s="1211"/>
      <c r="E2047" s="1212"/>
      <c r="F2047" s="1212"/>
      <c r="G2047" s="1212"/>
    </row>
    <row r="2048" spans="1:12" x14ac:dyDescent="0.25">
      <c r="A2048" s="1212" t="s">
        <v>1263</v>
      </c>
      <c r="B2048" s="1213"/>
      <c r="C2048" s="1214"/>
      <c r="D2048" s="1214"/>
      <c r="E2048" s="1215"/>
      <c r="F2048" s="1215"/>
      <c r="G2048" s="1212"/>
    </row>
    <row r="2049" spans="1:7" ht="24.75" x14ac:dyDescent="0.25">
      <c r="A2049" s="1216" t="s">
        <v>659</v>
      </c>
      <c r="B2049" s="1217" t="s">
        <v>1283</v>
      </c>
      <c r="C2049" s="1214"/>
      <c r="D2049" s="1214"/>
      <c r="E2049" s="1215" t="s">
        <v>1264</v>
      </c>
      <c r="F2049" s="1215"/>
      <c r="G2049" s="1212"/>
    </row>
    <row r="2050" spans="1:7" ht="60" x14ac:dyDescent="0.25">
      <c r="A2050" s="1218" t="s">
        <v>685</v>
      </c>
      <c r="B2050" s="1219" t="s">
        <v>2939</v>
      </c>
      <c r="C2050" s="1214"/>
      <c r="D2050" s="1214"/>
      <c r="E2050" s="1215" t="s">
        <v>1265</v>
      </c>
      <c r="F2050" s="1215"/>
      <c r="G2050" s="1216"/>
    </row>
    <row r="2051" spans="1:7" x14ac:dyDescent="0.25">
      <c r="A2051" s="1218" t="s">
        <v>1266</v>
      </c>
      <c r="B2051" s="1219" t="s">
        <v>2925</v>
      </c>
      <c r="C2051" s="1214"/>
      <c r="D2051" s="1214"/>
      <c r="E2051" s="1215"/>
      <c r="F2051" s="1215"/>
      <c r="G2051" s="1216"/>
    </row>
    <row r="2052" spans="1:7" x14ac:dyDescent="0.25">
      <c r="A2052" s="1212" t="s">
        <v>1267</v>
      </c>
      <c r="B2052" s="1213" t="s">
        <v>60</v>
      </c>
      <c r="C2052" s="1214"/>
      <c r="D2052" s="1214"/>
      <c r="E2052" s="1212"/>
      <c r="F2052" s="1212"/>
      <c r="G2052" s="1212"/>
    </row>
    <row r="2053" spans="1:7" x14ac:dyDescent="0.25">
      <c r="A2053" s="1216" t="s">
        <v>61</v>
      </c>
      <c r="B2053" s="1217" t="s">
        <v>62</v>
      </c>
      <c r="C2053" s="1214"/>
      <c r="D2053" s="1214"/>
      <c r="E2053" s="1216"/>
      <c r="F2053" s="1216"/>
      <c r="G2053" s="1216"/>
    </row>
    <row r="2054" spans="1:7" x14ac:dyDescent="0.25">
      <c r="A2054" s="1220"/>
      <c r="B2054" s="1221"/>
      <c r="C2054" s="1222"/>
      <c r="D2054" s="1222"/>
      <c r="E2054" s="1220"/>
      <c r="F2054" s="1220"/>
      <c r="G2054" s="1220"/>
    </row>
    <row r="2055" spans="1:7" ht="24" x14ac:dyDescent="0.25">
      <c r="A2055" s="1223" t="s">
        <v>30</v>
      </c>
      <c r="B2055" s="1223" t="s">
        <v>11</v>
      </c>
      <c r="C2055" s="2011" t="s">
        <v>12</v>
      </c>
      <c r="D2055" s="2012"/>
      <c r="E2055" s="1225" t="s">
        <v>13</v>
      </c>
      <c r="F2055" s="1224" t="s">
        <v>14</v>
      </c>
      <c r="G2055" s="1306" t="s">
        <v>256</v>
      </c>
    </row>
    <row r="2056" spans="1:7" x14ac:dyDescent="0.25">
      <c r="A2056" s="1227">
        <v>1</v>
      </c>
      <c r="B2056" s="1228">
        <v>2</v>
      </c>
      <c r="C2056" s="2013">
        <v>3</v>
      </c>
      <c r="D2056" s="2014"/>
      <c r="E2056" s="1231">
        <v>4</v>
      </c>
      <c r="F2056" s="1229">
        <v>5</v>
      </c>
      <c r="G2056" s="1307">
        <v>7</v>
      </c>
    </row>
    <row r="2057" spans="1:7" x14ac:dyDescent="0.25">
      <c r="A2057" s="1233" t="s">
        <v>1656</v>
      </c>
      <c r="B2057" s="1234" t="s">
        <v>1284</v>
      </c>
      <c r="C2057" s="1235"/>
      <c r="D2057" s="1236"/>
      <c r="E2057" s="1237"/>
      <c r="F2057" s="1238"/>
      <c r="G2057" s="1307"/>
    </row>
    <row r="2058" spans="1:7" x14ac:dyDescent="0.25">
      <c r="A2058" s="1233" t="s">
        <v>1657</v>
      </c>
      <c r="B2058" s="1234" t="s">
        <v>1658</v>
      </c>
      <c r="C2058" s="1235"/>
      <c r="D2058" s="1236"/>
      <c r="E2058" s="1237"/>
      <c r="F2058" s="1238"/>
      <c r="G2058" s="1307"/>
    </row>
    <row r="2059" spans="1:7" ht="24" x14ac:dyDescent="0.25">
      <c r="A2059" s="1233" t="s">
        <v>1659</v>
      </c>
      <c r="B2059" s="1234" t="s">
        <v>1279</v>
      </c>
      <c r="C2059" s="1239"/>
      <c r="D2059" s="1236"/>
      <c r="E2059" s="1237"/>
      <c r="F2059" s="1238"/>
      <c r="G2059" s="1307"/>
    </row>
    <row r="2060" spans="1:7" ht="15.75" thickBot="1" x14ac:dyDescent="0.3">
      <c r="A2060" s="1240"/>
      <c r="B2060" s="1241" t="s">
        <v>1660</v>
      </c>
      <c r="C2060" s="1239">
        <v>1</v>
      </c>
      <c r="D2060" s="1236" t="s">
        <v>213</v>
      </c>
      <c r="E2060" s="1237">
        <v>159760</v>
      </c>
      <c r="F2060" s="1238">
        <f>E2060*C2060</f>
        <v>159760</v>
      </c>
      <c r="G2060" s="1307"/>
    </row>
    <row r="2061" spans="1:7" ht="15.75" thickBot="1" x14ac:dyDescent="0.3">
      <c r="A2061" s="1242"/>
      <c r="B2061" s="2015" t="s">
        <v>515</v>
      </c>
      <c r="C2061" s="2016"/>
      <c r="D2061" s="2016"/>
      <c r="E2061" s="2017"/>
      <c r="F2061" s="1243">
        <f>SUM(F2060:F2060)</f>
        <v>159760</v>
      </c>
      <c r="G2061" s="1307"/>
    </row>
    <row r="2062" spans="1:7" x14ac:dyDescent="0.25">
      <c r="A2062" s="1233" t="s">
        <v>1661</v>
      </c>
      <c r="B2062" s="1244" t="s">
        <v>1268</v>
      </c>
      <c r="C2062" s="1245"/>
      <c r="D2062" s="1246"/>
      <c r="E2062" s="1242"/>
      <c r="F2062" s="1247"/>
      <c r="G2062" s="1307"/>
    </row>
    <row r="2063" spans="1:7" x14ac:dyDescent="0.25">
      <c r="A2063" s="1233"/>
      <c r="B2063" s="1263" t="s">
        <v>1269</v>
      </c>
      <c r="C2063" s="1229">
        <v>1</v>
      </c>
      <c r="D2063" s="1230" t="s">
        <v>392</v>
      </c>
      <c r="E2063" s="1264">
        <v>150000</v>
      </c>
      <c r="F2063" s="1238">
        <f>E2063*C2063</f>
        <v>150000</v>
      </c>
      <c r="G2063" s="1307"/>
    </row>
    <row r="2064" spans="1:7" x14ac:dyDescent="0.25">
      <c r="A2064" s="1233"/>
      <c r="B2064" s="1248" t="s">
        <v>1270</v>
      </c>
      <c r="C2064" s="1249">
        <v>2</v>
      </c>
      <c r="D2064" s="1250" t="s">
        <v>392</v>
      </c>
      <c r="E2064" s="1251">
        <v>120000</v>
      </c>
      <c r="F2064" s="1252">
        <f>E2064*C2064</f>
        <v>240000</v>
      </c>
      <c r="G2064" s="1307"/>
    </row>
    <row r="2065" spans="1:12" ht="15.75" thickBot="1" x14ac:dyDescent="0.3">
      <c r="A2065" s="1253"/>
      <c r="B2065" s="1308" t="s">
        <v>1662</v>
      </c>
      <c r="C2065" s="1260">
        <v>2</v>
      </c>
      <c r="D2065" s="1260" t="s">
        <v>392</v>
      </c>
      <c r="E2065" s="1309">
        <v>120000</v>
      </c>
      <c r="F2065" s="1252">
        <f>E2065*C2065</f>
        <v>240000</v>
      </c>
      <c r="G2065" s="1310"/>
    </row>
    <row r="2066" spans="1:12" ht="15.75" thickBot="1" x14ac:dyDescent="0.3">
      <c r="A2066" s="1253"/>
      <c r="B2066" s="2018" t="s">
        <v>515</v>
      </c>
      <c r="C2066" s="2019"/>
      <c r="D2066" s="2019"/>
      <c r="E2066" s="2020"/>
      <c r="F2066" s="1243">
        <f>SUM(F2063:F2065)</f>
        <v>630000</v>
      </c>
      <c r="G2066" s="1310"/>
    </row>
    <row r="2067" spans="1:12" x14ac:dyDescent="0.25">
      <c r="A2067" s="1233" t="s">
        <v>1663</v>
      </c>
      <c r="B2067" s="1265" t="s">
        <v>1271</v>
      </c>
      <c r="C2067" s="1245"/>
      <c r="D2067" s="1246"/>
      <c r="E2067" s="1242"/>
      <c r="F2067" s="1247"/>
      <c r="G2067" s="1307"/>
    </row>
    <row r="2068" spans="1:12" ht="16.5" x14ac:dyDescent="0.25">
      <c r="A2068" s="1266"/>
      <c r="B2068" s="1311" t="s">
        <v>1674</v>
      </c>
      <c r="C2068" s="96">
        <v>1</v>
      </c>
      <c r="D2068" s="1312" t="s">
        <v>767</v>
      </c>
      <c r="E2068" s="1313">
        <v>3807000</v>
      </c>
      <c r="F2068" s="1247">
        <f t="shared" ref="F2068:F2071" si="50">E2068*C2068</f>
        <v>3807000</v>
      </c>
      <c r="G2068" s="1307"/>
    </row>
    <row r="2069" spans="1:12" ht="16.5" x14ac:dyDescent="0.25">
      <c r="A2069" s="1266"/>
      <c r="B2069" s="1314" t="s">
        <v>1675</v>
      </c>
      <c r="C2069" s="96">
        <v>8</v>
      </c>
      <c r="D2069" s="1312" t="s">
        <v>1274</v>
      </c>
      <c r="E2069" s="1313">
        <v>18000</v>
      </c>
      <c r="F2069" s="1247">
        <f t="shared" si="50"/>
        <v>144000</v>
      </c>
      <c r="G2069" s="1307"/>
    </row>
    <row r="2070" spans="1:12" ht="16.5" x14ac:dyDescent="0.25">
      <c r="A2070" s="1266"/>
      <c r="B2070" s="1314" t="s">
        <v>1676</v>
      </c>
      <c r="C2070" s="96">
        <v>1</v>
      </c>
      <c r="D2070" s="1312" t="s">
        <v>767</v>
      </c>
      <c r="E2070" s="1313">
        <v>2350000</v>
      </c>
      <c r="F2070" s="1247">
        <f t="shared" si="50"/>
        <v>2350000</v>
      </c>
      <c r="G2070" s="1310"/>
    </row>
    <row r="2071" spans="1:12" ht="17.25" thickBot="1" x14ac:dyDescent="0.3">
      <c r="A2071" s="1266"/>
      <c r="B2071" s="1311" t="s">
        <v>1733</v>
      </c>
      <c r="C2071" s="96">
        <v>7</v>
      </c>
      <c r="D2071" s="1312" t="s">
        <v>266</v>
      </c>
      <c r="E2071" s="1313">
        <v>151000</v>
      </c>
      <c r="F2071" s="1247">
        <f t="shared" si="50"/>
        <v>1057000</v>
      </c>
      <c r="G2071" s="1310"/>
    </row>
    <row r="2072" spans="1:12" ht="15.75" thickBot="1" x14ac:dyDescent="0.3">
      <c r="A2072" s="1245"/>
      <c r="B2072" s="2015" t="s">
        <v>515</v>
      </c>
      <c r="C2072" s="2016"/>
      <c r="D2072" s="2016"/>
      <c r="E2072" s="2017"/>
      <c r="F2072" s="1243">
        <f>SUM(F2068:F2071)</f>
        <v>7358000</v>
      </c>
      <c r="G2072" s="1310"/>
    </row>
    <row r="2073" spans="1:12" ht="15.75" thickBot="1" x14ac:dyDescent="0.3">
      <c r="A2073" s="1245"/>
      <c r="B2073" s="2015" t="s">
        <v>26</v>
      </c>
      <c r="C2073" s="2016"/>
      <c r="D2073" s="2016"/>
      <c r="E2073" s="2017"/>
      <c r="F2073" s="1243">
        <f>F2072+F2066+F2061</f>
        <v>8147760</v>
      </c>
      <c r="G2073" s="1310"/>
      <c r="J2073" s="139"/>
      <c r="L2073" s="139"/>
    </row>
    <row r="2076" spans="1:12" x14ac:dyDescent="0.25">
      <c r="A2076" s="2010" t="s">
        <v>1285</v>
      </c>
      <c r="B2076" s="2010"/>
      <c r="C2076" s="2010"/>
      <c r="D2076" s="2010"/>
      <c r="E2076" s="2010"/>
      <c r="F2076" s="2010"/>
      <c r="G2076" s="2010"/>
    </row>
    <row r="2077" spans="1:12" x14ac:dyDescent="0.25">
      <c r="A2077" s="2010" t="s">
        <v>1</v>
      </c>
      <c r="B2077" s="2010"/>
      <c r="C2077" s="2010"/>
      <c r="D2077" s="2010"/>
      <c r="E2077" s="2010"/>
      <c r="F2077" s="2010"/>
      <c r="G2077" s="2010"/>
    </row>
    <row r="2078" spans="1:12" x14ac:dyDescent="0.25">
      <c r="A2078" s="2010" t="s">
        <v>2398</v>
      </c>
      <c r="B2078" s="2010"/>
      <c r="C2078" s="2010"/>
      <c r="D2078" s="2010"/>
      <c r="E2078" s="2010"/>
      <c r="F2078" s="2010"/>
      <c r="G2078" s="2010"/>
    </row>
    <row r="2079" spans="1:12" x14ac:dyDescent="0.25">
      <c r="A2079" s="1209"/>
      <c r="B2079" s="1210"/>
      <c r="C2079" s="1211"/>
      <c r="D2079" s="1211"/>
      <c r="E2079" s="1212"/>
      <c r="F2079" s="1212"/>
      <c r="G2079" s="1212"/>
    </row>
    <row r="2080" spans="1:12" x14ac:dyDescent="0.25">
      <c r="A2080" s="1212" t="s">
        <v>1263</v>
      </c>
      <c r="B2080" s="1213"/>
      <c r="C2080" s="1214"/>
      <c r="D2080" s="1214"/>
      <c r="E2080" s="1215"/>
      <c r="F2080" s="1215"/>
      <c r="G2080" s="1212"/>
    </row>
    <row r="2081" spans="1:7" ht="24.75" x14ac:dyDescent="0.25">
      <c r="A2081" s="1216" t="s">
        <v>659</v>
      </c>
      <c r="B2081" s="1217" t="s">
        <v>1283</v>
      </c>
      <c r="C2081" s="1214"/>
      <c r="D2081" s="1214"/>
      <c r="E2081" s="1215" t="s">
        <v>1264</v>
      </c>
      <c r="F2081" s="1215"/>
      <c r="G2081" s="1212"/>
    </row>
    <row r="2082" spans="1:7" ht="60" x14ac:dyDescent="0.25">
      <c r="A2082" s="1218" t="s">
        <v>685</v>
      </c>
      <c r="B2082" s="1219" t="s">
        <v>2940</v>
      </c>
      <c r="C2082" s="1214"/>
      <c r="D2082" s="1214"/>
      <c r="E2082" s="1215" t="s">
        <v>1265</v>
      </c>
      <c r="F2082" s="1215"/>
      <c r="G2082" s="1216"/>
    </row>
    <row r="2083" spans="1:7" x14ac:dyDescent="0.25">
      <c r="A2083" s="1218" t="s">
        <v>1266</v>
      </c>
      <c r="B2083" s="1219" t="s">
        <v>2926</v>
      </c>
      <c r="C2083" s="1214"/>
      <c r="D2083" s="1214"/>
      <c r="E2083" s="1215"/>
      <c r="F2083" s="1215"/>
      <c r="G2083" s="1216"/>
    </row>
    <row r="2084" spans="1:7" x14ac:dyDescent="0.25">
      <c r="A2084" s="1212" t="s">
        <v>1267</v>
      </c>
      <c r="B2084" s="1213" t="s">
        <v>60</v>
      </c>
      <c r="C2084" s="1214"/>
      <c r="D2084" s="1214"/>
      <c r="E2084" s="1212"/>
      <c r="F2084" s="1212"/>
      <c r="G2084" s="1212"/>
    </row>
    <row r="2085" spans="1:7" x14ac:dyDescent="0.25">
      <c r="A2085" s="1216" t="s">
        <v>61</v>
      </c>
      <c r="B2085" s="1217" t="s">
        <v>62</v>
      </c>
      <c r="C2085" s="1214"/>
      <c r="D2085" s="1214"/>
      <c r="E2085" s="1216"/>
      <c r="F2085" s="1216"/>
      <c r="G2085" s="1216"/>
    </row>
    <row r="2086" spans="1:7" x14ac:dyDescent="0.25">
      <c r="A2086" s="1220"/>
      <c r="B2086" s="1221"/>
      <c r="C2086" s="1222"/>
      <c r="D2086" s="1222"/>
      <c r="E2086" s="1220"/>
      <c r="F2086" s="1220"/>
      <c r="G2086" s="1220"/>
    </row>
    <row r="2087" spans="1:7" ht="24" x14ac:dyDescent="0.25">
      <c r="A2087" s="1223" t="s">
        <v>30</v>
      </c>
      <c r="B2087" s="1223" t="s">
        <v>11</v>
      </c>
      <c r="C2087" s="2011" t="s">
        <v>12</v>
      </c>
      <c r="D2087" s="2012"/>
      <c r="E2087" s="1225" t="s">
        <v>13</v>
      </c>
      <c r="F2087" s="1224" t="s">
        <v>14</v>
      </c>
      <c r="G2087" s="1226" t="s">
        <v>256</v>
      </c>
    </row>
    <row r="2088" spans="1:7" x14ac:dyDescent="0.25">
      <c r="A2088" s="1227">
        <v>1</v>
      </c>
      <c r="B2088" s="1228">
        <v>2</v>
      </c>
      <c r="C2088" s="2013">
        <v>3</v>
      </c>
      <c r="D2088" s="2014"/>
      <c r="E2088" s="1231">
        <v>4</v>
      </c>
      <c r="F2088" s="1229">
        <v>5</v>
      </c>
      <c r="G2088" s="1232">
        <v>7</v>
      </c>
    </row>
    <row r="2089" spans="1:7" x14ac:dyDescent="0.25">
      <c r="A2089" s="1233" t="s">
        <v>1656</v>
      </c>
      <c r="B2089" s="1234" t="s">
        <v>1284</v>
      </c>
      <c r="C2089" s="1235"/>
      <c r="D2089" s="1236"/>
      <c r="E2089" s="1237"/>
      <c r="F2089" s="1238"/>
      <c r="G2089" s="1232"/>
    </row>
    <row r="2090" spans="1:7" x14ac:dyDescent="0.25">
      <c r="A2090" s="1233" t="s">
        <v>1657</v>
      </c>
      <c r="B2090" s="1234" t="s">
        <v>1658</v>
      </c>
      <c r="C2090" s="1235"/>
      <c r="D2090" s="1236"/>
      <c r="E2090" s="1237"/>
      <c r="F2090" s="1238"/>
      <c r="G2090" s="1232"/>
    </row>
    <row r="2091" spans="1:7" ht="24" x14ac:dyDescent="0.25">
      <c r="A2091" s="1233" t="s">
        <v>1659</v>
      </c>
      <c r="B2091" s="1234" t="s">
        <v>1279</v>
      </c>
      <c r="C2091" s="1239"/>
      <c r="D2091" s="1236"/>
      <c r="E2091" s="1237"/>
      <c r="F2091" s="1238"/>
      <c r="G2091" s="1232"/>
    </row>
    <row r="2092" spans="1:7" ht="15.75" thickBot="1" x14ac:dyDescent="0.3">
      <c r="A2092" s="1240"/>
      <c r="B2092" s="1241" t="s">
        <v>1660</v>
      </c>
      <c r="C2092" s="1239">
        <v>1</v>
      </c>
      <c r="D2092" s="1236" t="s">
        <v>213</v>
      </c>
      <c r="E2092" s="1237">
        <v>1085600</v>
      </c>
      <c r="F2092" s="1238">
        <f>E2092*C2092</f>
        <v>1085600</v>
      </c>
      <c r="G2092" s="1232"/>
    </row>
    <row r="2093" spans="1:7" ht="15.75" thickBot="1" x14ac:dyDescent="0.3">
      <c r="A2093" s="1242"/>
      <c r="B2093" s="2015" t="s">
        <v>515</v>
      </c>
      <c r="C2093" s="2016"/>
      <c r="D2093" s="2016"/>
      <c r="E2093" s="2017"/>
      <c r="F2093" s="1243">
        <f>SUM(F2092:F2092)</f>
        <v>1085600</v>
      </c>
      <c r="G2093" s="1232"/>
    </row>
    <row r="2094" spans="1:7" x14ac:dyDescent="0.25">
      <c r="A2094" s="1233" t="s">
        <v>1661</v>
      </c>
      <c r="B2094" s="1244" t="s">
        <v>1268</v>
      </c>
      <c r="C2094" s="1245"/>
      <c r="D2094" s="1246"/>
      <c r="E2094" s="1242"/>
      <c r="F2094" s="1247"/>
      <c r="G2094" s="1232"/>
    </row>
    <row r="2095" spans="1:7" x14ac:dyDescent="0.25">
      <c r="A2095" s="1233"/>
      <c r="B2095" s="1263" t="s">
        <v>1269</v>
      </c>
      <c r="C2095" s="1229">
        <v>18</v>
      </c>
      <c r="D2095" s="1230" t="s">
        <v>392</v>
      </c>
      <c r="E2095" s="1264">
        <v>150000</v>
      </c>
      <c r="F2095" s="1238">
        <f>E2095*C2095</f>
        <v>2700000</v>
      </c>
      <c r="G2095" s="1232"/>
    </row>
    <row r="2096" spans="1:7" x14ac:dyDescent="0.25">
      <c r="A2096" s="1315"/>
      <c r="B2096" s="1248" t="s">
        <v>1270</v>
      </c>
      <c r="C2096" s="1249">
        <v>36</v>
      </c>
      <c r="D2096" s="1250" t="s">
        <v>392</v>
      </c>
      <c r="E2096" s="1251">
        <v>120000</v>
      </c>
      <c r="F2096" s="1252">
        <f>E2096*C2096</f>
        <v>4320000</v>
      </c>
      <c r="G2096" s="1232"/>
    </row>
    <row r="2097" spans="1:12" ht="15.75" thickBot="1" x14ac:dyDescent="0.3">
      <c r="A2097" s="1233"/>
      <c r="B2097" s="1248" t="s">
        <v>1662</v>
      </c>
      <c r="C2097" s="1317">
        <v>4</v>
      </c>
      <c r="D2097" s="1317" t="s">
        <v>392</v>
      </c>
      <c r="E2097" s="1251">
        <v>120000</v>
      </c>
      <c r="F2097" s="1258">
        <f>E2097*C2097</f>
        <v>480000</v>
      </c>
      <c r="G2097" s="1254"/>
    </row>
    <row r="2098" spans="1:12" ht="15.75" thickBot="1" x14ac:dyDescent="0.3">
      <c r="A2098" s="1253"/>
      <c r="B2098" s="2018" t="s">
        <v>515</v>
      </c>
      <c r="C2098" s="2019"/>
      <c r="D2098" s="2019"/>
      <c r="E2098" s="2037"/>
      <c r="F2098" s="1434">
        <f>SUM(F2095:F2097)</f>
        <v>7500000</v>
      </c>
      <c r="G2098" s="1254"/>
    </row>
    <row r="2099" spans="1:12" x14ac:dyDescent="0.25">
      <c r="A2099" s="1233" t="s">
        <v>1663</v>
      </c>
      <c r="B2099" s="1265" t="s">
        <v>1271</v>
      </c>
      <c r="C2099" s="1245"/>
      <c r="D2099" s="1246"/>
      <c r="E2099" s="1242"/>
      <c r="F2099" s="1247"/>
      <c r="G2099" s="1232"/>
    </row>
    <row r="2100" spans="1:12" ht="16.5" x14ac:dyDescent="0.25">
      <c r="A2100" s="1266"/>
      <c r="B2100" s="1311" t="s">
        <v>1677</v>
      </c>
      <c r="C2100" s="96">
        <v>37</v>
      </c>
      <c r="D2100" s="1246" t="s">
        <v>266</v>
      </c>
      <c r="E2100" s="1313">
        <v>1172000</v>
      </c>
      <c r="F2100" s="1247">
        <f>E2100*C2100</f>
        <v>43364000</v>
      </c>
      <c r="G2100" s="1232"/>
    </row>
    <row r="2101" spans="1:12" ht="17.25" thickBot="1" x14ac:dyDescent="0.3">
      <c r="A2101" s="1266"/>
      <c r="B2101" s="1314" t="s">
        <v>1678</v>
      </c>
      <c r="C2101" s="96">
        <v>56</v>
      </c>
      <c r="D2101" s="1246" t="s">
        <v>1274</v>
      </c>
      <c r="E2101" s="1313">
        <v>61000</v>
      </c>
      <c r="F2101" s="1247">
        <f>E2101*C2101</f>
        <v>3416000</v>
      </c>
      <c r="G2101" s="1232"/>
    </row>
    <row r="2102" spans="1:12" ht="15.75" thickBot="1" x14ac:dyDescent="0.3">
      <c r="A2102" s="1245"/>
      <c r="B2102" s="2015" t="s">
        <v>515</v>
      </c>
      <c r="C2102" s="2016"/>
      <c r="D2102" s="2016"/>
      <c r="E2102" s="2017"/>
      <c r="F2102" s="1243">
        <f>SUM(F2100:F2101)</f>
        <v>46780000</v>
      </c>
      <c r="G2102" s="1254"/>
    </row>
    <row r="2103" spans="1:12" ht="15.75" thickBot="1" x14ac:dyDescent="0.3">
      <c r="A2103" s="1245"/>
      <c r="B2103" s="2015" t="s">
        <v>26</v>
      </c>
      <c r="C2103" s="2016"/>
      <c r="D2103" s="2016"/>
      <c r="E2103" s="2017"/>
      <c r="F2103" s="1243">
        <f>F2102+F2098+F2093</f>
        <v>55365600</v>
      </c>
      <c r="G2103" s="1254"/>
      <c r="J2103" s="139"/>
      <c r="L2103" s="139"/>
    </row>
    <row r="2104" spans="1:12" x14ac:dyDescent="0.25">
      <c r="A2104" s="1969"/>
      <c r="B2104" s="1969"/>
      <c r="C2104" s="1259"/>
      <c r="D2104" s="1970"/>
      <c r="E2104" s="1970"/>
      <c r="F2104" s="1970"/>
      <c r="G2104" s="1259"/>
    </row>
    <row r="2105" spans="1:12" x14ac:dyDescent="0.25">
      <c r="A2105" s="96"/>
      <c r="B2105" s="96"/>
      <c r="C2105" s="96"/>
      <c r="D2105" s="96"/>
      <c r="E2105" s="96"/>
      <c r="F2105" s="96"/>
      <c r="G2105" s="96"/>
    </row>
    <row r="2106" spans="1:12" x14ac:dyDescent="0.25">
      <c r="A2106" s="2010" t="s">
        <v>0</v>
      </c>
      <c r="B2106" s="2010"/>
      <c r="C2106" s="2010"/>
      <c r="D2106" s="2010"/>
      <c r="E2106" s="2010"/>
      <c r="F2106" s="2010"/>
      <c r="G2106" s="2010"/>
    </row>
    <row r="2107" spans="1:12" x14ac:dyDescent="0.25">
      <c r="A2107" s="2010" t="s">
        <v>1</v>
      </c>
      <c r="B2107" s="2010"/>
      <c r="C2107" s="2010"/>
      <c r="D2107" s="2010"/>
      <c r="E2107" s="2010"/>
      <c r="F2107" s="2010"/>
      <c r="G2107" s="2010"/>
    </row>
    <row r="2108" spans="1:12" x14ac:dyDescent="0.25">
      <c r="A2108" s="2010" t="s">
        <v>2398</v>
      </c>
      <c r="B2108" s="2010"/>
      <c r="C2108" s="2010"/>
      <c r="D2108" s="2010"/>
      <c r="E2108" s="2010"/>
      <c r="F2108" s="2010"/>
      <c r="G2108" s="2010"/>
    </row>
    <row r="2109" spans="1:12" x14ac:dyDescent="0.25">
      <c r="A2109" s="1209"/>
      <c r="B2109" s="1210"/>
      <c r="C2109" s="1211"/>
      <c r="D2109" s="1211"/>
      <c r="E2109" s="1212"/>
      <c r="F2109" s="1212"/>
      <c r="G2109" s="1212"/>
    </row>
    <row r="2110" spans="1:12" x14ac:dyDescent="0.25">
      <c r="A2110" s="1212" t="s">
        <v>1263</v>
      </c>
      <c r="B2110" s="1213"/>
      <c r="C2110" s="1214"/>
      <c r="D2110" s="1214"/>
      <c r="E2110" s="1215"/>
      <c r="F2110" s="1215"/>
      <c r="G2110" s="1212"/>
    </row>
    <row r="2111" spans="1:12" ht="24.75" x14ac:dyDescent="0.25">
      <c r="A2111" s="1216" t="s">
        <v>659</v>
      </c>
      <c r="B2111" s="1217" t="s">
        <v>1283</v>
      </c>
      <c r="C2111" s="1214"/>
      <c r="D2111" s="1214"/>
      <c r="E2111" s="1215" t="s">
        <v>1264</v>
      </c>
      <c r="F2111" s="1215"/>
      <c r="G2111" s="1212"/>
    </row>
    <row r="2112" spans="1:12" ht="60" x14ac:dyDescent="0.25">
      <c r="A2112" s="1218" t="s">
        <v>685</v>
      </c>
      <c r="B2112" s="1219" t="s">
        <v>2927</v>
      </c>
      <c r="C2112" s="1214"/>
      <c r="D2112" s="1214"/>
      <c r="E2112" s="1215" t="s">
        <v>1265</v>
      </c>
      <c r="F2112" s="1215"/>
      <c r="G2112" s="1216"/>
    </row>
    <row r="2113" spans="1:7" x14ac:dyDescent="0.25">
      <c r="A2113" s="1218" t="s">
        <v>1266</v>
      </c>
      <c r="B2113" s="1219" t="s">
        <v>2928</v>
      </c>
      <c r="C2113" s="1214"/>
      <c r="D2113" s="1214"/>
      <c r="E2113" s="1215"/>
      <c r="F2113" s="1215"/>
      <c r="G2113" s="1216"/>
    </row>
    <row r="2114" spans="1:7" x14ac:dyDescent="0.25">
      <c r="A2114" s="1212" t="s">
        <v>1267</v>
      </c>
      <c r="B2114" s="1213" t="s">
        <v>60</v>
      </c>
      <c r="C2114" s="1214"/>
      <c r="D2114" s="1214"/>
      <c r="E2114" s="1212"/>
      <c r="F2114" s="1212"/>
      <c r="G2114" s="1212"/>
    </row>
    <row r="2115" spans="1:7" x14ac:dyDescent="0.25">
      <c r="A2115" s="1216" t="s">
        <v>61</v>
      </c>
      <c r="B2115" s="1217" t="s">
        <v>62</v>
      </c>
      <c r="C2115" s="1214"/>
      <c r="D2115" s="1214"/>
      <c r="E2115" s="1216"/>
      <c r="F2115" s="1216"/>
      <c r="G2115" s="1216"/>
    </row>
    <row r="2116" spans="1:7" x14ac:dyDescent="0.25">
      <c r="A2116" s="1220"/>
      <c r="B2116" s="1221"/>
      <c r="C2116" s="1222"/>
      <c r="D2116" s="1222"/>
      <c r="E2116" s="1220"/>
      <c r="F2116" s="1220"/>
      <c r="G2116" s="1220"/>
    </row>
    <row r="2117" spans="1:7" ht="24" x14ac:dyDescent="0.25">
      <c r="A2117" s="1223" t="s">
        <v>30</v>
      </c>
      <c r="B2117" s="1223" t="s">
        <v>11</v>
      </c>
      <c r="C2117" s="2011" t="s">
        <v>12</v>
      </c>
      <c r="D2117" s="2012"/>
      <c r="E2117" s="1225" t="s">
        <v>13</v>
      </c>
      <c r="F2117" s="1224" t="s">
        <v>14</v>
      </c>
      <c r="G2117" s="1226" t="s">
        <v>256</v>
      </c>
    </row>
    <row r="2118" spans="1:7" x14ac:dyDescent="0.25">
      <c r="A2118" s="1227">
        <v>1</v>
      </c>
      <c r="B2118" s="1228">
        <v>2</v>
      </c>
      <c r="C2118" s="2013">
        <v>3</v>
      </c>
      <c r="D2118" s="2014"/>
      <c r="E2118" s="1231">
        <v>4</v>
      </c>
      <c r="F2118" s="1229">
        <v>5</v>
      </c>
      <c r="G2118" s="1232">
        <v>7</v>
      </c>
    </row>
    <row r="2119" spans="1:7" x14ac:dyDescent="0.25">
      <c r="A2119" s="1233" t="s">
        <v>1656</v>
      </c>
      <c r="B2119" s="1234" t="s">
        <v>1284</v>
      </c>
      <c r="C2119" s="1235"/>
      <c r="D2119" s="1236"/>
      <c r="E2119" s="1237"/>
      <c r="F2119" s="1238"/>
      <c r="G2119" s="1232"/>
    </row>
    <row r="2120" spans="1:7" x14ac:dyDescent="0.25">
      <c r="A2120" s="1233" t="s">
        <v>1657</v>
      </c>
      <c r="B2120" s="1234" t="s">
        <v>1658</v>
      </c>
      <c r="C2120" s="1235"/>
      <c r="D2120" s="1236"/>
      <c r="E2120" s="1237"/>
      <c r="F2120" s="1238"/>
      <c r="G2120" s="1232"/>
    </row>
    <row r="2121" spans="1:7" ht="24" x14ac:dyDescent="0.25">
      <c r="A2121" s="1233" t="s">
        <v>1659</v>
      </c>
      <c r="B2121" s="1234" t="s">
        <v>1279</v>
      </c>
      <c r="C2121" s="1239"/>
      <c r="D2121" s="1236"/>
      <c r="E2121" s="1237"/>
      <c r="F2121" s="1238"/>
      <c r="G2121" s="1232"/>
    </row>
    <row r="2122" spans="1:7" ht="15.75" thickBot="1" x14ac:dyDescent="0.3">
      <c r="A2122" s="1240"/>
      <c r="B2122" s="1241" t="s">
        <v>1660</v>
      </c>
      <c r="C2122" s="1239">
        <v>1</v>
      </c>
      <c r="D2122" s="1236" t="s">
        <v>213</v>
      </c>
      <c r="E2122" s="1237">
        <v>1321320</v>
      </c>
      <c r="F2122" s="1238">
        <f>E2122*C2122</f>
        <v>1321320</v>
      </c>
      <c r="G2122" s="1232"/>
    </row>
    <row r="2123" spans="1:7" ht="15.75" thickBot="1" x14ac:dyDescent="0.3">
      <c r="A2123" s="1242"/>
      <c r="B2123" s="2015" t="s">
        <v>515</v>
      </c>
      <c r="C2123" s="2016"/>
      <c r="D2123" s="2016"/>
      <c r="E2123" s="2017"/>
      <c r="F2123" s="1243">
        <f>SUM(F2122:F2122)</f>
        <v>1321320</v>
      </c>
      <c r="G2123" s="1232"/>
    </row>
    <row r="2124" spans="1:7" x14ac:dyDescent="0.25">
      <c r="A2124" s="1233" t="s">
        <v>1661</v>
      </c>
      <c r="B2124" s="1244" t="s">
        <v>1268</v>
      </c>
      <c r="C2124" s="1245"/>
      <c r="D2124" s="1246"/>
      <c r="E2124" s="1242"/>
      <c r="F2124" s="1247"/>
      <c r="G2124" s="1232"/>
    </row>
    <row r="2125" spans="1:7" x14ac:dyDescent="0.25">
      <c r="A2125" s="1233"/>
      <c r="B2125" s="1263" t="s">
        <v>1269</v>
      </c>
      <c r="C2125" s="1229">
        <v>23</v>
      </c>
      <c r="D2125" s="1230" t="s">
        <v>392</v>
      </c>
      <c r="E2125" s="1264">
        <v>150000</v>
      </c>
      <c r="F2125" s="1238">
        <f>E2125*C2125</f>
        <v>3450000</v>
      </c>
      <c r="G2125" s="1232"/>
    </row>
    <row r="2126" spans="1:7" x14ac:dyDescent="0.25">
      <c r="A2126" s="1315"/>
      <c r="B2126" s="1248" t="s">
        <v>1270</v>
      </c>
      <c r="C2126" s="1249">
        <f>C2125*2</f>
        <v>46</v>
      </c>
      <c r="D2126" s="1250" t="s">
        <v>392</v>
      </c>
      <c r="E2126" s="1251">
        <v>120000</v>
      </c>
      <c r="F2126" s="1252">
        <f>E2126*C2126</f>
        <v>5520000</v>
      </c>
      <c r="G2126" s="1316"/>
    </row>
    <row r="2127" spans="1:7" ht="15.75" thickBot="1" x14ac:dyDescent="0.3">
      <c r="A2127" s="1233"/>
      <c r="B2127" s="1248" t="s">
        <v>1662</v>
      </c>
      <c r="C2127" s="1317">
        <v>12</v>
      </c>
      <c r="D2127" s="1317" t="s">
        <v>392</v>
      </c>
      <c r="E2127" s="1251">
        <v>120000</v>
      </c>
      <c r="F2127" s="1252">
        <f>E2127*C2127</f>
        <v>1440000</v>
      </c>
      <c r="G2127" s="1232"/>
    </row>
    <row r="2128" spans="1:7" ht="15.75" thickBot="1" x14ac:dyDescent="0.3">
      <c r="A2128" s="1253"/>
      <c r="B2128" s="2018" t="s">
        <v>515</v>
      </c>
      <c r="C2128" s="2019"/>
      <c r="D2128" s="2019"/>
      <c r="E2128" s="2020"/>
      <c r="F2128" s="1243">
        <f>SUM(F2125:F2127)</f>
        <v>10410000</v>
      </c>
      <c r="G2128" s="1318"/>
    </row>
    <row r="2129" spans="1:12" x14ac:dyDescent="0.25">
      <c r="A2129" s="1233" t="s">
        <v>1663</v>
      </c>
      <c r="B2129" s="1265" t="s">
        <v>1271</v>
      </c>
      <c r="C2129" s="1245"/>
      <c r="D2129" s="1246"/>
      <c r="E2129" s="1242"/>
      <c r="F2129" s="1247"/>
      <c r="G2129" s="1232"/>
    </row>
    <row r="2130" spans="1:12" ht="16.5" x14ac:dyDescent="0.25">
      <c r="A2130" s="1266"/>
      <c r="B2130" s="1311" t="s">
        <v>1665</v>
      </c>
      <c r="C2130" s="96">
        <v>13839</v>
      </c>
      <c r="D2130" s="1246" t="s">
        <v>1671</v>
      </c>
      <c r="E2130" s="1313">
        <v>3000</v>
      </c>
      <c r="F2130" s="1247">
        <f>E2130*C2130</f>
        <v>41517000</v>
      </c>
      <c r="G2130" s="1232"/>
    </row>
    <row r="2131" spans="1:12" ht="16.5" x14ac:dyDescent="0.25">
      <c r="A2131" s="1266"/>
      <c r="B2131" s="1314" t="s">
        <v>1672</v>
      </c>
      <c r="C2131" s="96">
        <v>19</v>
      </c>
      <c r="D2131" s="1246" t="s">
        <v>154</v>
      </c>
      <c r="E2131" s="1313">
        <v>210000</v>
      </c>
      <c r="F2131" s="1247">
        <f t="shared" ref="F2131:F2133" si="51">E2131*C2131</f>
        <v>3990000</v>
      </c>
      <c r="G2131" s="1232"/>
    </row>
    <row r="2132" spans="1:12" ht="16.5" x14ac:dyDescent="0.25">
      <c r="A2132" s="1266"/>
      <c r="B2132" s="1311" t="s">
        <v>1673</v>
      </c>
      <c r="C2132" s="96">
        <v>29</v>
      </c>
      <c r="D2132" s="1246" t="s">
        <v>767</v>
      </c>
      <c r="E2132" s="1313">
        <v>281000</v>
      </c>
      <c r="F2132" s="1247">
        <f t="shared" si="51"/>
        <v>8149000</v>
      </c>
      <c r="G2132" s="1232"/>
    </row>
    <row r="2133" spans="1:12" ht="16.5" x14ac:dyDescent="0.25">
      <c r="A2133" s="1266"/>
      <c r="B2133" s="1319" t="s">
        <v>2929</v>
      </c>
      <c r="C2133" s="96">
        <v>1</v>
      </c>
      <c r="D2133" s="1320" t="s">
        <v>213</v>
      </c>
      <c r="E2133" s="1321">
        <v>2000000</v>
      </c>
      <c r="F2133" s="1247">
        <f t="shared" si="51"/>
        <v>2000000</v>
      </c>
      <c r="G2133" s="1232"/>
    </row>
    <row r="2134" spans="1:12" ht="15.75" thickBot="1" x14ac:dyDescent="0.3">
      <c r="A2134" s="1240"/>
      <c r="B2134" s="1255"/>
      <c r="C2134" s="1256"/>
      <c r="D2134" s="1257"/>
      <c r="E2134" s="1258"/>
      <c r="F2134" s="1252"/>
      <c r="G2134" s="1232"/>
    </row>
    <row r="2135" spans="1:12" ht="15.75" thickBot="1" x14ac:dyDescent="0.3">
      <c r="A2135" s="1245"/>
      <c r="B2135" s="2015" t="s">
        <v>515</v>
      </c>
      <c r="C2135" s="2016"/>
      <c r="D2135" s="2016"/>
      <c r="E2135" s="2017"/>
      <c r="F2135" s="1243">
        <f>SUM(F2130:F2133)</f>
        <v>55656000</v>
      </c>
      <c r="G2135" s="1254"/>
    </row>
    <row r="2136" spans="1:12" ht="15.75" thickBot="1" x14ac:dyDescent="0.3">
      <c r="A2136" s="1245"/>
      <c r="B2136" s="2015" t="s">
        <v>26</v>
      </c>
      <c r="C2136" s="2016"/>
      <c r="D2136" s="2016"/>
      <c r="E2136" s="2017"/>
      <c r="F2136" s="1243">
        <f>F2135+F2128+F2123</f>
        <v>67387320</v>
      </c>
      <c r="G2136" s="1254"/>
      <c r="J2136" s="139"/>
      <c r="L2136" s="139"/>
    </row>
    <row r="2137" spans="1:12" x14ac:dyDescent="0.25">
      <c r="A2137" s="96"/>
      <c r="B2137" s="96"/>
      <c r="C2137" s="96"/>
      <c r="D2137" s="96"/>
      <c r="E2137" s="96"/>
      <c r="F2137" s="96"/>
      <c r="G2137" s="96"/>
    </row>
    <row r="2138" spans="1:12" x14ac:dyDescent="0.25">
      <c r="A2138" s="2010" t="s">
        <v>1285</v>
      </c>
      <c r="B2138" s="2010"/>
      <c r="C2138" s="2010"/>
      <c r="D2138" s="2010"/>
      <c r="E2138" s="2010"/>
      <c r="F2138" s="2010"/>
      <c r="G2138" s="2010"/>
    </row>
    <row r="2139" spans="1:12" x14ac:dyDescent="0.25">
      <c r="A2139" s="2010" t="s">
        <v>1</v>
      </c>
      <c r="B2139" s="2010"/>
      <c r="C2139" s="2010"/>
      <c r="D2139" s="2010"/>
      <c r="E2139" s="2010"/>
      <c r="F2139" s="2010"/>
      <c r="G2139" s="2010"/>
    </row>
    <row r="2140" spans="1:12" x14ac:dyDescent="0.25">
      <c r="A2140" s="2010" t="s">
        <v>2398</v>
      </c>
      <c r="B2140" s="2010"/>
      <c r="C2140" s="2010"/>
      <c r="D2140" s="2010"/>
      <c r="E2140" s="2010"/>
      <c r="F2140" s="2010"/>
      <c r="G2140" s="2010"/>
    </row>
    <row r="2141" spans="1:12" x14ac:dyDescent="0.25">
      <c r="A2141" s="1209"/>
      <c r="B2141" s="1210"/>
      <c r="C2141" s="1211"/>
      <c r="D2141" s="1211"/>
      <c r="E2141" s="1212"/>
      <c r="F2141" s="1212"/>
      <c r="G2141" s="1212"/>
    </row>
    <row r="2142" spans="1:12" x14ac:dyDescent="0.25">
      <c r="A2142" s="1212" t="s">
        <v>1263</v>
      </c>
      <c r="B2142" s="1213"/>
      <c r="C2142" s="1214"/>
      <c r="D2142" s="1214"/>
      <c r="E2142" s="1215"/>
      <c r="F2142" s="1215"/>
      <c r="G2142" s="1212"/>
    </row>
    <row r="2143" spans="1:12" ht="24.75" x14ac:dyDescent="0.25">
      <c r="A2143" s="1216" t="s">
        <v>659</v>
      </c>
      <c r="B2143" s="1217" t="s">
        <v>1283</v>
      </c>
      <c r="C2143" s="1214"/>
      <c r="D2143" s="1214"/>
      <c r="E2143" s="1215" t="s">
        <v>1264</v>
      </c>
      <c r="F2143" s="1215"/>
      <c r="G2143" s="1212"/>
    </row>
    <row r="2144" spans="1:12" ht="60" x14ac:dyDescent="0.25">
      <c r="A2144" s="1218" t="s">
        <v>685</v>
      </c>
      <c r="B2144" s="1219" t="s">
        <v>2941</v>
      </c>
      <c r="C2144" s="1214"/>
      <c r="D2144" s="1214"/>
      <c r="E2144" s="1215" t="s">
        <v>1265</v>
      </c>
      <c r="F2144" s="1215"/>
      <c r="G2144" s="1216"/>
    </row>
    <row r="2145" spans="1:7" ht="45" x14ac:dyDescent="0.25">
      <c r="A2145" s="1218" t="s">
        <v>1266</v>
      </c>
      <c r="B2145" s="1219" t="s">
        <v>2930</v>
      </c>
      <c r="C2145" s="1214"/>
      <c r="D2145" s="1214"/>
      <c r="E2145" s="1215"/>
      <c r="F2145" s="1215"/>
      <c r="G2145" s="1216"/>
    </row>
    <row r="2146" spans="1:7" x14ac:dyDescent="0.25">
      <c r="A2146" s="1212" t="s">
        <v>1267</v>
      </c>
      <c r="B2146" s="1213" t="s">
        <v>60</v>
      </c>
      <c r="C2146" s="1214"/>
      <c r="D2146" s="1214"/>
      <c r="E2146" s="1212"/>
      <c r="F2146" s="1212"/>
      <c r="G2146" s="1212"/>
    </row>
    <row r="2147" spans="1:7" x14ac:dyDescent="0.25">
      <c r="A2147" s="1216" t="s">
        <v>61</v>
      </c>
      <c r="B2147" s="1217" t="s">
        <v>62</v>
      </c>
      <c r="C2147" s="1214"/>
      <c r="D2147" s="1214"/>
      <c r="E2147" s="1216"/>
      <c r="F2147" s="1216"/>
      <c r="G2147" s="1216"/>
    </row>
    <row r="2148" spans="1:7" x14ac:dyDescent="0.25">
      <c r="A2148" s="1220"/>
      <c r="B2148" s="1221"/>
      <c r="C2148" s="1222"/>
      <c r="D2148" s="1222"/>
      <c r="E2148" s="1220"/>
      <c r="F2148" s="1220"/>
      <c r="G2148" s="1220"/>
    </row>
    <row r="2149" spans="1:7" ht="24" x14ac:dyDescent="0.25">
      <c r="A2149" s="1223" t="s">
        <v>30</v>
      </c>
      <c r="B2149" s="1223" t="s">
        <v>11</v>
      </c>
      <c r="C2149" s="2011" t="s">
        <v>12</v>
      </c>
      <c r="D2149" s="2012"/>
      <c r="E2149" s="1225" t="s">
        <v>13</v>
      </c>
      <c r="F2149" s="1224" t="s">
        <v>14</v>
      </c>
      <c r="G2149" s="1306" t="s">
        <v>256</v>
      </c>
    </row>
    <row r="2150" spans="1:7" x14ac:dyDescent="0.25">
      <c r="A2150" s="1227">
        <v>1</v>
      </c>
      <c r="B2150" s="1228">
        <v>2</v>
      </c>
      <c r="C2150" s="2013">
        <v>3</v>
      </c>
      <c r="D2150" s="2014"/>
      <c r="E2150" s="1231">
        <v>4</v>
      </c>
      <c r="F2150" s="1229">
        <v>5</v>
      </c>
      <c r="G2150" s="1307">
        <v>7</v>
      </c>
    </row>
    <row r="2151" spans="1:7" x14ac:dyDescent="0.25">
      <c r="A2151" s="1233" t="s">
        <v>1656</v>
      </c>
      <c r="B2151" s="1234" t="s">
        <v>1284</v>
      </c>
      <c r="C2151" s="1235"/>
      <c r="D2151" s="1236"/>
      <c r="E2151" s="1237"/>
      <c r="F2151" s="1238"/>
      <c r="G2151" s="1307"/>
    </row>
    <row r="2152" spans="1:7" x14ac:dyDescent="0.25">
      <c r="A2152" s="1233" t="s">
        <v>1657</v>
      </c>
      <c r="B2152" s="1234" t="s">
        <v>1658</v>
      </c>
      <c r="C2152" s="1235"/>
      <c r="D2152" s="1236"/>
      <c r="E2152" s="1237"/>
      <c r="F2152" s="1238"/>
      <c r="G2152" s="1307"/>
    </row>
    <row r="2153" spans="1:7" ht="24" x14ac:dyDescent="0.25">
      <c r="A2153" s="1233" t="s">
        <v>1659</v>
      </c>
      <c r="B2153" s="1234" t="s">
        <v>1279</v>
      </c>
      <c r="C2153" s="1239"/>
      <c r="D2153" s="1236"/>
      <c r="E2153" s="1237"/>
      <c r="F2153" s="1238"/>
      <c r="G2153" s="1307"/>
    </row>
    <row r="2154" spans="1:7" ht="15.75" thickBot="1" x14ac:dyDescent="0.3">
      <c r="A2154" s="1240"/>
      <c r="B2154" s="1241" t="s">
        <v>1660</v>
      </c>
      <c r="C2154" s="1239">
        <v>1</v>
      </c>
      <c r="D2154" s="1236" t="s">
        <v>213</v>
      </c>
      <c r="E2154" s="1237">
        <v>363000</v>
      </c>
      <c r="F2154" s="1238">
        <f>E2154*C2154</f>
        <v>363000</v>
      </c>
      <c r="G2154" s="1307"/>
    </row>
    <row r="2155" spans="1:7" ht="15.75" thickBot="1" x14ac:dyDescent="0.3">
      <c r="A2155" s="1242"/>
      <c r="B2155" s="2015" t="s">
        <v>515</v>
      </c>
      <c r="C2155" s="2016"/>
      <c r="D2155" s="2016"/>
      <c r="E2155" s="2017"/>
      <c r="F2155" s="1243">
        <f>SUM(F2154:F2154)</f>
        <v>363000</v>
      </c>
      <c r="G2155" s="1307"/>
    </row>
    <row r="2156" spans="1:7" x14ac:dyDescent="0.25">
      <c r="A2156" s="1233" t="s">
        <v>1661</v>
      </c>
      <c r="B2156" s="1244" t="s">
        <v>1268</v>
      </c>
      <c r="C2156" s="1245"/>
      <c r="D2156" s="1246"/>
      <c r="E2156" s="1242"/>
      <c r="F2156" s="1247"/>
      <c r="G2156" s="1307"/>
    </row>
    <row r="2157" spans="1:7" x14ac:dyDescent="0.25">
      <c r="A2157" s="1233"/>
      <c r="B2157" s="1263" t="s">
        <v>1269</v>
      </c>
      <c r="C2157" s="1229">
        <v>4</v>
      </c>
      <c r="D2157" s="1230" t="s">
        <v>392</v>
      </c>
      <c r="E2157" s="1264">
        <v>150000</v>
      </c>
      <c r="F2157" s="1238">
        <f>E2157*C2157</f>
        <v>600000</v>
      </c>
      <c r="G2157" s="1307"/>
    </row>
    <row r="2158" spans="1:7" x14ac:dyDescent="0.25">
      <c r="A2158" s="1233"/>
      <c r="B2158" s="1248" t="s">
        <v>1270</v>
      </c>
      <c r="C2158" s="1249">
        <v>8</v>
      </c>
      <c r="D2158" s="1250" t="s">
        <v>392</v>
      </c>
      <c r="E2158" s="1251">
        <v>130000</v>
      </c>
      <c r="F2158" s="1252">
        <f>E2158*C2158</f>
        <v>1040000</v>
      </c>
      <c r="G2158" s="1307"/>
    </row>
    <row r="2159" spans="1:7" ht="15.75" thickBot="1" x14ac:dyDescent="0.3">
      <c r="A2159" s="1253"/>
      <c r="B2159" s="1308" t="s">
        <v>1662</v>
      </c>
      <c r="C2159" s="1260">
        <v>11</v>
      </c>
      <c r="D2159" s="1260" t="s">
        <v>392</v>
      </c>
      <c r="E2159" s="1309">
        <v>130000</v>
      </c>
      <c r="F2159" s="1252">
        <f>E2159*C2159</f>
        <v>1430000</v>
      </c>
      <c r="G2159" s="1310"/>
    </row>
    <row r="2160" spans="1:7" ht="15.75" thickBot="1" x14ac:dyDescent="0.3">
      <c r="A2160" s="1253"/>
      <c r="B2160" s="2018" t="s">
        <v>515</v>
      </c>
      <c r="C2160" s="2019"/>
      <c r="D2160" s="2019"/>
      <c r="E2160" s="2020"/>
      <c r="F2160" s="1243">
        <f>SUM(F2157:F2159)</f>
        <v>3070000</v>
      </c>
      <c r="G2160" s="1310"/>
    </row>
    <row r="2161" spans="1:12" x14ac:dyDescent="0.25">
      <c r="A2161" s="1233" t="s">
        <v>1663</v>
      </c>
      <c r="B2161" s="1265" t="s">
        <v>1271</v>
      </c>
      <c r="C2161" s="1245"/>
      <c r="D2161" s="1246"/>
      <c r="E2161" s="1242"/>
      <c r="F2161" s="1247"/>
      <c r="G2161" s="1307"/>
    </row>
    <row r="2162" spans="1:12" ht="16.5" x14ac:dyDescent="0.25">
      <c r="A2162" s="1266"/>
      <c r="B2162" s="1311" t="s">
        <v>1674</v>
      </c>
      <c r="C2162" s="96">
        <v>1</v>
      </c>
      <c r="D2162" s="1312" t="s">
        <v>767</v>
      </c>
      <c r="E2162" s="1313">
        <v>3807000</v>
      </c>
      <c r="F2162" s="1247">
        <f t="shared" ref="F2162:F2170" si="52">E2162*C2162</f>
        <v>3807000</v>
      </c>
      <c r="G2162" s="1307"/>
    </row>
    <row r="2163" spans="1:12" ht="16.5" x14ac:dyDescent="0.25">
      <c r="A2163" s="1266"/>
      <c r="B2163" s="1314" t="s">
        <v>1675</v>
      </c>
      <c r="C2163" s="96">
        <v>11</v>
      </c>
      <c r="D2163" s="1312" t="s">
        <v>1274</v>
      </c>
      <c r="E2163" s="1313">
        <v>18000</v>
      </c>
      <c r="F2163" s="1247">
        <f t="shared" si="52"/>
        <v>198000</v>
      </c>
      <c r="G2163" s="1307"/>
    </row>
    <row r="2164" spans="1:12" ht="16.5" x14ac:dyDescent="0.25">
      <c r="A2164" s="1266"/>
      <c r="B2164" s="1314" t="s">
        <v>1676</v>
      </c>
      <c r="C2164" s="96">
        <v>1</v>
      </c>
      <c r="D2164" s="1312" t="s">
        <v>767</v>
      </c>
      <c r="E2164" s="1313">
        <v>2350000</v>
      </c>
      <c r="F2164" s="1247">
        <f t="shared" si="52"/>
        <v>2350000</v>
      </c>
      <c r="G2164" s="1310"/>
    </row>
    <row r="2165" spans="1:12" ht="16.5" x14ac:dyDescent="0.25">
      <c r="A2165" s="1266"/>
      <c r="B2165" s="1311" t="s">
        <v>1733</v>
      </c>
      <c r="C2165" s="96">
        <v>9</v>
      </c>
      <c r="D2165" s="1312" t="s">
        <v>266</v>
      </c>
      <c r="E2165" s="1313">
        <v>151000</v>
      </c>
      <c r="F2165" s="1247">
        <f t="shared" si="52"/>
        <v>1359000</v>
      </c>
      <c r="G2165" s="1310"/>
    </row>
    <row r="2166" spans="1:12" ht="16.5" x14ac:dyDescent="0.25">
      <c r="A2166" s="1253"/>
      <c r="B2166" s="1311" t="s">
        <v>1677</v>
      </c>
      <c r="C2166" s="96">
        <v>3</v>
      </c>
      <c r="D2166" s="1312" t="s">
        <v>266</v>
      </c>
      <c r="E2166" s="1313">
        <v>1172000</v>
      </c>
      <c r="F2166" s="1247">
        <f t="shared" si="52"/>
        <v>3516000</v>
      </c>
      <c r="G2166" s="1310"/>
    </row>
    <row r="2167" spans="1:12" ht="16.5" x14ac:dyDescent="0.25">
      <c r="A2167" s="1253"/>
      <c r="B2167" s="1314" t="s">
        <v>1678</v>
      </c>
      <c r="C2167" s="96">
        <v>4</v>
      </c>
      <c r="D2167" s="1312" t="s">
        <v>767</v>
      </c>
      <c r="E2167" s="1313">
        <v>61000</v>
      </c>
      <c r="F2167" s="1247">
        <f t="shared" si="52"/>
        <v>244000</v>
      </c>
      <c r="G2167" s="1310"/>
    </row>
    <row r="2168" spans="1:12" ht="16.5" x14ac:dyDescent="0.25">
      <c r="A2168" s="1253"/>
      <c r="B2168" s="1311" t="s">
        <v>1665</v>
      </c>
      <c r="C2168" s="96">
        <v>891</v>
      </c>
      <c r="D2168" s="1312" t="s">
        <v>1274</v>
      </c>
      <c r="E2168" s="1313">
        <v>3000</v>
      </c>
      <c r="F2168" s="1247">
        <f t="shared" si="52"/>
        <v>2673000</v>
      </c>
      <c r="G2168" s="1310"/>
    </row>
    <row r="2169" spans="1:12" ht="16.5" x14ac:dyDescent="0.25">
      <c r="A2169" s="1253"/>
      <c r="B2169" s="1314" t="s">
        <v>1672</v>
      </c>
      <c r="C2169" s="96">
        <v>2</v>
      </c>
      <c r="D2169" s="1312" t="s">
        <v>767</v>
      </c>
      <c r="E2169" s="1313">
        <v>210000</v>
      </c>
      <c r="F2169" s="1247">
        <f t="shared" si="52"/>
        <v>420000</v>
      </c>
      <c r="G2169" s="1310"/>
    </row>
    <row r="2170" spans="1:12" ht="17.25" thickBot="1" x14ac:dyDescent="0.3">
      <c r="A2170" s="1253"/>
      <c r="B2170" s="1311" t="s">
        <v>1673</v>
      </c>
      <c r="C2170" s="96">
        <v>2</v>
      </c>
      <c r="D2170" s="1312" t="s">
        <v>767</v>
      </c>
      <c r="E2170" s="1313">
        <v>281000</v>
      </c>
      <c r="F2170" s="1247">
        <f t="shared" si="52"/>
        <v>562000</v>
      </c>
      <c r="G2170" s="1310"/>
    </row>
    <row r="2171" spans="1:12" ht="15.75" thickBot="1" x14ac:dyDescent="0.3">
      <c r="A2171" s="1245"/>
      <c r="B2171" s="2015" t="s">
        <v>515</v>
      </c>
      <c r="C2171" s="2016"/>
      <c r="D2171" s="2016"/>
      <c r="E2171" s="2017"/>
      <c r="F2171" s="1243">
        <f>SUM(F2162:F2170)</f>
        <v>15129000</v>
      </c>
      <c r="G2171" s="1310"/>
    </row>
    <row r="2172" spans="1:12" ht="15.75" thickBot="1" x14ac:dyDescent="0.3">
      <c r="A2172" s="1245"/>
      <c r="B2172" s="2015" t="s">
        <v>26</v>
      </c>
      <c r="C2172" s="2016"/>
      <c r="D2172" s="2016"/>
      <c r="E2172" s="2017"/>
      <c r="F2172" s="1243">
        <f>F2171+F2160+F2155</f>
        <v>18562000</v>
      </c>
      <c r="G2172" s="1310"/>
      <c r="J2172" s="139"/>
      <c r="L2172" s="139"/>
    </row>
    <row r="2173" spans="1:12" x14ac:dyDescent="0.25">
      <c r="A2173" s="153"/>
      <c r="B2173" s="524"/>
      <c r="C2173" s="524"/>
      <c r="D2173" s="524"/>
      <c r="E2173" s="524"/>
      <c r="F2173" s="523"/>
      <c r="G2173" s="148"/>
      <c r="J2173" s="139"/>
    </row>
    <row r="2174" spans="1:12" s="393" customFormat="1" ht="12" x14ac:dyDescent="0.2">
      <c r="A2174" s="2061" t="s">
        <v>1285</v>
      </c>
      <c r="B2174" s="2061"/>
      <c r="C2174" s="2061"/>
      <c r="D2174" s="2061"/>
      <c r="E2174" s="2061"/>
      <c r="F2174" s="2061"/>
      <c r="G2174" s="2061"/>
    </row>
    <row r="2175" spans="1:12" s="393" customFormat="1" ht="12" x14ac:dyDescent="0.2">
      <c r="A2175" s="1947" t="s">
        <v>1</v>
      </c>
      <c r="B2175" s="1947"/>
      <c r="C2175" s="1947"/>
      <c r="D2175" s="1947"/>
      <c r="E2175" s="1947"/>
      <c r="F2175" s="1947"/>
      <c r="G2175" s="1947"/>
    </row>
    <row r="2176" spans="1:12" s="393" customFormat="1" ht="12" x14ac:dyDescent="0.2">
      <c r="A2176" s="1947" t="s">
        <v>2398</v>
      </c>
      <c r="B2176" s="1947"/>
      <c r="C2176" s="1947"/>
      <c r="D2176" s="1947"/>
      <c r="E2176" s="1947"/>
      <c r="F2176" s="1947"/>
      <c r="G2176" s="1947"/>
    </row>
    <row r="2177" spans="1:23" s="393" customFormat="1" ht="12" x14ac:dyDescent="0.2">
      <c r="A2177" s="156"/>
      <c r="B2177" s="196"/>
      <c r="C2177" s="153"/>
      <c r="D2177" s="153"/>
      <c r="E2177" s="527"/>
      <c r="F2177" s="528"/>
      <c r="G2177" s="151"/>
    </row>
    <row r="2178" spans="1:23" s="393" customFormat="1" ht="24" x14ac:dyDescent="0.2">
      <c r="A2178" s="156" t="s">
        <v>491</v>
      </c>
      <c r="B2178" s="185" t="s">
        <v>648</v>
      </c>
      <c r="C2178" s="153"/>
      <c r="D2178" s="153"/>
      <c r="E2178" s="529" t="s">
        <v>6</v>
      </c>
      <c r="F2178" s="527"/>
      <c r="G2178" s="405"/>
    </row>
    <row r="2179" spans="1:23" s="393" customFormat="1" ht="12" x14ac:dyDescent="0.2">
      <c r="A2179" s="156" t="s">
        <v>803</v>
      </c>
      <c r="B2179" s="185" t="s">
        <v>802</v>
      </c>
      <c r="C2179" s="153"/>
      <c r="D2179" s="153"/>
      <c r="E2179" s="488" t="s">
        <v>9</v>
      </c>
      <c r="F2179" s="488"/>
      <c r="G2179" s="405"/>
    </row>
    <row r="2180" spans="1:23" s="393" customFormat="1" ht="24" x14ac:dyDescent="0.2">
      <c r="A2180" s="156" t="s">
        <v>801</v>
      </c>
      <c r="B2180" s="196" t="s">
        <v>800</v>
      </c>
      <c r="C2180" s="196"/>
      <c r="D2180" s="153"/>
      <c r="E2180" s="528"/>
      <c r="F2180" s="527"/>
      <c r="G2180" s="405"/>
    </row>
    <row r="2181" spans="1:23" s="393" customFormat="1" ht="24" x14ac:dyDescent="0.2">
      <c r="A2181" s="196" t="s">
        <v>469</v>
      </c>
      <c r="B2181" s="196" t="s">
        <v>60</v>
      </c>
      <c r="C2181" s="153"/>
      <c r="D2181" s="153"/>
      <c r="E2181" s="527"/>
      <c r="F2181" s="1865">
        <f>F2235+F2323+F2489</f>
        <v>1298375835.2</v>
      </c>
      <c r="G2181" s="405"/>
    </row>
    <row r="2182" spans="1:23" s="393" customFormat="1" ht="12" x14ac:dyDescent="0.2">
      <c r="A2182" s="153"/>
      <c r="B2182" s="196"/>
      <c r="C2182" s="153"/>
      <c r="D2182" s="153"/>
      <c r="E2182" s="528"/>
      <c r="F2182" s="528"/>
      <c r="G2182" s="151"/>
    </row>
    <row r="2183" spans="1:23" ht="24" x14ac:dyDescent="0.25">
      <c r="A2183" s="928" t="s">
        <v>30</v>
      </c>
      <c r="B2183" s="928" t="s">
        <v>11</v>
      </c>
      <c r="C2183" s="2078" t="s">
        <v>12</v>
      </c>
      <c r="D2183" s="2079"/>
      <c r="E2183" s="930" t="s">
        <v>13</v>
      </c>
      <c r="F2183" s="929" t="s">
        <v>14</v>
      </c>
      <c r="G2183" s="931" t="s">
        <v>34</v>
      </c>
    </row>
    <row r="2184" spans="1:23" x14ac:dyDescent="0.25">
      <c r="A2184" s="932">
        <v>1</v>
      </c>
      <c r="B2184" s="932">
        <v>2</v>
      </c>
      <c r="C2184" s="2004">
        <v>3</v>
      </c>
      <c r="D2184" s="2005"/>
      <c r="E2184" s="934">
        <v>4</v>
      </c>
      <c r="F2184" s="933">
        <v>5</v>
      </c>
      <c r="G2184" s="937">
        <v>6</v>
      </c>
    </row>
    <row r="2185" spans="1:23" x14ac:dyDescent="0.25">
      <c r="A2185" s="346" t="s">
        <v>799</v>
      </c>
      <c r="B2185" s="1543" t="s">
        <v>304</v>
      </c>
      <c r="C2185" s="933"/>
      <c r="D2185" s="1541"/>
      <c r="E2185" s="934"/>
      <c r="F2185" s="933"/>
      <c r="G2185" s="937"/>
    </row>
    <row r="2186" spans="1:23" s="393" customFormat="1" ht="12" x14ac:dyDescent="0.2">
      <c r="A2186" s="346" t="s">
        <v>798</v>
      </c>
      <c r="B2186" s="530" t="s">
        <v>84</v>
      </c>
      <c r="C2186" s="371"/>
      <c r="D2186" s="372"/>
      <c r="E2186" s="531"/>
      <c r="F2186" s="511"/>
      <c r="G2186" s="410"/>
    </row>
    <row r="2187" spans="1:23" s="393" customFormat="1" ht="36" x14ac:dyDescent="0.2">
      <c r="A2187" s="513" t="s">
        <v>797</v>
      </c>
      <c r="B2187" s="463" t="s">
        <v>1595</v>
      </c>
      <c r="C2187" s="532"/>
      <c r="D2187" s="533"/>
      <c r="E2187" s="534"/>
      <c r="F2187" s="532"/>
      <c r="G2187" s="410"/>
    </row>
    <row r="2188" spans="1:23" s="393" customFormat="1" ht="12" x14ac:dyDescent="0.2">
      <c r="A2188" s="346"/>
      <c r="B2188" s="535" t="s">
        <v>1238</v>
      </c>
      <c r="C2188" s="169">
        <v>3</v>
      </c>
      <c r="D2188" s="170" t="s">
        <v>122</v>
      </c>
      <c r="E2188" s="536">
        <v>500000</v>
      </c>
      <c r="F2188" s="936">
        <f>C2188*E2188</f>
        <v>1500000</v>
      </c>
      <c r="G2188" s="161" t="s">
        <v>1223</v>
      </c>
      <c r="Q2188" s="1151">
        <f>F2188</f>
        <v>1500000</v>
      </c>
      <c r="T2188" s="1151"/>
      <c r="W2188" s="1151"/>
    </row>
    <row r="2189" spans="1:23" s="393" customFormat="1" ht="12" x14ac:dyDescent="0.2">
      <c r="A2189" s="346"/>
      <c r="B2189" s="535" t="s">
        <v>1238</v>
      </c>
      <c r="C2189" s="169">
        <v>9</v>
      </c>
      <c r="D2189" s="170" t="s">
        <v>122</v>
      </c>
      <c r="E2189" s="536">
        <v>500000</v>
      </c>
      <c r="F2189" s="936">
        <f>C2189*E2189</f>
        <v>4500000</v>
      </c>
      <c r="G2189" s="161" t="s">
        <v>1223</v>
      </c>
      <c r="K2189" s="1151"/>
      <c r="Q2189" s="1151">
        <f t="shared" ref="Q2189:Q2193" si="53">F2189</f>
        <v>4500000</v>
      </c>
      <c r="W2189" s="1151"/>
    </row>
    <row r="2190" spans="1:23" s="393" customFormat="1" ht="12" x14ac:dyDescent="0.2">
      <c r="A2190" s="346"/>
      <c r="B2190" s="535" t="s">
        <v>3277</v>
      </c>
      <c r="C2190" s="169">
        <f>3*9</f>
        <v>27</v>
      </c>
      <c r="D2190" s="170" t="s">
        <v>122</v>
      </c>
      <c r="E2190" s="536">
        <v>3200000</v>
      </c>
      <c r="F2190" s="936">
        <f>C2190*E2190</f>
        <v>86400000</v>
      </c>
      <c r="G2190" s="161" t="s">
        <v>1223</v>
      </c>
      <c r="I2190" s="1066"/>
      <c r="K2190" s="1151"/>
      <c r="Q2190" s="1151">
        <f t="shared" si="53"/>
        <v>86400000</v>
      </c>
      <c r="W2190" s="1151"/>
    </row>
    <row r="2191" spans="1:23" s="393" customFormat="1" ht="12" x14ac:dyDescent="0.2">
      <c r="A2191" s="346"/>
      <c r="B2191" s="535" t="s">
        <v>3278</v>
      </c>
      <c r="C2191" s="169">
        <v>9</v>
      </c>
      <c r="D2191" s="170" t="s">
        <v>122</v>
      </c>
      <c r="E2191" s="536">
        <v>3200000</v>
      </c>
      <c r="F2191" s="936">
        <f>C2191*E2191</f>
        <v>28800000</v>
      </c>
      <c r="G2191" s="161" t="s">
        <v>1223</v>
      </c>
      <c r="Q2191" s="1151">
        <f t="shared" si="53"/>
        <v>28800000</v>
      </c>
      <c r="T2191" s="1151"/>
      <c r="W2191" s="1151"/>
    </row>
    <row r="2192" spans="1:23" s="393" customFormat="1" ht="12" x14ac:dyDescent="0.2">
      <c r="A2192" s="346"/>
      <c r="B2192" s="535" t="s">
        <v>3279</v>
      </c>
      <c r="C2192" s="169">
        <v>1</v>
      </c>
      <c r="D2192" s="170" t="s">
        <v>210</v>
      </c>
      <c r="E2192" s="536">
        <v>5100000</v>
      </c>
      <c r="F2192" s="936">
        <f>C2192*E2192</f>
        <v>5100000</v>
      </c>
      <c r="G2192" s="161" t="s">
        <v>1223</v>
      </c>
      <c r="H2192" s="1147"/>
      <c r="I2192" s="1066"/>
      <c r="K2192" s="1151"/>
      <c r="Q2192" s="1151">
        <f t="shared" si="53"/>
        <v>5100000</v>
      </c>
      <c r="W2192" s="1151"/>
    </row>
    <row r="2193" spans="1:23" s="393" customFormat="1" ht="12" x14ac:dyDescent="0.2">
      <c r="A2193" s="346" t="s">
        <v>796</v>
      </c>
      <c r="B2193" s="538" t="s">
        <v>328</v>
      </c>
      <c r="C2193" s="371"/>
      <c r="D2193" s="372"/>
      <c r="E2193" s="531"/>
      <c r="F2193" s="936"/>
      <c r="G2193" s="164"/>
      <c r="Q2193" s="1151">
        <f t="shared" si="53"/>
        <v>0</v>
      </c>
      <c r="W2193" s="1151"/>
    </row>
    <row r="2194" spans="1:23" s="393" customFormat="1" ht="12" x14ac:dyDescent="0.2">
      <c r="A2194" s="176"/>
      <c r="B2194" s="412" t="s">
        <v>794</v>
      </c>
      <c r="C2194" s="169">
        <v>12</v>
      </c>
      <c r="D2194" s="170" t="s">
        <v>171</v>
      </c>
      <c r="E2194" s="539">
        <v>400000</v>
      </c>
      <c r="F2194" s="936">
        <f>C2194*E2194</f>
        <v>4800000</v>
      </c>
      <c r="G2194" s="161" t="s">
        <v>1223</v>
      </c>
      <c r="K2194" s="1151"/>
      <c r="Q2194" s="1151">
        <f>F2194</f>
        <v>4800000</v>
      </c>
      <c r="W2194" s="1151"/>
    </row>
    <row r="2195" spans="1:23" s="393" customFormat="1" ht="12" x14ac:dyDescent="0.2">
      <c r="A2195" s="176"/>
      <c r="B2195" s="412" t="s">
        <v>793</v>
      </c>
      <c r="C2195" s="169">
        <v>1</v>
      </c>
      <c r="D2195" s="170" t="s">
        <v>106</v>
      </c>
      <c r="E2195" s="539">
        <v>150000</v>
      </c>
      <c r="F2195" s="936">
        <f>C2195*E2195</f>
        <v>150000</v>
      </c>
      <c r="G2195" s="161" t="s">
        <v>1223</v>
      </c>
      <c r="H2195" s="1066"/>
      <c r="K2195" s="1151"/>
      <c r="Q2195" s="1151">
        <f t="shared" ref="Q2195:Q2202" si="54">F2195</f>
        <v>150000</v>
      </c>
      <c r="W2195" s="1151"/>
    </row>
    <row r="2196" spans="1:23" s="393" customFormat="1" ht="12" x14ac:dyDescent="0.2">
      <c r="A2196" s="346" t="s">
        <v>792</v>
      </c>
      <c r="B2196" s="540" t="s">
        <v>791</v>
      </c>
      <c r="C2196" s="169"/>
      <c r="D2196" s="170"/>
      <c r="E2196" s="536"/>
      <c r="F2196" s="936"/>
      <c r="G2196" s="161"/>
      <c r="Q2196" s="1151">
        <f t="shared" si="54"/>
        <v>0</v>
      </c>
      <c r="W2196" s="1151"/>
    </row>
    <row r="2197" spans="1:23" s="393" customFormat="1" ht="24" x14ac:dyDescent="0.2">
      <c r="A2197" s="346"/>
      <c r="B2197" s="1153" t="s">
        <v>1596</v>
      </c>
      <c r="C2197" s="169">
        <v>365</v>
      </c>
      <c r="D2197" s="170" t="s">
        <v>790</v>
      </c>
      <c r="E2197" s="536">
        <v>7000</v>
      </c>
      <c r="F2197" s="936">
        <f t="shared" ref="F2197:F2207" si="55">C2197*E2197</f>
        <v>2555000</v>
      </c>
      <c r="G2197" s="161" t="s">
        <v>1223</v>
      </c>
      <c r="K2197" s="1151"/>
      <c r="Q2197" s="1151">
        <f t="shared" si="54"/>
        <v>2555000</v>
      </c>
      <c r="W2197" s="1151"/>
    </row>
    <row r="2198" spans="1:23" s="393" customFormat="1" ht="12" x14ac:dyDescent="0.2">
      <c r="A2198" s="176"/>
      <c r="B2198" s="412" t="s">
        <v>789</v>
      </c>
      <c r="C2198" s="169">
        <v>4</v>
      </c>
      <c r="D2198" s="170" t="s">
        <v>106</v>
      </c>
      <c r="E2198" s="536">
        <v>160000</v>
      </c>
      <c r="F2198" s="936">
        <f t="shared" si="55"/>
        <v>640000</v>
      </c>
      <c r="G2198" s="161" t="s">
        <v>1223</v>
      </c>
      <c r="K2198" s="1151"/>
      <c r="Q2198" s="1151">
        <f t="shared" si="54"/>
        <v>640000</v>
      </c>
      <c r="W2198" s="1151"/>
    </row>
    <row r="2199" spans="1:23" s="393" customFormat="1" ht="12" x14ac:dyDescent="0.2">
      <c r="A2199" s="176"/>
      <c r="B2199" s="412" t="s">
        <v>114</v>
      </c>
      <c r="C2199" s="169">
        <v>6</v>
      </c>
      <c r="D2199" s="170" t="s">
        <v>106</v>
      </c>
      <c r="E2199" s="536">
        <v>9000</v>
      </c>
      <c r="F2199" s="936">
        <f t="shared" si="55"/>
        <v>54000</v>
      </c>
      <c r="G2199" s="161" t="s">
        <v>1223</v>
      </c>
      <c r="K2199" s="1151"/>
      <c r="Q2199" s="1151">
        <f t="shared" si="54"/>
        <v>54000</v>
      </c>
      <c r="W2199" s="1151"/>
    </row>
    <row r="2200" spans="1:23" s="393" customFormat="1" ht="12" x14ac:dyDescent="0.2">
      <c r="A2200" s="346" t="s">
        <v>1579</v>
      </c>
      <c r="B2200" s="457" t="s">
        <v>2238</v>
      </c>
      <c r="C2200" s="169"/>
      <c r="D2200" s="170"/>
      <c r="E2200" s="536"/>
      <c r="F2200" s="936"/>
      <c r="G2200" s="161"/>
      <c r="Q2200" s="1151">
        <f t="shared" si="54"/>
        <v>0</v>
      </c>
      <c r="W2200" s="1151"/>
    </row>
    <row r="2201" spans="1:23" s="393" customFormat="1" ht="27" customHeight="1" x14ac:dyDescent="0.2">
      <c r="A2201" s="193"/>
      <c r="B2201" s="541" t="s">
        <v>1597</v>
      </c>
      <c r="C2201" s="169">
        <v>14</v>
      </c>
      <c r="D2201" s="170" t="s">
        <v>106</v>
      </c>
      <c r="E2201" s="542">
        <v>278000</v>
      </c>
      <c r="F2201" s="936">
        <f t="shared" si="55"/>
        <v>3892000</v>
      </c>
      <c r="G2201" s="161" t="s">
        <v>1223</v>
      </c>
      <c r="K2201" s="1151"/>
      <c r="L2201" s="1151"/>
      <c r="Q2201" s="1151">
        <f t="shared" si="54"/>
        <v>3892000</v>
      </c>
      <c r="T2201" s="1151"/>
      <c r="W2201" s="1151"/>
    </row>
    <row r="2202" spans="1:23" s="393" customFormat="1" ht="12" x14ac:dyDescent="0.2">
      <c r="A2202" s="193"/>
      <c r="B2202" s="541" t="s">
        <v>745</v>
      </c>
      <c r="C2202" s="169">
        <v>14</v>
      </c>
      <c r="D2202" s="170" t="s">
        <v>93</v>
      </c>
      <c r="E2202" s="542">
        <v>161000</v>
      </c>
      <c r="F2202" s="936">
        <f t="shared" si="55"/>
        <v>2254000</v>
      </c>
      <c r="G2202" s="161" t="s">
        <v>1223</v>
      </c>
      <c r="K2202" s="1151"/>
      <c r="L2202" s="1151"/>
      <c r="Q2202" s="1151">
        <f t="shared" si="54"/>
        <v>2254000</v>
      </c>
      <c r="T2202" s="1151"/>
      <c r="W2202" s="1151"/>
    </row>
    <row r="2203" spans="1:23" s="393" customFormat="1" ht="12" x14ac:dyDescent="0.2">
      <c r="A2203" s="193"/>
      <c r="B2203" s="541" t="s">
        <v>311</v>
      </c>
      <c r="C2203" s="169">
        <v>1</v>
      </c>
      <c r="D2203" s="170" t="s">
        <v>474</v>
      </c>
      <c r="E2203" s="542">
        <v>454515.20000000001</v>
      </c>
      <c r="F2203" s="936">
        <f t="shared" si="55"/>
        <v>454515.20000000001</v>
      </c>
      <c r="G2203" s="161" t="s">
        <v>3296</v>
      </c>
      <c r="H2203" s="1066"/>
      <c r="K2203" s="1151"/>
      <c r="L2203" s="1151"/>
      <c r="Q2203" s="1151"/>
      <c r="T2203" s="1151"/>
      <c r="W2203" s="1151">
        <f>F2203</f>
        <v>454515.20000000001</v>
      </c>
    </row>
    <row r="2204" spans="1:23" s="393" customFormat="1" ht="12" x14ac:dyDescent="0.2">
      <c r="A2204" s="193"/>
      <c r="B2204" s="541" t="s">
        <v>1598</v>
      </c>
      <c r="C2204" s="169">
        <v>3</v>
      </c>
      <c r="D2204" s="170" t="s">
        <v>106</v>
      </c>
      <c r="E2204" s="542">
        <v>3000000</v>
      </c>
      <c r="F2204" s="936">
        <f t="shared" si="55"/>
        <v>9000000</v>
      </c>
      <c r="G2204" s="161" t="s">
        <v>3296</v>
      </c>
      <c r="H2204" s="1066"/>
      <c r="K2204" s="1151"/>
      <c r="L2204" s="1151"/>
      <c r="Q2204" s="1151"/>
      <c r="T2204" s="1151"/>
      <c r="W2204" s="1151">
        <f>F2204</f>
        <v>9000000</v>
      </c>
    </row>
    <row r="2205" spans="1:23" s="393" customFormat="1" ht="12" x14ac:dyDescent="0.2">
      <c r="A2205" s="193"/>
      <c r="B2205" s="541" t="s">
        <v>1583</v>
      </c>
      <c r="C2205" s="169">
        <v>14</v>
      </c>
      <c r="D2205" s="170" t="s">
        <v>93</v>
      </c>
      <c r="E2205" s="542">
        <v>187000</v>
      </c>
      <c r="F2205" s="936">
        <f t="shared" si="55"/>
        <v>2618000</v>
      </c>
      <c r="G2205" s="161" t="s">
        <v>3296</v>
      </c>
      <c r="H2205" s="1066"/>
      <c r="K2205" s="1151"/>
      <c r="L2205" s="1151"/>
      <c r="Q2205" s="1151"/>
      <c r="T2205" s="1151"/>
      <c r="W2205" s="1151">
        <f t="shared" ref="W2205:W2207" si="56">F2205</f>
        <v>2618000</v>
      </c>
    </row>
    <row r="2206" spans="1:23" s="393" customFormat="1" ht="12" x14ac:dyDescent="0.2">
      <c r="A2206" s="193"/>
      <c r="B2206" s="541" t="s">
        <v>788</v>
      </c>
      <c r="C2206" s="169">
        <v>14</v>
      </c>
      <c r="D2206" s="170" t="s">
        <v>93</v>
      </c>
      <c r="E2206" s="542">
        <v>139000</v>
      </c>
      <c r="F2206" s="936">
        <f t="shared" si="55"/>
        <v>1946000</v>
      </c>
      <c r="G2206" s="161" t="s">
        <v>3296</v>
      </c>
      <c r="H2206" s="1066"/>
      <c r="K2206" s="1151"/>
      <c r="L2206" s="1151"/>
      <c r="Q2206" s="1151"/>
      <c r="T2206" s="1151"/>
      <c r="W2206" s="1151">
        <f t="shared" si="56"/>
        <v>1946000</v>
      </c>
    </row>
    <row r="2207" spans="1:23" s="393" customFormat="1" ht="12" x14ac:dyDescent="0.2">
      <c r="A2207" s="193"/>
      <c r="B2207" s="541" t="s">
        <v>787</v>
      </c>
      <c r="C2207" s="169">
        <v>14</v>
      </c>
      <c r="D2207" s="170" t="s">
        <v>786</v>
      </c>
      <c r="E2207" s="542">
        <v>39000</v>
      </c>
      <c r="F2207" s="936">
        <f t="shared" si="55"/>
        <v>546000</v>
      </c>
      <c r="G2207" s="161" t="s">
        <v>3296</v>
      </c>
      <c r="K2207" s="1151"/>
      <c r="L2207" s="1151"/>
      <c r="Q2207" s="1151"/>
      <c r="T2207" s="1151"/>
      <c r="W2207" s="1151">
        <f t="shared" si="56"/>
        <v>546000</v>
      </c>
    </row>
    <row r="2208" spans="1:23" s="393" customFormat="1" ht="12" x14ac:dyDescent="0.2">
      <c r="A2208" s="346" t="s">
        <v>785</v>
      </c>
      <c r="B2208" s="540" t="s">
        <v>478</v>
      </c>
      <c r="C2208" s="169"/>
      <c r="D2208" s="170"/>
      <c r="E2208" s="536"/>
      <c r="F2208" s="936"/>
      <c r="G2208" s="161"/>
      <c r="Q2208" s="1151"/>
      <c r="T2208" s="1151"/>
      <c r="W2208" s="1151"/>
    </row>
    <row r="2209" spans="1:23" s="393" customFormat="1" ht="12" x14ac:dyDescent="0.2">
      <c r="A2209" s="346" t="s">
        <v>784</v>
      </c>
      <c r="B2209" s="540" t="s">
        <v>783</v>
      </c>
      <c r="C2209" s="169"/>
      <c r="D2209" s="170"/>
      <c r="E2209" s="536"/>
      <c r="F2209" s="936"/>
      <c r="G2209" s="161"/>
      <c r="Q2209" s="1151"/>
      <c r="W2209" s="1151"/>
    </row>
    <row r="2210" spans="1:23" s="393" customFormat="1" ht="24" x14ac:dyDescent="0.2">
      <c r="A2210" s="176"/>
      <c r="B2210" s="541" t="s">
        <v>3289</v>
      </c>
      <c r="C2210" s="169">
        <f>4*3</f>
        <v>12</v>
      </c>
      <c r="D2210" s="170" t="s">
        <v>21</v>
      </c>
      <c r="E2210" s="536">
        <v>2400000</v>
      </c>
      <c r="F2210" s="936">
        <f t="shared" ref="F2210:F2215" si="57">C2210*E2210</f>
        <v>28800000</v>
      </c>
      <c r="G2210" s="161" t="s">
        <v>3296</v>
      </c>
      <c r="T2210" s="1151"/>
      <c r="W2210" s="1151">
        <f t="shared" ref="W2210:W2214" si="58">F2210</f>
        <v>28800000</v>
      </c>
    </row>
    <row r="2211" spans="1:23" s="393" customFormat="1" ht="24" x14ac:dyDescent="0.2">
      <c r="A2211" s="176"/>
      <c r="B2211" s="541" t="s">
        <v>3290</v>
      </c>
      <c r="C2211" s="169">
        <f>4*9</f>
        <v>36</v>
      </c>
      <c r="D2211" s="170" t="s">
        <v>21</v>
      </c>
      <c r="E2211" s="536">
        <v>2400000</v>
      </c>
      <c r="F2211" s="936">
        <f t="shared" si="57"/>
        <v>86400000</v>
      </c>
      <c r="G2211" s="161" t="s">
        <v>3296</v>
      </c>
      <c r="K2211" s="1151"/>
      <c r="W2211" s="1151">
        <f t="shared" si="58"/>
        <v>86400000</v>
      </c>
    </row>
    <row r="2212" spans="1:23" s="393" customFormat="1" ht="24" x14ac:dyDescent="0.2">
      <c r="A2212" s="176"/>
      <c r="B2212" s="541" t="s">
        <v>3272</v>
      </c>
      <c r="C2212" s="169">
        <f>7*3</f>
        <v>21</v>
      </c>
      <c r="D2212" s="170" t="s">
        <v>21</v>
      </c>
      <c r="E2212" s="536">
        <v>2000000</v>
      </c>
      <c r="F2212" s="936">
        <f t="shared" si="57"/>
        <v>42000000</v>
      </c>
      <c r="G2212" s="161" t="s">
        <v>3296</v>
      </c>
      <c r="T2212" s="1151"/>
      <c r="W2212" s="1151">
        <f t="shared" si="58"/>
        <v>42000000</v>
      </c>
    </row>
    <row r="2213" spans="1:23" s="393" customFormat="1" ht="24" x14ac:dyDescent="0.2">
      <c r="A2213" s="176"/>
      <c r="B2213" s="541" t="s">
        <v>3273</v>
      </c>
      <c r="C2213" s="169">
        <f>7*9</f>
        <v>63</v>
      </c>
      <c r="D2213" s="170" t="s">
        <v>21</v>
      </c>
      <c r="E2213" s="536">
        <v>2000000</v>
      </c>
      <c r="F2213" s="936">
        <f t="shared" si="57"/>
        <v>126000000</v>
      </c>
      <c r="G2213" s="161" t="s">
        <v>3296</v>
      </c>
      <c r="K2213" s="1151"/>
      <c r="W2213" s="1151">
        <f t="shared" si="58"/>
        <v>126000000</v>
      </c>
    </row>
    <row r="2214" spans="1:23" s="393" customFormat="1" ht="24" x14ac:dyDescent="0.2">
      <c r="A2214" s="176"/>
      <c r="B2214" s="541" t="s">
        <v>3270</v>
      </c>
      <c r="C2214" s="169">
        <v>9</v>
      </c>
      <c r="D2214" s="170" t="s">
        <v>21</v>
      </c>
      <c r="E2214" s="536">
        <v>2000000</v>
      </c>
      <c r="F2214" s="936">
        <f t="shared" si="57"/>
        <v>18000000</v>
      </c>
      <c r="G2214" s="161" t="s">
        <v>3296</v>
      </c>
      <c r="T2214" s="1151"/>
      <c r="W2214" s="1151">
        <f t="shared" si="58"/>
        <v>18000000</v>
      </c>
    </row>
    <row r="2215" spans="1:23" s="393" customFormat="1" ht="24" x14ac:dyDescent="0.2">
      <c r="A2215" s="176"/>
      <c r="B2215" s="541" t="s">
        <v>3271</v>
      </c>
      <c r="C2215" s="169">
        <f>3*9</f>
        <v>27</v>
      </c>
      <c r="D2215" s="170" t="s">
        <v>21</v>
      </c>
      <c r="E2215" s="536">
        <v>2000000</v>
      </c>
      <c r="F2215" s="936">
        <f t="shared" si="57"/>
        <v>54000000</v>
      </c>
      <c r="G2215" s="161" t="s">
        <v>1223</v>
      </c>
      <c r="K2215" s="1151"/>
      <c r="Q2215" s="1151">
        <f>F2215</f>
        <v>54000000</v>
      </c>
      <c r="W2215" s="1151"/>
    </row>
    <row r="2216" spans="1:23" s="393" customFormat="1" ht="24" x14ac:dyDescent="0.2">
      <c r="A2216" s="176" t="s">
        <v>782</v>
      </c>
      <c r="B2216" s="540" t="s">
        <v>1604</v>
      </c>
      <c r="C2216" s="169"/>
      <c r="D2216" s="170"/>
      <c r="E2216" s="536"/>
      <c r="F2216" s="936"/>
      <c r="G2216" s="161"/>
      <c r="W2216" s="1151"/>
    </row>
    <row r="2217" spans="1:23" s="393" customFormat="1" ht="24" x14ac:dyDescent="0.2">
      <c r="A2217" s="176" t="s">
        <v>780</v>
      </c>
      <c r="B2217" s="540" t="s">
        <v>779</v>
      </c>
      <c r="C2217" s="169"/>
      <c r="D2217" s="170"/>
      <c r="E2217" s="536"/>
      <c r="F2217" s="936"/>
      <c r="G2217" s="161"/>
      <c r="W2217" s="1151"/>
    </row>
    <row r="2218" spans="1:23" s="393" customFormat="1" ht="12" x14ac:dyDescent="0.2">
      <c r="A2218" s="176"/>
      <c r="B2218" s="541" t="s">
        <v>3281</v>
      </c>
      <c r="C2218" s="169">
        <v>3</v>
      </c>
      <c r="D2218" s="170" t="s">
        <v>3282</v>
      </c>
      <c r="E2218" s="536">
        <v>1000000</v>
      </c>
      <c r="F2218" s="936">
        <f>E2218*C2218</f>
        <v>3000000</v>
      </c>
      <c r="G2218" s="161" t="s">
        <v>1220</v>
      </c>
      <c r="K2218" s="1151">
        <f>F2218</f>
        <v>3000000</v>
      </c>
      <c r="L2218" s="1151"/>
      <c r="T2218" s="1151"/>
      <c r="W2218" s="1151"/>
    </row>
    <row r="2219" spans="1:23" s="393" customFormat="1" ht="12" x14ac:dyDescent="0.2">
      <c r="A2219" s="176"/>
      <c r="B2219" s="465" t="s">
        <v>3274</v>
      </c>
      <c r="C2219" s="169">
        <v>3</v>
      </c>
      <c r="D2219" s="170" t="s">
        <v>126</v>
      </c>
      <c r="E2219" s="543">
        <v>5700000</v>
      </c>
      <c r="F2219" s="936">
        <f>C2219*E2219</f>
        <v>17100000</v>
      </c>
      <c r="G2219" s="161" t="s">
        <v>1220</v>
      </c>
      <c r="K2219" s="1151">
        <f t="shared" ref="K2219:K2221" si="59">F2219</f>
        <v>17100000</v>
      </c>
      <c r="L2219" s="1151"/>
      <c r="T2219" s="1151"/>
      <c r="W2219" s="1151"/>
    </row>
    <row r="2220" spans="1:23" s="393" customFormat="1" ht="12" x14ac:dyDescent="0.2">
      <c r="A2220" s="176"/>
      <c r="B2220" s="465" t="s">
        <v>3275</v>
      </c>
      <c r="C2220" s="169">
        <v>6</v>
      </c>
      <c r="D2220" s="170" t="s">
        <v>126</v>
      </c>
      <c r="E2220" s="543">
        <v>500000</v>
      </c>
      <c r="F2220" s="936">
        <f>C2220*E2220</f>
        <v>3000000</v>
      </c>
      <c r="G2220" s="161" t="s">
        <v>1220</v>
      </c>
      <c r="K2220" s="1151">
        <f t="shared" si="59"/>
        <v>3000000</v>
      </c>
      <c r="L2220" s="1151"/>
      <c r="T2220" s="1151"/>
      <c r="W2220" s="1151"/>
    </row>
    <row r="2221" spans="1:23" s="393" customFormat="1" ht="12" x14ac:dyDescent="0.2">
      <c r="A2221" s="176"/>
      <c r="B2221" s="465" t="s">
        <v>778</v>
      </c>
      <c r="C2221" s="169">
        <v>1</v>
      </c>
      <c r="D2221" s="170" t="s">
        <v>126</v>
      </c>
      <c r="E2221" s="543">
        <v>2867020</v>
      </c>
      <c r="F2221" s="936">
        <f>C2221*E2221</f>
        <v>2867020</v>
      </c>
      <c r="G2221" s="161" t="s">
        <v>1220</v>
      </c>
      <c r="H2221" s="1066"/>
      <c r="K2221" s="1151">
        <f t="shared" si="59"/>
        <v>2867020</v>
      </c>
      <c r="L2221" s="1151"/>
      <c r="T2221" s="1151"/>
      <c r="W2221" s="1151"/>
    </row>
    <row r="2222" spans="1:23" s="393" customFormat="1" ht="12" x14ac:dyDescent="0.2">
      <c r="A2222" s="176"/>
      <c r="B2222" s="465" t="s">
        <v>777</v>
      </c>
      <c r="C2222" s="169">
        <v>2</v>
      </c>
      <c r="D2222" s="170" t="s">
        <v>126</v>
      </c>
      <c r="E2222" s="543">
        <v>1000000</v>
      </c>
      <c r="F2222" s="936">
        <f>C2222*E2222</f>
        <v>2000000</v>
      </c>
      <c r="G2222" s="161" t="s">
        <v>2253</v>
      </c>
      <c r="K2222" s="1151"/>
      <c r="L2222" s="1151"/>
      <c r="T2222" s="1151"/>
      <c r="V2222" s="1151">
        <f>F2222</f>
        <v>2000000</v>
      </c>
      <c r="W2222" s="1151"/>
    </row>
    <row r="2223" spans="1:23" s="393" customFormat="1" ht="12" x14ac:dyDescent="0.2">
      <c r="A2223" s="346" t="s">
        <v>776</v>
      </c>
      <c r="B2223" s="540" t="s">
        <v>206</v>
      </c>
      <c r="C2223" s="169"/>
      <c r="D2223" s="170"/>
      <c r="E2223" s="536"/>
      <c r="F2223" s="936"/>
      <c r="G2223" s="161"/>
      <c r="L2223" s="1151"/>
      <c r="T2223" s="1151"/>
      <c r="W2223" s="1151"/>
    </row>
    <row r="2224" spans="1:23" s="393" customFormat="1" ht="24" x14ac:dyDescent="0.2">
      <c r="A2224" s="346" t="s">
        <v>774</v>
      </c>
      <c r="B2224" s="463" t="s">
        <v>208</v>
      </c>
      <c r="C2224" s="169"/>
      <c r="D2224" s="170"/>
      <c r="E2224" s="537"/>
      <c r="F2224" s="936"/>
      <c r="G2224" s="161"/>
      <c r="T2224" s="1151"/>
      <c r="W2224" s="1151"/>
    </row>
    <row r="2225" spans="1:23" s="393" customFormat="1" ht="12" x14ac:dyDescent="0.2">
      <c r="A2225" s="176"/>
      <c r="B2225" s="544" t="s">
        <v>2234</v>
      </c>
      <c r="C2225" s="169">
        <v>1</v>
      </c>
      <c r="D2225" s="170" t="s">
        <v>186</v>
      </c>
      <c r="E2225" s="536">
        <v>5000000</v>
      </c>
      <c r="F2225" s="936">
        <f t="shared" ref="F2225:F2233" si="60">C2225*E2225</f>
        <v>5000000</v>
      </c>
      <c r="G2225" s="161" t="s">
        <v>1220</v>
      </c>
      <c r="K2225" s="1151">
        <f>F2225</f>
        <v>5000000</v>
      </c>
      <c r="T2225" s="1151"/>
      <c r="W2225" s="1151"/>
    </row>
    <row r="2226" spans="1:23" s="393" customFormat="1" ht="36.75" customHeight="1" x14ac:dyDescent="0.2">
      <c r="A2226" s="176"/>
      <c r="B2226" s="544" t="s">
        <v>3276</v>
      </c>
      <c r="C2226" s="169">
        <v>1</v>
      </c>
      <c r="D2226" s="170" t="s">
        <v>186</v>
      </c>
      <c r="E2226" s="536">
        <v>18000000</v>
      </c>
      <c r="F2226" s="936">
        <f t="shared" si="60"/>
        <v>18000000</v>
      </c>
      <c r="G2226" s="161" t="s">
        <v>1220</v>
      </c>
      <c r="K2226" s="1151">
        <f t="shared" ref="K2226:K2229" si="61">F2226</f>
        <v>18000000</v>
      </c>
      <c r="T2226" s="1151"/>
      <c r="W2226" s="1151"/>
    </row>
    <row r="2227" spans="1:23" s="393" customFormat="1" ht="12" x14ac:dyDescent="0.2">
      <c r="A2227" s="176"/>
      <c r="B2227" s="544" t="s">
        <v>3280</v>
      </c>
      <c r="C2227" s="169">
        <v>3</v>
      </c>
      <c r="D2227" s="170" t="s">
        <v>110</v>
      </c>
      <c r="E2227" s="536">
        <v>2000000</v>
      </c>
      <c r="F2227" s="936">
        <f t="shared" si="60"/>
        <v>6000000</v>
      </c>
      <c r="G2227" s="161" t="s">
        <v>1220</v>
      </c>
      <c r="K2227" s="1151">
        <f t="shared" si="61"/>
        <v>6000000</v>
      </c>
      <c r="W2227" s="1151"/>
    </row>
    <row r="2228" spans="1:23" s="393" customFormat="1" ht="12" x14ac:dyDescent="0.2">
      <c r="A2228" s="176"/>
      <c r="B2228" s="544" t="s">
        <v>1605</v>
      </c>
      <c r="C2228" s="169">
        <v>1</v>
      </c>
      <c r="D2228" s="170" t="s">
        <v>110</v>
      </c>
      <c r="E2228" s="536">
        <v>6000000</v>
      </c>
      <c r="F2228" s="936">
        <f t="shared" si="60"/>
        <v>6000000</v>
      </c>
      <c r="G2228" s="161" t="s">
        <v>1220</v>
      </c>
      <c r="K2228" s="1151">
        <f t="shared" si="61"/>
        <v>6000000</v>
      </c>
      <c r="T2228" s="1151"/>
      <c r="W2228" s="1151"/>
    </row>
    <row r="2229" spans="1:23" s="393" customFormat="1" ht="12" x14ac:dyDescent="0.2">
      <c r="A2229" s="176"/>
      <c r="B2229" s="544" t="s">
        <v>2235</v>
      </c>
      <c r="C2229" s="169">
        <v>1</v>
      </c>
      <c r="D2229" s="170" t="s">
        <v>2236</v>
      </c>
      <c r="E2229" s="536">
        <v>8500000</v>
      </c>
      <c r="F2229" s="936">
        <f t="shared" si="60"/>
        <v>8500000</v>
      </c>
      <c r="G2229" s="161" t="s">
        <v>1220</v>
      </c>
      <c r="K2229" s="1151">
        <f t="shared" si="61"/>
        <v>8500000</v>
      </c>
      <c r="W2229" s="1151"/>
    </row>
    <row r="2230" spans="1:23" s="393" customFormat="1" ht="12" x14ac:dyDescent="0.2">
      <c r="A2230" s="176"/>
      <c r="B2230" s="544" t="s">
        <v>2237</v>
      </c>
      <c r="C2230" s="169">
        <v>2</v>
      </c>
      <c r="D2230" s="170" t="s">
        <v>110</v>
      </c>
      <c r="E2230" s="536">
        <v>10000000</v>
      </c>
      <c r="F2230" s="936">
        <f t="shared" si="60"/>
        <v>20000000</v>
      </c>
      <c r="G2230" s="161" t="s">
        <v>3296</v>
      </c>
      <c r="K2230" s="1151"/>
      <c r="W2230" s="1151">
        <f>F2230</f>
        <v>20000000</v>
      </c>
    </row>
    <row r="2231" spans="1:23" s="393" customFormat="1" ht="12" x14ac:dyDescent="0.2">
      <c r="A2231" s="176"/>
      <c r="B2231" s="544" t="s">
        <v>3283</v>
      </c>
      <c r="C2231" s="169">
        <v>3</v>
      </c>
      <c r="D2231" s="170" t="s">
        <v>110</v>
      </c>
      <c r="E2231" s="536">
        <v>3000000</v>
      </c>
      <c r="F2231" s="936">
        <f t="shared" si="60"/>
        <v>9000000</v>
      </c>
      <c r="G2231" s="161" t="s">
        <v>1220</v>
      </c>
      <c r="K2231" s="1151">
        <f>F2231</f>
        <v>9000000</v>
      </c>
      <c r="T2231" s="1151"/>
      <c r="W2231" s="1151"/>
    </row>
    <row r="2232" spans="1:23" s="393" customFormat="1" ht="12" x14ac:dyDescent="0.2">
      <c r="A2232" s="176"/>
      <c r="B2232" s="465" t="s">
        <v>773</v>
      </c>
      <c r="C2232" s="169">
        <v>1</v>
      </c>
      <c r="D2232" s="170" t="s">
        <v>772</v>
      </c>
      <c r="E2232" s="543">
        <v>20000000</v>
      </c>
      <c r="F2232" s="936">
        <f t="shared" si="60"/>
        <v>20000000</v>
      </c>
      <c r="G2232" s="161" t="s">
        <v>1220</v>
      </c>
      <c r="K2232" s="1151">
        <f t="shared" ref="K2232:K2233" si="62">F2232</f>
        <v>20000000</v>
      </c>
      <c r="W2232" s="1151"/>
    </row>
    <row r="2233" spans="1:23" s="393" customFormat="1" ht="12" x14ac:dyDescent="0.2">
      <c r="A2233" s="176"/>
      <c r="B2233" s="465" t="s">
        <v>1239</v>
      </c>
      <c r="C2233" s="545">
        <v>2</v>
      </c>
      <c r="D2233" s="170" t="s">
        <v>110</v>
      </c>
      <c r="E2233" s="543">
        <v>10000000</v>
      </c>
      <c r="F2233" s="936">
        <f t="shared" si="60"/>
        <v>20000000</v>
      </c>
      <c r="G2233" s="161" t="s">
        <v>1220</v>
      </c>
      <c r="K2233" s="1151">
        <f t="shared" si="62"/>
        <v>20000000</v>
      </c>
      <c r="W2233" s="1151"/>
    </row>
    <row r="2234" spans="1:23" s="393" customFormat="1" ht="12" x14ac:dyDescent="0.2">
      <c r="A2234" s="176"/>
      <c r="B2234" s="541"/>
      <c r="C2234" s="545"/>
      <c r="D2234" s="545"/>
      <c r="E2234" s="543"/>
      <c r="F2234" s="936"/>
      <c r="G2234" s="177"/>
      <c r="T2234" s="1151"/>
      <c r="W2234" s="1151"/>
    </row>
    <row r="2235" spans="1:23" s="393" customFormat="1" ht="12" x14ac:dyDescent="0.2">
      <c r="A2235" s="205"/>
      <c r="B2235" s="2080" t="s">
        <v>771</v>
      </c>
      <c r="C2235" s="2080"/>
      <c r="D2235" s="2080"/>
      <c r="E2235" s="2080"/>
      <c r="F2235" s="940">
        <f>SUM(F2188:F2233)</f>
        <v>650876535.20000005</v>
      </c>
      <c r="G2235" s="205"/>
      <c r="W2235" s="1151"/>
    </row>
    <row r="2236" spans="1:23" x14ac:dyDescent="0.25">
      <c r="A2236" s="1926" t="s">
        <v>516</v>
      </c>
      <c r="B2236" s="1926"/>
      <c r="C2236" s="152" t="s">
        <v>27</v>
      </c>
      <c r="D2236" s="1926" t="s">
        <v>3654</v>
      </c>
      <c r="E2236" s="1926"/>
      <c r="F2236" s="1926"/>
      <c r="G2236" s="152"/>
    </row>
    <row r="2237" spans="1:23" x14ac:dyDescent="0.25">
      <c r="A2237" s="1926" t="s">
        <v>28</v>
      </c>
      <c r="B2237" s="1926"/>
      <c r="C2237" s="152"/>
      <c r="D2237" s="1927" t="s">
        <v>3570</v>
      </c>
      <c r="E2237" s="1927"/>
      <c r="F2237" s="1927"/>
      <c r="G2237" s="152"/>
    </row>
    <row r="2238" spans="1:23" x14ac:dyDescent="0.25">
      <c r="A2238" s="150"/>
      <c r="B2238" s="151"/>
      <c r="C2238" s="152"/>
      <c r="D2238" s="153"/>
      <c r="E2238" s="182"/>
      <c r="F2238" s="1208"/>
      <c r="G2238" s="152"/>
    </row>
    <row r="2239" spans="1:23" x14ac:dyDescent="0.25">
      <c r="A2239" s="150"/>
      <c r="B2239" s="151"/>
      <c r="C2239" s="152"/>
      <c r="D2239" s="153"/>
      <c r="E2239" s="182"/>
      <c r="F2239" s="1208"/>
      <c r="G2239" s="152"/>
    </row>
    <row r="2240" spans="1:23" x14ac:dyDescent="0.25">
      <c r="A2240" s="1926"/>
      <c r="B2240" s="1926"/>
      <c r="C2240" s="152"/>
      <c r="D2240" s="153"/>
      <c r="E2240" s="2003"/>
      <c r="F2240" s="2003"/>
      <c r="G2240" s="152"/>
    </row>
    <row r="2241" spans="1:13" x14ac:dyDescent="0.25">
      <c r="A2241" s="1926" t="s">
        <v>29</v>
      </c>
      <c r="B2241" s="1926"/>
      <c r="C2241" s="152"/>
      <c r="D2241" s="1926" t="s">
        <v>3548</v>
      </c>
      <c r="E2241" s="1926"/>
      <c r="F2241" s="1926"/>
      <c r="G2241" s="152"/>
    </row>
    <row r="2244" spans="1:13" x14ac:dyDescent="0.25">
      <c r="A2244" s="1947" t="s">
        <v>0</v>
      </c>
      <c r="B2244" s="1947"/>
      <c r="C2244" s="1947"/>
      <c r="D2244" s="1947"/>
      <c r="E2244" s="1947"/>
      <c r="F2244" s="1947"/>
      <c r="G2244" s="1947"/>
      <c r="H2244" s="149"/>
      <c r="I2244" s="149"/>
      <c r="J2244" s="149"/>
      <c r="K2244" s="149"/>
      <c r="L2244" s="149"/>
      <c r="M2244" s="149"/>
    </row>
    <row r="2245" spans="1:13" x14ac:dyDescent="0.25">
      <c r="A2245" s="1947" t="s">
        <v>1</v>
      </c>
      <c r="B2245" s="1947"/>
      <c r="C2245" s="1947"/>
      <c r="D2245" s="1947"/>
      <c r="E2245" s="1947"/>
      <c r="F2245" s="1947"/>
      <c r="G2245" s="1947"/>
      <c r="H2245" s="149"/>
      <c r="I2245" s="149"/>
      <c r="J2245" s="149"/>
      <c r="K2245" s="149"/>
      <c r="L2245" s="149"/>
      <c r="M2245" s="149"/>
    </row>
    <row r="2246" spans="1:13" x14ac:dyDescent="0.25">
      <c r="A2246" s="1947" t="s">
        <v>2398</v>
      </c>
      <c r="B2246" s="1947"/>
      <c r="C2246" s="1947"/>
      <c r="D2246" s="1947"/>
      <c r="E2246" s="1947"/>
      <c r="F2246" s="1947"/>
      <c r="G2246" s="1947"/>
      <c r="H2246" s="149"/>
      <c r="I2246" s="149"/>
      <c r="J2246" s="149"/>
      <c r="K2246" s="149"/>
      <c r="L2246" s="149"/>
      <c r="M2246" s="149"/>
    </row>
    <row r="2247" spans="1:13" x14ac:dyDescent="0.25">
      <c r="A2247" s="156"/>
      <c r="B2247" s="151"/>
      <c r="C2247" s="153"/>
      <c r="D2247" s="153"/>
      <c r="E2247" s="527"/>
      <c r="F2247" s="528"/>
      <c r="G2247" s="151"/>
      <c r="H2247" s="151"/>
      <c r="I2247" s="151"/>
      <c r="J2247" s="151"/>
      <c r="K2247" s="151"/>
      <c r="L2247" s="151"/>
      <c r="M2247" s="151"/>
    </row>
    <row r="2248" spans="1:13" ht="24.75" x14ac:dyDescent="0.25">
      <c r="A2248" s="182" t="s">
        <v>491</v>
      </c>
      <c r="B2248" s="546" t="s">
        <v>648</v>
      </c>
      <c r="C2248" s="153"/>
      <c r="D2248" s="153"/>
      <c r="E2248" s="529" t="s">
        <v>6</v>
      </c>
      <c r="F2248" s="527"/>
      <c r="G2248" s="405"/>
      <c r="H2248" s="405"/>
      <c r="I2248" s="405"/>
      <c r="J2248" s="405"/>
      <c r="K2248" s="405"/>
      <c r="L2248" s="405"/>
      <c r="M2248" s="405"/>
    </row>
    <row r="2249" spans="1:13" x14ac:dyDescent="0.25">
      <c r="A2249" s="182" t="s">
        <v>803</v>
      </c>
      <c r="B2249" s="546" t="s">
        <v>802</v>
      </c>
      <c r="C2249" s="153"/>
      <c r="D2249" s="153"/>
      <c r="E2249" s="529" t="s">
        <v>9</v>
      </c>
      <c r="F2249" s="527"/>
      <c r="G2249" s="405"/>
      <c r="H2249" s="405"/>
      <c r="I2249" s="405"/>
      <c r="J2249" s="405"/>
      <c r="K2249" s="405"/>
      <c r="L2249" s="405"/>
      <c r="M2249" s="405"/>
    </row>
    <row r="2250" spans="1:13" ht="36.75" x14ac:dyDescent="0.25">
      <c r="A2250" s="184" t="s">
        <v>801</v>
      </c>
      <c r="B2250" s="151" t="s">
        <v>1425</v>
      </c>
      <c r="C2250" s="151"/>
      <c r="D2250" s="153"/>
      <c r="E2250" s="528"/>
      <c r="F2250" s="527"/>
      <c r="G2250" s="405"/>
      <c r="H2250" s="405"/>
      <c r="I2250" s="405"/>
      <c r="J2250" s="405"/>
      <c r="K2250" s="405"/>
      <c r="L2250" s="405"/>
      <c r="M2250" s="405"/>
    </row>
    <row r="2251" spans="1:13" ht="24.75" x14ac:dyDescent="0.25">
      <c r="A2251" s="151" t="s">
        <v>469</v>
      </c>
      <c r="B2251" s="217" t="s">
        <v>60</v>
      </c>
      <c r="C2251" s="153"/>
      <c r="D2251" s="153"/>
      <c r="E2251" s="527"/>
      <c r="F2251" s="527"/>
      <c r="G2251" s="405"/>
      <c r="H2251" s="405"/>
      <c r="I2251" s="405"/>
      <c r="J2251" s="405"/>
      <c r="K2251" s="405"/>
      <c r="L2251" s="405"/>
      <c r="M2251" s="405"/>
    </row>
    <row r="2252" spans="1:13" ht="24" x14ac:dyDescent="0.25">
      <c r="A2252" s="928" t="s">
        <v>30</v>
      </c>
      <c r="B2252" s="928" t="s">
        <v>11</v>
      </c>
      <c r="C2252" s="2078" t="s">
        <v>12</v>
      </c>
      <c r="D2252" s="2079"/>
      <c r="E2252" s="930" t="s">
        <v>13</v>
      </c>
      <c r="F2252" s="929" t="s">
        <v>14</v>
      </c>
      <c r="G2252" s="931" t="s">
        <v>34</v>
      </c>
    </row>
    <row r="2253" spans="1:13" x14ac:dyDescent="0.25">
      <c r="A2253" s="932">
        <v>1</v>
      </c>
      <c r="B2253" s="932">
        <v>2</v>
      </c>
      <c r="C2253" s="2004">
        <v>3</v>
      </c>
      <c r="D2253" s="2005"/>
      <c r="E2253" s="934">
        <v>4</v>
      </c>
      <c r="F2253" s="933">
        <v>5</v>
      </c>
      <c r="G2253" s="937">
        <v>6</v>
      </c>
    </row>
    <row r="2254" spans="1:13" x14ac:dyDescent="0.25">
      <c r="A2254" s="176"/>
      <c r="B2254" s="540" t="s">
        <v>1426</v>
      </c>
      <c r="C2254" s="169"/>
      <c r="D2254" s="170"/>
      <c r="E2254" s="543"/>
      <c r="F2254" s="936"/>
      <c r="G2254" s="161"/>
      <c r="H2254" s="153"/>
      <c r="I2254" s="939"/>
      <c r="J2254" s="938"/>
      <c r="K2254" s="151"/>
      <c r="L2254" s="151"/>
      <c r="M2254" s="151"/>
    </row>
    <row r="2255" spans="1:13" x14ac:dyDescent="0.25">
      <c r="A2255" s="176" t="s">
        <v>799</v>
      </c>
      <c r="B2255" s="540" t="s">
        <v>277</v>
      </c>
      <c r="C2255" s="169"/>
      <c r="D2255" s="170"/>
      <c r="E2255" s="543"/>
      <c r="F2255" s="936"/>
      <c r="G2255" s="161"/>
      <c r="H2255" s="153"/>
      <c r="I2255" s="939"/>
      <c r="J2255" s="938"/>
      <c r="K2255" s="151"/>
      <c r="L2255" s="151"/>
      <c r="M2255" s="151"/>
    </row>
    <row r="2256" spans="1:13" x14ac:dyDescent="0.25">
      <c r="A2256" s="176" t="s">
        <v>798</v>
      </c>
      <c r="B2256" s="540" t="s">
        <v>84</v>
      </c>
      <c r="C2256" s="169"/>
      <c r="D2256" s="170"/>
      <c r="E2256" s="543"/>
      <c r="F2256" s="936"/>
      <c r="G2256" s="161"/>
      <c r="H2256" s="153"/>
      <c r="I2256" s="939"/>
      <c r="J2256" s="938"/>
      <c r="K2256" s="151"/>
      <c r="L2256" s="151"/>
      <c r="M2256" s="151"/>
    </row>
    <row r="2257" spans="1:13" ht="24" x14ac:dyDescent="0.25">
      <c r="A2257" s="176" t="s">
        <v>1427</v>
      </c>
      <c r="B2257" s="540" t="s">
        <v>1428</v>
      </c>
      <c r="C2257" s="169"/>
      <c r="D2257" s="170"/>
      <c r="E2257" s="543"/>
      <c r="F2257" s="936"/>
      <c r="G2257" s="161"/>
      <c r="H2257" s="153"/>
      <c r="I2257" s="939"/>
      <c r="J2257" s="938"/>
      <c r="K2257" s="151"/>
      <c r="L2257" s="151"/>
      <c r="M2257" s="151"/>
    </row>
    <row r="2258" spans="1:13" x14ac:dyDescent="0.25">
      <c r="A2258" s="176"/>
      <c r="B2258" s="541" t="s">
        <v>1752</v>
      </c>
      <c r="C2258" s="169">
        <v>24</v>
      </c>
      <c r="D2258" s="545" t="s">
        <v>106</v>
      </c>
      <c r="E2258" s="547">
        <v>5000</v>
      </c>
      <c r="F2258" s="936">
        <f t="shared" ref="F2258:F2260" si="63">C2258*E2258</f>
        <v>120000</v>
      </c>
      <c r="G2258" s="161" t="s">
        <v>1220</v>
      </c>
      <c r="H2258" s="153"/>
      <c r="I2258" s="939"/>
      <c r="J2258" s="938"/>
      <c r="K2258" s="926">
        <f>F2258</f>
        <v>120000</v>
      </c>
      <c r="L2258" s="151"/>
      <c r="M2258" s="151"/>
    </row>
    <row r="2259" spans="1:13" x14ac:dyDescent="0.25">
      <c r="A2259" s="176"/>
      <c r="B2259" s="541" t="s">
        <v>1456</v>
      </c>
      <c r="C2259" s="169">
        <v>12</v>
      </c>
      <c r="D2259" s="545" t="s">
        <v>106</v>
      </c>
      <c r="E2259" s="547">
        <v>38000</v>
      </c>
      <c r="F2259" s="936">
        <f t="shared" si="63"/>
        <v>456000</v>
      </c>
      <c r="G2259" s="161" t="s">
        <v>1220</v>
      </c>
      <c r="H2259" s="153"/>
      <c r="I2259" s="939"/>
      <c r="J2259" s="938"/>
      <c r="K2259" s="926">
        <f t="shared" ref="K2259:K2260" si="64">F2259</f>
        <v>456000</v>
      </c>
      <c r="L2259" s="151"/>
      <c r="M2259" s="151"/>
    </row>
    <row r="2260" spans="1:13" x14ac:dyDescent="0.25">
      <c r="A2260" s="176"/>
      <c r="B2260" s="541" t="s">
        <v>1457</v>
      </c>
      <c r="C2260" s="169">
        <v>5</v>
      </c>
      <c r="D2260" s="545" t="s">
        <v>106</v>
      </c>
      <c r="E2260" s="547">
        <v>18000</v>
      </c>
      <c r="F2260" s="936">
        <f t="shared" si="63"/>
        <v>90000</v>
      </c>
      <c r="G2260" s="161" t="s">
        <v>1220</v>
      </c>
      <c r="H2260" s="153"/>
      <c r="I2260" s="939"/>
      <c r="J2260" s="938"/>
      <c r="K2260" s="926">
        <f t="shared" si="64"/>
        <v>90000</v>
      </c>
      <c r="L2260" s="151"/>
      <c r="M2260" s="151"/>
    </row>
    <row r="2261" spans="1:13" ht="36" x14ac:dyDescent="0.25">
      <c r="A2261" s="176" t="s">
        <v>797</v>
      </c>
      <c r="B2261" s="540" t="s">
        <v>814</v>
      </c>
      <c r="C2261" s="169"/>
      <c r="D2261" s="545"/>
      <c r="E2261" s="547"/>
      <c r="F2261" s="936"/>
      <c r="G2261" s="161"/>
      <c r="H2261" s="153"/>
      <c r="I2261" s="939"/>
      <c r="J2261" s="938"/>
      <c r="K2261" s="926"/>
      <c r="L2261" s="151"/>
      <c r="M2261" s="151"/>
    </row>
    <row r="2262" spans="1:13" x14ac:dyDescent="0.25">
      <c r="A2262" s="176"/>
      <c r="B2262" s="541" t="s">
        <v>1606</v>
      </c>
      <c r="C2262" s="169">
        <v>12</v>
      </c>
      <c r="D2262" s="545" t="s">
        <v>106</v>
      </c>
      <c r="E2262" s="547">
        <v>20000</v>
      </c>
      <c r="F2262" s="936">
        <f t="shared" ref="F2262" si="65">C2262*E2262</f>
        <v>240000</v>
      </c>
      <c r="G2262" s="161" t="s">
        <v>1220</v>
      </c>
      <c r="H2262" s="153"/>
      <c r="I2262" s="939"/>
      <c r="J2262" s="938"/>
      <c r="K2262" s="926">
        <f>F2262</f>
        <v>240000</v>
      </c>
      <c r="L2262" s="151"/>
      <c r="M2262" s="151"/>
    </row>
    <row r="2263" spans="1:13" ht="36" x14ac:dyDescent="0.25">
      <c r="A2263" s="176" t="s">
        <v>1429</v>
      </c>
      <c r="B2263" s="540" t="s">
        <v>1430</v>
      </c>
      <c r="C2263" s="169"/>
      <c r="D2263" s="545"/>
      <c r="E2263" s="547"/>
      <c r="F2263" s="936"/>
      <c r="G2263" s="161"/>
      <c r="H2263" s="153"/>
      <c r="I2263" s="939"/>
      <c r="J2263" s="938"/>
      <c r="K2263" s="926"/>
      <c r="L2263" s="151"/>
      <c r="M2263" s="151"/>
    </row>
    <row r="2264" spans="1:13" x14ac:dyDescent="0.25">
      <c r="A2264" s="176"/>
      <c r="B2264" s="541" t="s">
        <v>1431</v>
      </c>
      <c r="C2264" s="169">
        <v>12</v>
      </c>
      <c r="D2264" s="545" t="s">
        <v>106</v>
      </c>
      <c r="E2264" s="547">
        <v>30000</v>
      </c>
      <c r="F2264" s="936">
        <f t="shared" ref="F2264:F2273" si="66">C2264*E2264</f>
        <v>360000</v>
      </c>
      <c r="G2264" s="161" t="s">
        <v>1220</v>
      </c>
      <c r="H2264" s="153"/>
      <c r="I2264" s="939"/>
      <c r="J2264" s="938"/>
      <c r="K2264" s="926">
        <f>F2264</f>
        <v>360000</v>
      </c>
      <c r="L2264" s="151"/>
      <c r="M2264" s="151"/>
    </row>
    <row r="2265" spans="1:13" x14ac:dyDescent="0.25">
      <c r="A2265" s="176"/>
      <c r="B2265" s="541" t="s">
        <v>576</v>
      </c>
      <c r="C2265" s="169">
        <v>12</v>
      </c>
      <c r="D2265" s="545" t="s">
        <v>106</v>
      </c>
      <c r="E2265" s="547">
        <v>38000</v>
      </c>
      <c r="F2265" s="936">
        <f t="shared" si="66"/>
        <v>456000</v>
      </c>
      <c r="G2265" s="161" t="s">
        <v>1220</v>
      </c>
      <c r="H2265" s="153"/>
      <c r="I2265" s="939"/>
      <c r="J2265" s="938"/>
      <c r="K2265" s="926">
        <f t="shared" ref="K2265:K2273" si="67">F2265</f>
        <v>456000</v>
      </c>
      <c r="L2265" s="151"/>
      <c r="M2265" s="151"/>
    </row>
    <row r="2266" spans="1:13" x14ac:dyDescent="0.25">
      <c r="A2266" s="176"/>
      <c r="B2266" s="541" t="s">
        <v>1432</v>
      </c>
      <c r="C2266" s="169">
        <v>12</v>
      </c>
      <c r="D2266" s="545" t="s">
        <v>106</v>
      </c>
      <c r="E2266" s="547">
        <v>35000</v>
      </c>
      <c r="F2266" s="936">
        <f t="shared" si="66"/>
        <v>420000</v>
      </c>
      <c r="G2266" s="161" t="s">
        <v>1220</v>
      </c>
      <c r="H2266" s="153"/>
      <c r="I2266" s="939"/>
      <c r="J2266" s="938"/>
      <c r="K2266" s="926">
        <f t="shared" si="67"/>
        <v>420000</v>
      </c>
      <c r="L2266" s="151"/>
      <c r="M2266" s="151"/>
    </row>
    <row r="2267" spans="1:13" x14ac:dyDescent="0.25">
      <c r="A2267" s="176"/>
      <c r="B2267" s="541" t="s">
        <v>1433</v>
      </c>
      <c r="C2267" s="169">
        <v>6</v>
      </c>
      <c r="D2267" s="545" t="s">
        <v>106</v>
      </c>
      <c r="E2267" s="547">
        <v>33000</v>
      </c>
      <c r="F2267" s="936">
        <f t="shared" si="66"/>
        <v>198000</v>
      </c>
      <c r="G2267" s="161" t="s">
        <v>1220</v>
      </c>
      <c r="H2267" s="153"/>
      <c r="I2267" s="939"/>
      <c r="J2267" s="938"/>
      <c r="K2267" s="926">
        <f t="shared" si="67"/>
        <v>198000</v>
      </c>
      <c r="L2267" s="151"/>
      <c r="M2267" s="151"/>
    </row>
    <row r="2268" spans="1:13" x14ac:dyDescent="0.25">
      <c r="A2268" s="176"/>
      <c r="B2268" s="541" t="s">
        <v>1434</v>
      </c>
      <c r="C2268" s="169">
        <v>3</v>
      </c>
      <c r="D2268" s="545" t="s">
        <v>106</v>
      </c>
      <c r="E2268" s="547">
        <v>64000</v>
      </c>
      <c r="F2268" s="936">
        <f t="shared" si="66"/>
        <v>192000</v>
      </c>
      <c r="G2268" s="161" t="s">
        <v>1220</v>
      </c>
      <c r="H2268" s="153"/>
      <c r="I2268" s="939"/>
      <c r="J2268" s="938"/>
      <c r="K2268" s="926">
        <f t="shared" si="67"/>
        <v>192000</v>
      </c>
      <c r="L2268" s="151"/>
      <c r="M2268" s="151"/>
    </row>
    <row r="2269" spans="1:13" x14ac:dyDescent="0.25">
      <c r="A2269" s="176"/>
      <c r="B2269" s="541" t="s">
        <v>1435</v>
      </c>
      <c r="C2269" s="169">
        <v>3</v>
      </c>
      <c r="D2269" s="545" t="s">
        <v>106</v>
      </c>
      <c r="E2269" s="547">
        <v>24000</v>
      </c>
      <c r="F2269" s="936">
        <f t="shared" si="66"/>
        <v>72000</v>
      </c>
      <c r="G2269" s="161" t="s">
        <v>1220</v>
      </c>
      <c r="H2269" s="153"/>
      <c r="I2269" s="939"/>
      <c r="J2269" s="938"/>
      <c r="K2269" s="926">
        <f t="shared" si="67"/>
        <v>72000</v>
      </c>
      <c r="L2269" s="151"/>
      <c r="M2269" s="151"/>
    </row>
    <row r="2270" spans="1:13" x14ac:dyDescent="0.25">
      <c r="A2270" s="176"/>
      <c r="B2270" s="541" t="s">
        <v>807</v>
      </c>
      <c r="C2270" s="169">
        <v>3</v>
      </c>
      <c r="D2270" s="545" t="s">
        <v>106</v>
      </c>
      <c r="E2270" s="547">
        <v>26000</v>
      </c>
      <c r="F2270" s="936">
        <f t="shared" si="66"/>
        <v>78000</v>
      </c>
      <c r="G2270" s="161" t="s">
        <v>1220</v>
      </c>
      <c r="H2270" s="153"/>
      <c r="I2270" s="939"/>
      <c r="J2270" s="938"/>
      <c r="K2270" s="926">
        <f t="shared" si="67"/>
        <v>78000</v>
      </c>
      <c r="L2270" s="151"/>
      <c r="M2270" s="151"/>
    </row>
    <row r="2271" spans="1:13" x14ac:dyDescent="0.25">
      <c r="A2271" s="176"/>
      <c r="B2271" s="541" t="s">
        <v>2639</v>
      </c>
      <c r="C2271" s="169">
        <v>6</v>
      </c>
      <c r="D2271" s="545" t="s">
        <v>106</v>
      </c>
      <c r="E2271" s="547">
        <v>28000</v>
      </c>
      <c r="F2271" s="936">
        <f t="shared" si="66"/>
        <v>168000</v>
      </c>
      <c r="G2271" s="161" t="s">
        <v>1220</v>
      </c>
      <c r="H2271" s="153"/>
      <c r="I2271" s="939"/>
      <c r="J2271" s="938"/>
      <c r="K2271" s="926">
        <f t="shared" si="67"/>
        <v>168000</v>
      </c>
      <c r="L2271" s="151"/>
      <c r="M2271" s="151"/>
    </row>
    <row r="2272" spans="1:13" x14ac:dyDescent="0.25">
      <c r="A2272" s="176"/>
      <c r="B2272" s="541" t="s">
        <v>577</v>
      </c>
      <c r="C2272" s="169">
        <v>12</v>
      </c>
      <c r="D2272" s="545" t="s">
        <v>106</v>
      </c>
      <c r="E2272" s="547">
        <v>35000</v>
      </c>
      <c r="F2272" s="936">
        <f t="shared" si="66"/>
        <v>420000</v>
      </c>
      <c r="G2272" s="161" t="s">
        <v>1220</v>
      </c>
      <c r="H2272" s="153"/>
      <c r="I2272" s="939"/>
      <c r="J2272" s="938"/>
      <c r="K2272" s="926">
        <f t="shared" si="67"/>
        <v>420000</v>
      </c>
      <c r="L2272" s="151"/>
      <c r="M2272" s="151"/>
    </row>
    <row r="2273" spans="1:16" x14ac:dyDescent="0.25">
      <c r="A2273" s="176"/>
      <c r="B2273" s="541" t="s">
        <v>2640</v>
      </c>
      <c r="C2273" s="169">
        <v>6</v>
      </c>
      <c r="D2273" s="545" t="s">
        <v>106</v>
      </c>
      <c r="E2273" s="547">
        <v>37000</v>
      </c>
      <c r="F2273" s="936">
        <f t="shared" si="66"/>
        <v>222000</v>
      </c>
      <c r="G2273" s="161" t="s">
        <v>1220</v>
      </c>
      <c r="H2273" s="153"/>
      <c r="I2273" s="939"/>
      <c r="J2273" s="938"/>
      <c r="K2273" s="926">
        <f t="shared" si="67"/>
        <v>222000</v>
      </c>
      <c r="L2273" s="151"/>
      <c r="M2273" s="151"/>
    </row>
    <row r="2274" spans="1:16" ht="24" x14ac:dyDescent="0.25">
      <c r="A2274" s="176" t="s">
        <v>1429</v>
      </c>
      <c r="B2274" s="540" t="s">
        <v>1436</v>
      </c>
      <c r="C2274" s="169"/>
      <c r="D2274" s="545"/>
      <c r="E2274" s="547"/>
      <c r="F2274" s="936"/>
      <c r="G2274" s="161"/>
      <c r="H2274" s="153"/>
      <c r="I2274" s="939"/>
      <c r="J2274" s="938"/>
      <c r="K2274" s="926"/>
      <c r="L2274" s="151"/>
      <c r="M2274" s="151"/>
    </row>
    <row r="2275" spans="1:16" ht="24" x14ac:dyDescent="0.25">
      <c r="A2275" s="176"/>
      <c r="B2275" s="541" t="s">
        <v>1437</v>
      </c>
      <c r="C2275" s="169">
        <v>365</v>
      </c>
      <c r="D2275" s="545" t="s">
        <v>158</v>
      </c>
      <c r="E2275" s="547">
        <v>15000</v>
      </c>
      <c r="F2275" s="936">
        <f t="shared" ref="F2275:F2277" si="68">C2275*E2275</f>
        <v>5475000</v>
      </c>
      <c r="G2275" s="162" t="s">
        <v>3295</v>
      </c>
      <c r="H2275" s="153"/>
      <c r="I2275" s="939"/>
      <c r="J2275" s="938"/>
      <c r="K2275" s="926"/>
      <c r="L2275" s="151"/>
      <c r="M2275" s="151"/>
      <c r="P2275" s="139">
        <f>F2275</f>
        <v>5475000</v>
      </c>
    </row>
    <row r="2276" spans="1:16" ht="24" x14ac:dyDescent="0.25">
      <c r="A2276" s="176"/>
      <c r="B2276" s="541" t="s">
        <v>609</v>
      </c>
      <c r="C2276" s="169">
        <v>12</v>
      </c>
      <c r="D2276" s="545" t="s">
        <v>158</v>
      </c>
      <c r="E2276" s="547">
        <v>20000</v>
      </c>
      <c r="F2276" s="936">
        <f t="shared" si="68"/>
        <v>240000</v>
      </c>
      <c r="G2276" s="162" t="s">
        <v>3295</v>
      </c>
      <c r="H2276" s="153"/>
      <c r="I2276" s="939"/>
      <c r="J2276" s="938"/>
      <c r="K2276" s="926"/>
      <c r="L2276" s="151"/>
      <c r="M2276" s="151"/>
      <c r="P2276" s="139">
        <f t="shared" ref="P2276:P2281" si="69">F2276</f>
        <v>240000</v>
      </c>
    </row>
    <row r="2277" spans="1:16" ht="24" x14ac:dyDescent="0.25">
      <c r="A2277" s="176"/>
      <c r="B2277" s="535" t="s">
        <v>1599</v>
      </c>
      <c r="C2277" s="169">
        <v>24</v>
      </c>
      <c r="D2277" s="545" t="s">
        <v>158</v>
      </c>
      <c r="E2277" s="547">
        <v>50000</v>
      </c>
      <c r="F2277" s="936">
        <f t="shared" si="68"/>
        <v>1200000</v>
      </c>
      <c r="G2277" s="162" t="s">
        <v>3295</v>
      </c>
      <c r="H2277" s="153"/>
      <c r="I2277" s="939"/>
      <c r="J2277" s="938"/>
      <c r="K2277" s="926"/>
      <c r="L2277" s="151"/>
      <c r="M2277" s="151"/>
      <c r="P2277" s="139">
        <f t="shared" si="69"/>
        <v>1200000</v>
      </c>
    </row>
    <row r="2278" spans="1:16" ht="24" x14ac:dyDescent="0.25">
      <c r="A2278" s="176"/>
      <c r="B2278" s="535" t="s">
        <v>1600</v>
      </c>
      <c r="C2278" s="169">
        <v>2</v>
      </c>
      <c r="D2278" s="545" t="s">
        <v>287</v>
      </c>
      <c r="E2278" s="547">
        <v>130000</v>
      </c>
      <c r="F2278" s="936">
        <f>C2278*E2278</f>
        <v>260000</v>
      </c>
      <c r="G2278" s="162" t="s">
        <v>3295</v>
      </c>
      <c r="H2278" s="153"/>
      <c r="I2278" s="939"/>
      <c r="J2278" s="938"/>
      <c r="K2278" s="926"/>
      <c r="L2278" s="151"/>
      <c r="M2278" s="151"/>
      <c r="P2278" s="139">
        <f t="shared" si="69"/>
        <v>260000</v>
      </c>
    </row>
    <row r="2279" spans="1:16" ht="24" x14ac:dyDescent="0.25">
      <c r="A2279" s="176"/>
      <c r="B2279" s="535" t="s">
        <v>1601</v>
      </c>
      <c r="C2279" s="169">
        <v>2</v>
      </c>
      <c r="D2279" s="545" t="s">
        <v>287</v>
      </c>
      <c r="E2279" s="547">
        <v>130000</v>
      </c>
      <c r="F2279" s="936">
        <f>C2279*E2279</f>
        <v>260000</v>
      </c>
      <c r="G2279" s="162" t="s">
        <v>3295</v>
      </c>
      <c r="H2279" s="153"/>
      <c r="I2279" s="939"/>
      <c r="J2279" s="938"/>
      <c r="K2279" s="926"/>
      <c r="L2279" s="151"/>
      <c r="M2279" s="151"/>
      <c r="P2279" s="139">
        <f t="shared" si="69"/>
        <v>260000</v>
      </c>
    </row>
    <row r="2280" spans="1:16" ht="24" x14ac:dyDescent="0.25">
      <c r="A2280" s="176"/>
      <c r="B2280" s="535" t="s">
        <v>1602</v>
      </c>
      <c r="C2280" s="169">
        <v>2</v>
      </c>
      <c r="D2280" s="545" t="s">
        <v>287</v>
      </c>
      <c r="E2280" s="547">
        <v>353500</v>
      </c>
      <c r="F2280" s="936">
        <f>C2280*E2280</f>
        <v>707000</v>
      </c>
      <c r="G2280" s="162" t="s">
        <v>3295</v>
      </c>
      <c r="H2280" s="153"/>
      <c r="I2280" s="939"/>
      <c r="J2280" s="938"/>
      <c r="K2280" s="926"/>
      <c r="L2280" s="151"/>
      <c r="M2280" s="151"/>
      <c r="P2280" s="139">
        <f>F2280</f>
        <v>707000</v>
      </c>
    </row>
    <row r="2281" spans="1:16" ht="24" x14ac:dyDescent="0.25">
      <c r="A2281" s="176"/>
      <c r="B2281" s="535" t="s">
        <v>1603</v>
      </c>
      <c r="C2281" s="169">
        <v>2</v>
      </c>
      <c r="D2281" s="545" t="s">
        <v>287</v>
      </c>
      <c r="E2281" s="547">
        <v>325000</v>
      </c>
      <c r="F2281" s="936">
        <f>C2281*E2281</f>
        <v>650000</v>
      </c>
      <c r="G2281" s="162" t="s">
        <v>3295</v>
      </c>
      <c r="H2281" s="153"/>
      <c r="I2281" s="939"/>
      <c r="J2281" s="938"/>
      <c r="K2281" s="926"/>
      <c r="L2281" s="151"/>
      <c r="M2281" s="151"/>
      <c r="P2281" s="139">
        <f t="shared" si="69"/>
        <v>650000</v>
      </c>
    </row>
    <row r="2282" spans="1:16" x14ac:dyDescent="0.25">
      <c r="A2282" s="176" t="s">
        <v>792</v>
      </c>
      <c r="B2282" s="540" t="s">
        <v>930</v>
      </c>
      <c r="C2282" s="169"/>
      <c r="D2282" s="545"/>
      <c r="E2282" s="547"/>
      <c r="F2282" s="936"/>
      <c r="G2282" s="161"/>
      <c r="H2282" s="1880">
        <f>SUM(F2275:F2281)</f>
        <v>8792000</v>
      </c>
      <c r="I2282" s="939"/>
      <c r="J2282" s="938"/>
      <c r="K2282" s="926"/>
      <c r="L2282" s="151"/>
      <c r="M2282" s="151"/>
    </row>
    <row r="2283" spans="1:16" x14ac:dyDescent="0.25">
      <c r="A2283" s="176"/>
      <c r="B2283" s="541" t="s">
        <v>3293</v>
      </c>
      <c r="C2283" s="169">
        <v>1</v>
      </c>
      <c r="D2283" s="545" t="s">
        <v>220</v>
      </c>
      <c r="E2283" s="547">
        <v>1563000</v>
      </c>
      <c r="F2283" s="936">
        <f>E2283*C2283</f>
        <v>1563000</v>
      </c>
      <c r="G2283" s="161" t="s">
        <v>1220</v>
      </c>
      <c r="H2283" s="153"/>
      <c r="I2283" s="939"/>
      <c r="J2283" s="938"/>
      <c r="K2283" s="926">
        <f>F2283</f>
        <v>1563000</v>
      </c>
      <c r="L2283" s="151"/>
      <c r="M2283" s="151"/>
    </row>
    <row r="2284" spans="1:16" x14ac:dyDescent="0.25">
      <c r="A2284" s="176"/>
      <c r="B2284" s="541" t="s">
        <v>1438</v>
      </c>
      <c r="C2284" s="169">
        <v>3</v>
      </c>
      <c r="D2284" s="545" t="s">
        <v>106</v>
      </c>
      <c r="E2284" s="547">
        <v>94000</v>
      </c>
      <c r="F2284" s="936">
        <f t="shared" ref="F2284:F2293" si="70">C2284*E2284</f>
        <v>282000</v>
      </c>
      <c r="G2284" s="161" t="s">
        <v>1220</v>
      </c>
      <c r="H2284" s="153"/>
      <c r="I2284" s="939"/>
      <c r="J2284" s="938"/>
      <c r="K2284" s="926">
        <f t="shared" ref="K2284:K2293" si="71">F2284</f>
        <v>282000</v>
      </c>
      <c r="L2284" s="151"/>
      <c r="M2284" s="151"/>
    </row>
    <row r="2285" spans="1:16" x14ac:dyDescent="0.25">
      <c r="A2285" s="176"/>
      <c r="B2285" s="541" t="s">
        <v>787</v>
      </c>
      <c r="C2285" s="169">
        <v>24</v>
      </c>
      <c r="D2285" s="545" t="s">
        <v>106</v>
      </c>
      <c r="E2285" s="547">
        <v>39000</v>
      </c>
      <c r="F2285" s="936">
        <f t="shared" si="70"/>
        <v>936000</v>
      </c>
      <c r="G2285" s="161" t="s">
        <v>1220</v>
      </c>
      <c r="H2285" s="153"/>
      <c r="I2285" s="939"/>
      <c r="J2285" s="938"/>
      <c r="K2285" s="926">
        <f t="shared" si="71"/>
        <v>936000</v>
      </c>
      <c r="L2285" s="151"/>
      <c r="M2285" s="151"/>
    </row>
    <row r="2286" spans="1:16" x14ac:dyDescent="0.25">
      <c r="A2286" s="176"/>
      <c r="B2286" s="541" t="s">
        <v>1439</v>
      </c>
      <c r="C2286" s="169">
        <v>2</v>
      </c>
      <c r="D2286" s="545" t="s">
        <v>106</v>
      </c>
      <c r="E2286" s="547">
        <v>37000</v>
      </c>
      <c r="F2286" s="936">
        <f t="shared" si="70"/>
        <v>74000</v>
      </c>
      <c r="G2286" s="161" t="s">
        <v>1220</v>
      </c>
      <c r="H2286" s="153"/>
      <c r="I2286" s="939"/>
      <c r="J2286" s="938"/>
      <c r="K2286" s="926">
        <f t="shared" si="71"/>
        <v>74000</v>
      </c>
      <c r="L2286" s="151"/>
      <c r="M2286" s="151"/>
    </row>
    <row r="2287" spans="1:16" x14ac:dyDescent="0.25">
      <c r="A2287" s="176"/>
      <c r="B2287" s="541" t="s">
        <v>1440</v>
      </c>
      <c r="C2287" s="169">
        <v>2</v>
      </c>
      <c r="D2287" s="545" t="s">
        <v>106</v>
      </c>
      <c r="E2287" s="547">
        <v>120000</v>
      </c>
      <c r="F2287" s="936">
        <f t="shared" si="70"/>
        <v>240000</v>
      </c>
      <c r="G2287" s="161" t="s">
        <v>1220</v>
      </c>
      <c r="H2287" s="153"/>
      <c r="I2287" s="939"/>
      <c r="J2287" s="938"/>
      <c r="K2287" s="926">
        <f t="shared" si="71"/>
        <v>240000</v>
      </c>
      <c r="L2287" s="151"/>
      <c r="M2287" s="151"/>
    </row>
    <row r="2288" spans="1:16" x14ac:dyDescent="0.25">
      <c r="A2288" s="176"/>
      <c r="B2288" s="541" t="s">
        <v>1441</v>
      </c>
      <c r="C2288" s="169">
        <v>2</v>
      </c>
      <c r="D2288" s="545" t="s">
        <v>106</v>
      </c>
      <c r="E2288" s="547">
        <v>107000</v>
      </c>
      <c r="F2288" s="936">
        <f t="shared" si="70"/>
        <v>214000</v>
      </c>
      <c r="G2288" s="161" t="s">
        <v>1220</v>
      </c>
      <c r="H2288" s="153"/>
      <c r="I2288" s="939"/>
      <c r="J2288" s="938"/>
      <c r="K2288" s="926">
        <f t="shared" si="71"/>
        <v>214000</v>
      </c>
      <c r="L2288" s="151"/>
      <c r="M2288" s="151"/>
    </row>
    <row r="2289" spans="1:20" x14ac:dyDescent="0.25">
      <c r="A2289" s="176"/>
      <c r="B2289" s="541" t="s">
        <v>311</v>
      </c>
      <c r="C2289" s="169">
        <v>6</v>
      </c>
      <c r="D2289" s="545" t="s">
        <v>474</v>
      </c>
      <c r="E2289" s="547">
        <v>84000</v>
      </c>
      <c r="F2289" s="936">
        <f t="shared" si="70"/>
        <v>504000</v>
      </c>
      <c r="G2289" s="161" t="s">
        <v>1220</v>
      </c>
      <c r="H2289" s="153"/>
      <c r="I2289" s="939"/>
      <c r="J2289" s="938"/>
      <c r="K2289" s="926">
        <f t="shared" si="71"/>
        <v>504000</v>
      </c>
      <c r="L2289" s="151"/>
      <c r="M2289" s="151"/>
    </row>
    <row r="2290" spans="1:20" x14ac:dyDescent="0.25">
      <c r="A2290" s="176"/>
      <c r="B2290" s="541" t="s">
        <v>1442</v>
      </c>
      <c r="C2290" s="169">
        <v>2</v>
      </c>
      <c r="D2290" s="545" t="s">
        <v>266</v>
      </c>
      <c r="E2290" s="547">
        <v>481000</v>
      </c>
      <c r="F2290" s="936">
        <f t="shared" si="70"/>
        <v>962000</v>
      </c>
      <c r="G2290" s="161" t="s">
        <v>1220</v>
      </c>
      <c r="H2290" s="153"/>
      <c r="I2290" s="939"/>
      <c r="J2290" s="938"/>
      <c r="K2290" s="926">
        <f t="shared" si="71"/>
        <v>962000</v>
      </c>
      <c r="L2290" s="151"/>
      <c r="M2290" s="151"/>
    </row>
    <row r="2291" spans="1:20" x14ac:dyDescent="0.25">
      <c r="A2291" s="176"/>
      <c r="B2291" s="541" t="s">
        <v>1607</v>
      </c>
      <c r="C2291" s="169">
        <v>500</v>
      </c>
      <c r="D2291" s="545" t="s">
        <v>220</v>
      </c>
      <c r="E2291" s="547">
        <v>6043</v>
      </c>
      <c r="F2291" s="936">
        <f t="shared" si="70"/>
        <v>3021500</v>
      </c>
      <c r="G2291" s="161" t="s">
        <v>1220</v>
      </c>
      <c r="H2291" s="153"/>
      <c r="I2291" s="939"/>
      <c r="J2291" s="938"/>
      <c r="K2291" s="926">
        <f t="shared" si="71"/>
        <v>3021500</v>
      </c>
      <c r="L2291" s="151"/>
      <c r="M2291" s="151"/>
    </row>
    <row r="2292" spans="1:20" x14ac:dyDescent="0.25">
      <c r="A2292" s="176"/>
      <c r="B2292" s="541" t="s">
        <v>3507</v>
      </c>
      <c r="C2292" s="169">
        <v>2</v>
      </c>
      <c r="D2292" s="153" t="s">
        <v>106</v>
      </c>
      <c r="E2292" s="547">
        <v>2000000</v>
      </c>
      <c r="F2292" s="936">
        <f t="shared" si="70"/>
        <v>4000000</v>
      </c>
      <c r="G2292" s="161" t="s">
        <v>1220</v>
      </c>
      <c r="H2292" s="153"/>
      <c r="I2292" s="939"/>
      <c r="J2292" s="938"/>
      <c r="K2292" s="926">
        <f t="shared" si="71"/>
        <v>4000000</v>
      </c>
      <c r="L2292" s="151"/>
      <c r="M2292" s="151"/>
    </row>
    <row r="2293" spans="1:20" x14ac:dyDescent="0.25">
      <c r="A2293" s="176"/>
      <c r="B2293" s="541" t="s">
        <v>3119</v>
      </c>
      <c r="C2293" s="169">
        <v>200</v>
      </c>
      <c r="D2293" s="153" t="s">
        <v>106</v>
      </c>
      <c r="E2293" s="547">
        <v>9000</v>
      </c>
      <c r="F2293" s="936">
        <f t="shared" si="70"/>
        <v>1800000</v>
      </c>
      <c r="G2293" s="161" t="s">
        <v>1220</v>
      </c>
      <c r="H2293" s="153"/>
      <c r="I2293" s="939"/>
      <c r="J2293" s="938"/>
      <c r="K2293" s="926">
        <f t="shared" si="71"/>
        <v>1800000</v>
      </c>
      <c r="L2293" s="151"/>
      <c r="M2293" s="151"/>
    </row>
    <row r="2294" spans="1:20" x14ac:dyDescent="0.25">
      <c r="A2294" s="176" t="s">
        <v>792</v>
      </c>
      <c r="B2294" s="540" t="s">
        <v>2238</v>
      </c>
      <c r="C2294" s="177"/>
      <c r="E2294" s="1"/>
      <c r="F2294" s="858"/>
      <c r="G2294" s="177"/>
      <c r="K2294" s="926"/>
    </row>
    <row r="2295" spans="1:20" ht="24" x14ac:dyDescent="0.25">
      <c r="A2295" s="193"/>
      <c r="B2295" s="541" t="s">
        <v>1597</v>
      </c>
      <c r="C2295" s="169">
        <v>8</v>
      </c>
      <c r="D2295" s="170" t="s">
        <v>106</v>
      </c>
      <c r="E2295" s="976">
        <v>278000</v>
      </c>
      <c r="F2295" s="936">
        <f t="shared" ref="F2295" si="72">C2295*E2295</f>
        <v>2224000</v>
      </c>
      <c r="G2295" s="161" t="s">
        <v>1220</v>
      </c>
      <c r="H2295" s="153"/>
      <c r="I2295" s="977"/>
      <c r="J2295" s="938"/>
      <c r="K2295" s="926">
        <f>F2295</f>
        <v>2224000</v>
      </c>
    </row>
    <row r="2296" spans="1:20" x14ac:dyDescent="0.25">
      <c r="A2296" s="176"/>
      <c r="B2296" s="181" t="s">
        <v>1582</v>
      </c>
      <c r="C2296" s="169">
        <v>8</v>
      </c>
      <c r="D2296" s="207" t="s">
        <v>93</v>
      </c>
      <c r="E2296" s="554">
        <v>123000</v>
      </c>
      <c r="F2296" s="398">
        <f>E2296*C2296</f>
        <v>984000</v>
      </c>
      <c r="G2296" s="161" t="s">
        <v>1220</v>
      </c>
      <c r="H2296" s="223"/>
      <c r="I2296" s="947"/>
      <c r="J2296" s="192"/>
      <c r="K2296" s="926">
        <f t="shared" ref="K2296:K2298" si="73">F2296</f>
        <v>984000</v>
      </c>
      <c r="L2296" s="393"/>
    </row>
    <row r="2297" spans="1:20" x14ac:dyDescent="0.25">
      <c r="A2297" s="176"/>
      <c r="B2297" s="181" t="s">
        <v>745</v>
      </c>
      <c r="C2297" s="169">
        <v>8</v>
      </c>
      <c r="D2297" s="207" t="s">
        <v>93</v>
      </c>
      <c r="E2297" s="554">
        <v>161000</v>
      </c>
      <c r="F2297" s="398">
        <f>E2297*C2297</f>
        <v>1288000</v>
      </c>
      <c r="G2297" s="161" t="s">
        <v>1220</v>
      </c>
      <c r="H2297" s="1859">
        <f>SUM(F2295:F2298)</f>
        <v>5992000</v>
      </c>
      <c r="I2297" s="947"/>
      <c r="J2297" s="192"/>
      <c r="K2297" s="926">
        <f t="shared" si="73"/>
        <v>1288000</v>
      </c>
      <c r="L2297" s="393"/>
    </row>
    <row r="2298" spans="1:20" x14ac:dyDescent="0.25">
      <c r="A2298" s="176"/>
      <c r="B2298" s="181" t="s">
        <v>1583</v>
      </c>
      <c r="C2298" s="169">
        <v>8</v>
      </c>
      <c r="D2298" s="207" t="s">
        <v>93</v>
      </c>
      <c r="E2298" s="554">
        <v>187000</v>
      </c>
      <c r="F2298" s="398">
        <f>E2298*C2298</f>
        <v>1496000</v>
      </c>
      <c r="G2298" s="161" t="s">
        <v>1220</v>
      </c>
      <c r="H2298" s="223"/>
      <c r="I2298" s="947"/>
      <c r="J2298" s="192"/>
      <c r="K2298" s="926">
        <f t="shared" si="73"/>
        <v>1496000</v>
      </c>
      <c r="L2298" s="393"/>
    </row>
    <row r="2299" spans="1:20" x14ac:dyDescent="0.25">
      <c r="A2299" s="176" t="s">
        <v>1443</v>
      </c>
      <c r="B2299" s="540" t="s">
        <v>1444</v>
      </c>
      <c r="C2299" s="169"/>
      <c r="D2299" s="545"/>
      <c r="E2299" s="547"/>
      <c r="F2299" s="936"/>
      <c r="G2299" s="161"/>
      <c r="H2299" s="1612"/>
      <c r="I2299" s="939"/>
      <c r="J2299" s="938"/>
      <c r="K2299" s="926"/>
      <c r="L2299" s="151"/>
      <c r="M2299" s="151"/>
    </row>
    <row r="2300" spans="1:20" x14ac:dyDescent="0.25">
      <c r="A2300" s="176"/>
      <c r="B2300" s="541" t="s">
        <v>3118</v>
      </c>
      <c r="C2300" s="169">
        <v>36</v>
      </c>
      <c r="D2300" s="545" t="s">
        <v>118</v>
      </c>
      <c r="E2300" s="547">
        <v>26300</v>
      </c>
      <c r="F2300" s="936">
        <f>E2300*C2300</f>
        <v>946800</v>
      </c>
      <c r="G2300" s="161" t="s">
        <v>1220</v>
      </c>
      <c r="H2300" s="153"/>
      <c r="I2300" s="939"/>
      <c r="J2300" s="938"/>
      <c r="K2300" s="926">
        <f>F2300</f>
        <v>946800</v>
      </c>
      <c r="L2300" s="151"/>
      <c r="M2300" s="151"/>
    </row>
    <row r="2301" spans="1:20" x14ac:dyDescent="0.25">
      <c r="A2301" s="176"/>
      <c r="B2301" s="541" t="s">
        <v>3117</v>
      </c>
      <c r="C2301" s="169">
        <v>36</v>
      </c>
      <c r="D2301" s="545" t="s">
        <v>118</v>
      </c>
      <c r="E2301" s="547">
        <v>100000</v>
      </c>
      <c r="F2301" s="936">
        <f>E2301*C2301</f>
        <v>3600000</v>
      </c>
      <c r="G2301" s="161" t="s">
        <v>1220</v>
      </c>
      <c r="H2301" s="153"/>
      <c r="I2301" s="939"/>
      <c r="J2301" s="938"/>
      <c r="K2301" s="926">
        <f>F2301</f>
        <v>3600000</v>
      </c>
      <c r="L2301" s="151"/>
      <c r="M2301" s="151"/>
    </row>
    <row r="2302" spans="1:20" x14ac:dyDescent="0.25">
      <c r="A2302" s="176" t="s">
        <v>785</v>
      </c>
      <c r="B2302" s="540" t="s">
        <v>478</v>
      </c>
      <c r="C2302" s="169"/>
      <c r="D2302" s="545"/>
      <c r="E2302" s="547"/>
      <c r="F2302" s="936"/>
      <c r="G2302" s="161"/>
      <c r="H2302" s="153"/>
      <c r="I2302" s="939"/>
      <c r="J2302" s="938"/>
      <c r="K2302" s="926"/>
      <c r="L2302" s="151"/>
      <c r="M2302" s="151"/>
    </row>
    <row r="2303" spans="1:20" x14ac:dyDescent="0.25">
      <c r="A2303" s="176" t="s">
        <v>784</v>
      </c>
      <c r="B2303" s="540" t="s">
        <v>1445</v>
      </c>
      <c r="C2303" s="169"/>
      <c r="D2303" s="545"/>
      <c r="E2303" s="547"/>
      <c r="F2303" s="936"/>
      <c r="G2303" s="161"/>
      <c r="H2303" s="153"/>
      <c r="I2303" s="939"/>
      <c r="J2303" s="938"/>
      <c r="K2303" s="926"/>
      <c r="L2303" s="151"/>
      <c r="M2303" s="151"/>
    </row>
    <row r="2304" spans="1:20" x14ac:dyDescent="0.25">
      <c r="A2304" s="176"/>
      <c r="B2304" s="541" t="s">
        <v>3284</v>
      </c>
      <c r="C2304" s="169">
        <v>3</v>
      </c>
      <c r="D2304" s="545" t="s">
        <v>21</v>
      </c>
      <c r="E2304" s="547">
        <v>2000000</v>
      </c>
      <c r="F2304" s="936">
        <f>E2304*C2304</f>
        <v>6000000</v>
      </c>
      <c r="G2304" s="161" t="s">
        <v>1777</v>
      </c>
      <c r="H2304" s="153"/>
      <c r="I2304" s="939"/>
      <c r="J2304" s="938"/>
      <c r="K2304" s="926"/>
      <c r="L2304" s="151"/>
      <c r="M2304" s="151"/>
      <c r="T2304" s="139">
        <f>F2304</f>
        <v>6000000</v>
      </c>
    </row>
    <row r="2305" spans="1:20" x14ac:dyDescent="0.25">
      <c r="A2305" s="176"/>
      <c r="B2305" s="541" t="s">
        <v>3284</v>
      </c>
      <c r="C2305" s="169">
        <v>9</v>
      </c>
      <c r="D2305" s="545" t="s">
        <v>21</v>
      </c>
      <c r="E2305" s="547">
        <v>2000000</v>
      </c>
      <c r="F2305" s="936">
        <f>E2305*C2305</f>
        <v>18000000</v>
      </c>
      <c r="G2305" s="161" t="s">
        <v>1220</v>
      </c>
      <c r="H2305" s="153"/>
      <c r="I2305" s="939"/>
      <c r="J2305" s="938"/>
      <c r="K2305" s="926">
        <f>F2305</f>
        <v>18000000</v>
      </c>
      <c r="L2305" s="151"/>
      <c r="M2305" s="151"/>
    </row>
    <row r="2306" spans="1:20" x14ac:dyDescent="0.25">
      <c r="A2306" s="176"/>
      <c r="B2306" s="541" t="s">
        <v>3285</v>
      </c>
      <c r="C2306" s="169">
        <v>3</v>
      </c>
      <c r="D2306" s="545" t="s">
        <v>21</v>
      </c>
      <c r="E2306" s="547">
        <v>1900000</v>
      </c>
      <c r="F2306" s="936">
        <f t="shared" ref="F2306" si="74">E2306*C2306</f>
        <v>5700000</v>
      </c>
      <c r="G2306" s="161" t="s">
        <v>1777</v>
      </c>
      <c r="H2306" s="153"/>
      <c r="I2306" s="939"/>
      <c r="J2306" s="938"/>
      <c r="K2306" s="926"/>
      <c r="L2306" s="151"/>
      <c r="M2306" s="151"/>
      <c r="T2306" s="139">
        <f>F2306</f>
        <v>5700000</v>
      </c>
    </row>
    <row r="2307" spans="1:20" x14ac:dyDescent="0.25">
      <c r="A2307" s="176"/>
      <c r="B2307" s="541" t="s">
        <v>3285</v>
      </c>
      <c r="C2307" s="169">
        <v>9</v>
      </c>
      <c r="D2307" s="545" t="s">
        <v>21</v>
      </c>
      <c r="E2307" s="547">
        <v>1900000</v>
      </c>
      <c r="F2307" s="936">
        <f t="shared" ref="F2307:F2309" si="75">E2307*C2307</f>
        <v>17100000</v>
      </c>
      <c r="G2307" s="161" t="s">
        <v>1220</v>
      </c>
      <c r="H2307" s="153"/>
      <c r="I2307" s="939"/>
      <c r="J2307" s="938"/>
      <c r="K2307" s="926">
        <f>F2307</f>
        <v>17100000</v>
      </c>
      <c r="L2307" s="151"/>
      <c r="M2307" s="151"/>
    </row>
    <row r="2308" spans="1:20" ht="23.25" customHeight="1" x14ac:dyDescent="0.25">
      <c r="A2308" s="176"/>
      <c r="B2308" s="541" t="s">
        <v>3286</v>
      </c>
      <c r="C2308" s="169">
        <v>3</v>
      </c>
      <c r="D2308" s="545" t="s">
        <v>21</v>
      </c>
      <c r="E2308" s="547">
        <v>1900000</v>
      </c>
      <c r="F2308" s="936">
        <f t="shared" ref="F2308" si="76">E2308*C2308</f>
        <v>5700000</v>
      </c>
      <c r="G2308" s="161" t="s">
        <v>1777</v>
      </c>
      <c r="H2308" s="153"/>
      <c r="I2308" s="939"/>
      <c r="J2308" s="938"/>
      <c r="K2308" s="926"/>
      <c r="L2308" s="151"/>
      <c r="M2308" s="151"/>
      <c r="T2308" s="139">
        <f>F2308</f>
        <v>5700000</v>
      </c>
    </row>
    <row r="2309" spans="1:20" ht="21" customHeight="1" x14ac:dyDescent="0.25">
      <c r="A2309" s="176"/>
      <c r="B2309" s="541" t="s">
        <v>3286</v>
      </c>
      <c r="C2309" s="169">
        <v>9</v>
      </c>
      <c r="D2309" s="545" t="s">
        <v>21</v>
      </c>
      <c r="E2309" s="547">
        <v>1900000</v>
      </c>
      <c r="F2309" s="936">
        <f t="shared" si="75"/>
        <v>17100000</v>
      </c>
      <c r="G2309" s="161" t="s">
        <v>1220</v>
      </c>
      <c r="H2309" s="153"/>
      <c r="I2309" s="939"/>
      <c r="J2309" s="938"/>
      <c r="K2309" s="926">
        <f>F2309</f>
        <v>17100000</v>
      </c>
      <c r="L2309" s="151"/>
      <c r="M2309" s="151"/>
    </row>
    <row r="2310" spans="1:20" ht="32.25" customHeight="1" x14ac:dyDescent="0.25">
      <c r="A2310" s="176"/>
      <c r="B2310" s="541" t="s">
        <v>3307</v>
      </c>
      <c r="C2310" s="169">
        <v>15</v>
      </c>
      <c r="D2310" s="545" t="s">
        <v>21</v>
      </c>
      <c r="E2310" s="547">
        <v>1700000</v>
      </c>
      <c r="F2310" s="936">
        <f>E2310*C2310</f>
        <v>25500000</v>
      </c>
      <c r="G2310" s="161" t="s">
        <v>1777</v>
      </c>
      <c r="H2310" s="153"/>
      <c r="I2310" s="939"/>
      <c r="J2310" s="938"/>
      <c r="K2310" s="926"/>
      <c r="L2310" s="151"/>
      <c r="M2310" s="151"/>
      <c r="T2310" s="139">
        <f>F2310</f>
        <v>25500000</v>
      </c>
    </row>
    <row r="2311" spans="1:20" ht="30.75" customHeight="1" x14ac:dyDescent="0.25">
      <c r="A2311" s="176"/>
      <c r="B2311" s="541" t="s">
        <v>3308</v>
      </c>
      <c r="C2311" s="169">
        <v>45</v>
      </c>
      <c r="D2311" s="545" t="s">
        <v>21</v>
      </c>
      <c r="E2311" s="547">
        <v>1700000</v>
      </c>
      <c r="F2311" s="936">
        <f>E2311*C2311</f>
        <v>76500000</v>
      </c>
      <c r="G2311" s="161" t="s">
        <v>1220</v>
      </c>
      <c r="H2311" s="153"/>
      <c r="I2311" s="939"/>
      <c r="J2311" s="938"/>
      <c r="K2311" s="926">
        <f>F2311</f>
        <v>76500000</v>
      </c>
      <c r="L2311" s="151"/>
      <c r="M2311" s="151"/>
    </row>
    <row r="2312" spans="1:20" ht="24" x14ac:dyDescent="0.25">
      <c r="A2312" s="176" t="s">
        <v>782</v>
      </c>
      <c r="B2312" s="540" t="s">
        <v>781</v>
      </c>
      <c r="C2312" s="169"/>
      <c r="D2312" s="545"/>
      <c r="E2312" s="547"/>
      <c r="F2312" s="936"/>
      <c r="G2312" s="161"/>
      <c r="H2312" s="153"/>
      <c r="I2312" s="939"/>
      <c r="J2312" s="938"/>
      <c r="K2312" s="926"/>
      <c r="L2312" s="151"/>
      <c r="M2312" s="151"/>
    </row>
    <row r="2313" spans="1:20" x14ac:dyDescent="0.25">
      <c r="A2313" s="176" t="s">
        <v>1446</v>
      </c>
      <c r="B2313" s="540" t="s">
        <v>1447</v>
      </c>
      <c r="C2313" s="169"/>
      <c r="D2313" s="545"/>
      <c r="E2313" s="547"/>
      <c r="F2313" s="936"/>
      <c r="G2313" s="161"/>
      <c r="H2313" s="153"/>
      <c r="I2313" s="939"/>
      <c r="J2313" s="938"/>
      <c r="K2313" s="926"/>
      <c r="L2313" s="151"/>
      <c r="M2313" s="151"/>
    </row>
    <row r="2314" spans="1:20" x14ac:dyDescent="0.25">
      <c r="A2314" s="176"/>
      <c r="B2314" s="541" t="s">
        <v>1448</v>
      </c>
      <c r="C2314" s="169">
        <v>12</v>
      </c>
      <c r="D2314" s="545" t="s">
        <v>122</v>
      </c>
      <c r="E2314" s="547">
        <v>2500000</v>
      </c>
      <c r="F2314" s="936">
        <f>C2314*E2314</f>
        <v>30000000</v>
      </c>
      <c r="G2314" s="161" t="s">
        <v>1220</v>
      </c>
      <c r="H2314" s="153"/>
      <c r="I2314" s="939"/>
      <c r="J2314" s="938"/>
      <c r="K2314" s="926">
        <f>F2314</f>
        <v>30000000</v>
      </c>
      <c r="L2314" s="151"/>
      <c r="M2314" s="151"/>
    </row>
    <row r="2315" spans="1:20" ht="24" x14ac:dyDescent="0.25">
      <c r="A2315" s="176" t="s">
        <v>1449</v>
      </c>
      <c r="B2315" s="540" t="s">
        <v>1450</v>
      </c>
      <c r="C2315" s="169"/>
      <c r="D2315" s="545"/>
      <c r="E2315" s="547"/>
      <c r="F2315" s="936"/>
      <c r="G2315" s="161"/>
      <c r="H2315" s="153"/>
      <c r="I2315" s="939"/>
      <c r="J2315" s="938"/>
      <c r="K2315" s="926"/>
      <c r="L2315" s="151"/>
      <c r="M2315" s="151"/>
    </row>
    <row r="2316" spans="1:20" x14ac:dyDescent="0.25">
      <c r="A2316" s="176"/>
      <c r="B2316" s="541" t="s">
        <v>1451</v>
      </c>
      <c r="C2316" s="169">
        <v>24</v>
      </c>
      <c r="D2316" s="545" t="s">
        <v>1608</v>
      </c>
      <c r="E2316" s="547">
        <v>20000</v>
      </c>
      <c r="F2316" s="936">
        <f t="shared" ref="F2316" si="77">C2316*E2316</f>
        <v>480000</v>
      </c>
      <c r="G2316" s="161" t="s">
        <v>1220</v>
      </c>
      <c r="H2316" s="153"/>
      <c r="I2316" s="939"/>
      <c r="J2316" s="938"/>
      <c r="K2316" s="926">
        <f>F2316</f>
        <v>480000</v>
      </c>
      <c r="L2316" s="151"/>
      <c r="M2316" s="151"/>
    </row>
    <row r="2317" spans="1:20" x14ac:dyDescent="0.25">
      <c r="A2317" s="176" t="s">
        <v>776</v>
      </c>
      <c r="B2317" s="540" t="s">
        <v>206</v>
      </c>
      <c r="C2317" s="169"/>
      <c r="D2317" s="545"/>
      <c r="E2317" s="547"/>
      <c r="F2317" s="936"/>
      <c r="G2317" s="161"/>
      <c r="H2317" s="153"/>
      <c r="I2317" s="939"/>
      <c r="J2317" s="938"/>
      <c r="K2317" s="926"/>
      <c r="L2317" s="151"/>
      <c r="M2317" s="151"/>
    </row>
    <row r="2318" spans="1:20" ht="24" x14ac:dyDescent="0.25">
      <c r="A2318" s="176" t="s">
        <v>775</v>
      </c>
      <c r="B2318" s="540" t="s">
        <v>1452</v>
      </c>
      <c r="C2318" s="169"/>
      <c r="D2318" s="545"/>
      <c r="E2318" s="547"/>
      <c r="F2318" s="936"/>
      <c r="G2318" s="161"/>
      <c r="H2318" s="153"/>
      <c r="I2318" s="939"/>
      <c r="J2318" s="938"/>
      <c r="K2318" s="926"/>
      <c r="L2318" s="151"/>
      <c r="M2318" s="151"/>
    </row>
    <row r="2319" spans="1:20" ht="24" x14ac:dyDescent="0.25">
      <c r="A2319" s="176"/>
      <c r="B2319" s="541" t="s">
        <v>1609</v>
      </c>
      <c r="C2319" s="169">
        <v>2</v>
      </c>
      <c r="D2319" s="545" t="s">
        <v>210</v>
      </c>
      <c r="E2319" s="547">
        <v>5000000</v>
      </c>
      <c r="F2319" s="936">
        <f>C2319*E2319</f>
        <v>10000000</v>
      </c>
      <c r="G2319" s="161" t="s">
        <v>1220</v>
      </c>
      <c r="H2319" s="153"/>
      <c r="I2319" s="939"/>
      <c r="J2319" s="938"/>
      <c r="K2319" s="926">
        <f>F2319</f>
        <v>10000000</v>
      </c>
      <c r="L2319" s="151"/>
      <c r="M2319" s="151"/>
    </row>
    <row r="2320" spans="1:20" x14ac:dyDescent="0.25">
      <c r="A2320" s="176"/>
      <c r="B2320" s="541" t="s">
        <v>1610</v>
      </c>
      <c r="C2320" s="169">
        <v>1</v>
      </c>
      <c r="D2320" s="545" t="s">
        <v>210</v>
      </c>
      <c r="E2320" s="547">
        <v>10000000</v>
      </c>
      <c r="F2320" s="936">
        <f>C2320*E2320</f>
        <v>10000000</v>
      </c>
      <c r="G2320" s="161" t="s">
        <v>1220</v>
      </c>
      <c r="H2320" s="153"/>
      <c r="I2320" s="939"/>
      <c r="J2320" s="938"/>
      <c r="K2320" s="926">
        <f t="shared" ref="K2320:K2321" si="78">F2320</f>
        <v>10000000</v>
      </c>
      <c r="L2320" s="151"/>
      <c r="M2320" s="151"/>
    </row>
    <row r="2321" spans="1:13" x14ac:dyDescent="0.25">
      <c r="A2321" s="176"/>
      <c r="B2321" s="541" t="s">
        <v>2239</v>
      </c>
      <c r="C2321" s="169">
        <v>1</v>
      </c>
      <c r="D2321" s="170" t="s">
        <v>210</v>
      </c>
      <c r="E2321" s="547">
        <v>10000000</v>
      </c>
      <c r="F2321" s="936">
        <f>C2321*E2321</f>
        <v>10000000</v>
      </c>
      <c r="G2321" s="161" t="s">
        <v>1220</v>
      </c>
      <c r="H2321" s="153"/>
      <c r="I2321" s="939"/>
      <c r="J2321" s="938"/>
      <c r="K2321" s="926">
        <f t="shared" si="78"/>
        <v>10000000</v>
      </c>
      <c r="L2321" s="151"/>
      <c r="M2321" s="151"/>
    </row>
    <row r="2322" spans="1:13" x14ac:dyDescent="0.25">
      <c r="A2322" s="176"/>
      <c r="B2322" s="535"/>
      <c r="C2322" s="545"/>
      <c r="D2322" s="545"/>
      <c r="E2322" s="536"/>
      <c r="F2322" s="936"/>
      <c r="G2322" s="177"/>
      <c r="H2322" s="151"/>
      <c r="I2322" s="151"/>
      <c r="J2322" s="151"/>
      <c r="K2322" s="151"/>
      <c r="L2322" s="151"/>
      <c r="M2322" s="151"/>
    </row>
    <row r="2323" spans="1:13" x14ac:dyDescent="0.25">
      <c r="A2323" s="161"/>
      <c r="B2323" s="2006" t="s">
        <v>771</v>
      </c>
      <c r="C2323" s="2007"/>
      <c r="D2323" s="2007"/>
      <c r="E2323" s="2008"/>
      <c r="F2323" s="942">
        <f>SUM(F2258:F2321)</f>
        <v>268499300</v>
      </c>
      <c r="G2323" s="177"/>
      <c r="H2323" s="151"/>
      <c r="I2323" s="151"/>
      <c r="J2323" s="925"/>
      <c r="K2323" s="925"/>
      <c r="L2323" s="151"/>
      <c r="M2323" s="151"/>
    </row>
    <row r="2324" spans="1:13" x14ac:dyDescent="0.25">
      <c r="A2324" s="1926" t="s">
        <v>516</v>
      </c>
      <c r="B2324" s="1926"/>
      <c r="C2324" s="152" t="s">
        <v>27</v>
      </c>
      <c r="D2324" s="1926" t="s">
        <v>3654</v>
      </c>
      <c r="E2324" s="1926"/>
      <c r="F2324" s="1926"/>
      <c r="G2324" s="152"/>
    </row>
    <row r="2325" spans="1:13" x14ac:dyDescent="0.25">
      <c r="A2325" s="1926" t="s">
        <v>28</v>
      </c>
      <c r="B2325" s="1926"/>
      <c r="C2325" s="152"/>
      <c r="D2325" s="1927" t="s">
        <v>3570</v>
      </c>
      <c r="E2325" s="1927"/>
      <c r="F2325" s="1927"/>
      <c r="G2325" s="152"/>
    </row>
    <row r="2326" spans="1:13" x14ac:dyDescent="0.25">
      <c r="A2326" s="150"/>
      <c r="B2326" s="151"/>
      <c r="C2326" s="152"/>
      <c r="D2326" s="153"/>
      <c r="E2326" s="182"/>
      <c r="F2326" s="1208"/>
      <c r="G2326" s="152"/>
    </row>
    <row r="2327" spans="1:13" x14ac:dyDescent="0.25">
      <c r="A2327" s="150"/>
      <c r="B2327" s="151"/>
      <c r="C2327" s="152"/>
      <c r="D2327" s="153"/>
      <c r="E2327" s="182"/>
      <c r="F2327" s="1208"/>
      <c r="G2327" s="152"/>
    </row>
    <row r="2328" spans="1:13" x14ac:dyDescent="0.25">
      <c r="A2328" s="1926"/>
      <c r="B2328" s="1926"/>
      <c r="C2328" s="152"/>
      <c r="D2328" s="153"/>
      <c r="E2328" s="2003"/>
      <c r="F2328" s="2003"/>
      <c r="G2328" s="152"/>
    </row>
    <row r="2329" spans="1:13" x14ac:dyDescent="0.25">
      <c r="A2329" s="1926" t="s">
        <v>29</v>
      </c>
      <c r="B2329" s="1926"/>
      <c r="C2329" s="152"/>
      <c r="D2329" s="1926" t="s">
        <v>3548</v>
      </c>
      <c r="E2329" s="1926"/>
      <c r="F2329" s="1926"/>
      <c r="G2329" s="152"/>
    </row>
    <row r="2334" spans="1:13" x14ac:dyDescent="0.25">
      <c r="A2334" s="1926" t="s">
        <v>1796</v>
      </c>
      <c r="B2334" s="1926"/>
      <c r="C2334" s="1926"/>
      <c r="D2334" s="1926"/>
      <c r="E2334" s="1926"/>
      <c r="F2334" s="1926"/>
      <c r="G2334" s="1926"/>
    </row>
    <row r="2335" spans="1:13" x14ac:dyDescent="0.25">
      <c r="A2335" s="1926" t="s">
        <v>1</v>
      </c>
      <c r="B2335" s="1926"/>
      <c r="C2335" s="1926"/>
      <c r="D2335" s="1926"/>
      <c r="E2335" s="1926"/>
      <c r="F2335" s="1926"/>
      <c r="G2335" s="1926"/>
    </row>
    <row r="2336" spans="1:13" x14ac:dyDescent="0.25">
      <c r="A2336" s="1926" t="s">
        <v>2398</v>
      </c>
      <c r="B2336" s="1926"/>
      <c r="C2336" s="1926"/>
      <c r="D2336" s="1926"/>
      <c r="E2336" s="1926"/>
      <c r="F2336" s="1926"/>
      <c r="G2336" s="1926"/>
    </row>
    <row r="2337" spans="1:7" x14ac:dyDescent="0.25">
      <c r="A2337" s="156"/>
      <c r="B2337" s="152"/>
      <c r="C2337" s="152"/>
      <c r="D2337" s="152"/>
      <c r="E2337" s="152"/>
      <c r="F2337" s="191"/>
      <c r="G2337" s="151"/>
    </row>
    <row r="2338" spans="1:7" x14ac:dyDescent="0.25">
      <c r="A2338" s="182" t="s">
        <v>804</v>
      </c>
      <c r="B2338" s="182" t="s">
        <v>648</v>
      </c>
      <c r="C2338" s="182"/>
      <c r="D2338" s="182"/>
      <c r="E2338" s="154"/>
      <c r="F2338" s="182"/>
      <c r="G2338" s="405"/>
    </row>
    <row r="2339" spans="1:7" x14ac:dyDescent="0.25">
      <c r="A2339" s="182" t="s">
        <v>492</v>
      </c>
      <c r="B2339" s="182" t="s">
        <v>802</v>
      </c>
      <c r="C2339" s="182"/>
      <c r="D2339" s="182"/>
      <c r="E2339" s="488"/>
      <c r="F2339" s="182"/>
      <c r="G2339" s="405"/>
    </row>
    <row r="2340" spans="1:7" ht="48.75" x14ac:dyDescent="0.25">
      <c r="A2340" s="184" t="s">
        <v>493</v>
      </c>
      <c r="B2340" s="546" t="s">
        <v>1573</v>
      </c>
      <c r="C2340" s="182"/>
      <c r="D2340" s="182"/>
      <c r="E2340" s="394"/>
      <c r="F2340" s="182"/>
      <c r="G2340" s="405"/>
    </row>
    <row r="2341" spans="1:7" ht="24.75" x14ac:dyDescent="0.25">
      <c r="A2341" s="151" t="s">
        <v>469</v>
      </c>
      <c r="B2341" s="152" t="s">
        <v>60</v>
      </c>
      <c r="C2341" s="152"/>
      <c r="D2341" s="152"/>
      <c r="E2341" s="152"/>
      <c r="F2341" s="152"/>
      <c r="G2341" s="405"/>
    </row>
    <row r="2342" spans="1:7" x14ac:dyDescent="0.25">
      <c r="A2342" s="153"/>
      <c r="B2342" s="152"/>
      <c r="C2342" s="152"/>
      <c r="D2342" s="152"/>
      <c r="E2342" s="191"/>
      <c r="F2342" s="191"/>
      <c r="G2342" s="151"/>
    </row>
    <row r="2343" spans="1:7" ht="24" x14ac:dyDescent="0.25">
      <c r="A2343" s="162" t="s">
        <v>426</v>
      </c>
      <c r="B2343" s="162" t="s">
        <v>11</v>
      </c>
      <c r="C2343" s="1958" t="s">
        <v>12</v>
      </c>
      <c r="D2343" s="1958"/>
      <c r="E2343" s="230" t="s">
        <v>13</v>
      </c>
      <c r="F2343" s="162" t="s">
        <v>14</v>
      </c>
      <c r="G2343" s="408" t="s">
        <v>256</v>
      </c>
    </row>
    <row r="2344" spans="1:7" x14ac:dyDescent="0.25">
      <c r="A2344" s="161">
        <v>1</v>
      </c>
      <c r="B2344" s="161">
        <v>2</v>
      </c>
      <c r="C2344" s="1931">
        <v>3</v>
      </c>
      <c r="D2344" s="1932"/>
      <c r="E2344" s="2">
        <v>4</v>
      </c>
      <c r="F2344" s="169">
        <v>5</v>
      </c>
      <c r="G2344" s="397">
        <v>6</v>
      </c>
    </row>
    <row r="2345" spans="1:7" x14ac:dyDescent="0.25">
      <c r="A2345" s="346" t="s">
        <v>799</v>
      </c>
      <c r="B2345" s="316" t="s">
        <v>82</v>
      </c>
      <c r="C2345" s="1931"/>
      <c r="D2345" s="1932"/>
      <c r="E2345" s="144"/>
      <c r="F2345" s="144"/>
      <c r="G2345" s="162"/>
    </row>
    <row r="2346" spans="1:7" x14ac:dyDescent="0.25">
      <c r="A2346" s="346" t="s">
        <v>798</v>
      </c>
      <c r="B2346" s="316" t="s">
        <v>806</v>
      </c>
      <c r="C2346" s="1931"/>
      <c r="D2346" s="1932"/>
      <c r="E2346" s="548"/>
      <c r="F2346" s="548"/>
      <c r="G2346" s="177"/>
    </row>
    <row r="2347" spans="1:7" x14ac:dyDescent="0.25">
      <c r="A2347" s="346" t="s">
        <v>796</v>
      </c>
      <c r="B2347" s="549" t="s">
        <v>795</v>
      </c>
      <c r="C2347" s="1931"/>
      <c r="D2347" s="1932"/>
      <c r="E2347" s="179"/>
      <c r="F2347" s="548"/>
      <c r="G2347" s="177"/>
    </row>
    <row r="2348" spans="1:7" x14ac:dyDescent="0.25">
      <c r="A2348" s="176"/>
      <c r="B2348" s="168" t="s">
        <v>1574</v>
      </c>
      <c r="C2348" s="178">
        <v>200</v>
      </c>
      <c r="D2348" s="207" t="s">
        <v>106</v>
      </c>
      <c r="E2348" s="194">
        <v>6000</v>
      </c>
      <c r="F2348" s="548">
        <f>E2348*C2348</f>
        <v>1200000</v>
      </c>
      <c r="G2348" s="177"/>
    </row>
    <row r="2349" spans="1:7" x14ac:dyDescent="0.25">
      <c r="A2349" s="176"/>
      <c r="B2349" s="168" t="s">
        <v>1575</v>
      </c>
      <c r="C2349" s="178">
        <v>5</v>
      </c>
      <c r="D2349" s="207" t="s">
        <v>106</v>
      </c>
      <c r="E2349" s="194">
        <v>200000</v>
      </c>
      <c r="F2349" s="548">
        <f>E2349*C2349</f>
        <v>1000000</v>
      </c>
      <c r="G2349" s="177"/>
    </row>
    <row r="2350" spans="1:7" x14ac:dyDescent="0.25">
      <c r="A2350" s="176"/>
      <c r="B2350" s="181" t="s">
        <v>107</v>
      </c>
      <c r="C2350" s="178">
        <v>2</v>
      </c>
      <c r="D2350" s="207" t="s">
        <v>106</v>
      </c>
      <c r="E2350" s="179">
        <v>286000</v>
      </c>
      <c r="F2350" s="548">
        <f t="shared" ref="F2350:F2352" si="79">E2350*C2350</f>
        <v>572000</v>
      </c>
      <c r="G2350" s="177"/>
    </row>
    <row r="2351" spans="1:7" x14ac:dyDescent="0.25">
      <c r="A2351" s="181"/>
      <c r="B2351" s="205" t="s">
        <v>1752</v>
      </c>
      <c r="C2351" s="178">
        <v>24</v>
      </c>
      <c r="D2351" s="207" t="s">
        <v>106</v>
      </c>
      <c r="E2351" s="179">
        <v>5000</v>
      </c>
      <c r="F2351" s="548">
        <f t="shared" si="79"/>
        <v>120000</v>
      </c>
      <c r="G2351" s="325"/>
    </row>
    <row r="2352" spans="1:7" x14ac:dyDescent="0.25">
      <c r="A2352" s="346" t="s">
        <v>3466</v>
      </c>
      <c r="B2352" s="466" t="s">
        <v>689</v>
      </c>
      <c r="C2352" s="178"/>
      <c r="D2352" s="207"/>
      <c r="E2352" s="194"/>
      <c r="F2352" s="398">
        <f t="shared" si="79"/>
        <v>0</v>
      </c>
      <c r="G2352" s="177"/>
    </row>
    <row r="2353" spans="1:7" ht="24.75" x14ac:dyDescent="0.25">
      <c r="A2353" s="181"/>
      <c r="B2353" s="177" t="s">
        <v>3467</v>
      </c>
      <c r="C2353" s="178">
        <f>10*12*2</f>
        <v>240</v>
      </c>
      <c r="D2353" s="207" t="s">
        <v>269</v>
      </c>
      <c r="E2353" s="179">
        <v>20000</v>
      </c>
      <c r="F2353" s="398">
        <f>E2353*C2353</f>
        <v>4800000</v>
      </c>
      <c r="G2353" s="325"/>
    </row>
    <row r="2354" spans="1:7" x14ac:dyDescent="0.25">
      <c r="A2354" s="346" t="s">
        <v>792</v>
      </c>
      <c r="B2354" s="466" t="s">
        <v>791</v>
      </c>
      <c r="C2354" s="178"/>
      <c r="D2354" s="207"/>
      <c r="E2354" s="194"/>
      <c r="F2354" s="398">
        <f t="shared" ref="F2354:F2361" si="80">E2354*C2354</f>
        <v>0</v>
      </c>
      <c r="G2354" s="177"/>
    </row>
    <row r="2355" spans="1:7" x14ac:dyDescent="0.25">
      <c r="A2355" s="346"/>
      <c r="B2355" s="374" t="s">
        <v>2399</v>
      </c>
      <c r="C2355" s="178">
        <f>20*12</f>
        <v>240</v>
      </c>
      <c r="D2355" s="207" t="s">
        <v>106</v>
      </c>
      <c r="E2355" s="194">
        <v>7000</v>
      </c>
      <c r="F2355" s="398">
        <f>E2355*C2355</f>
        <v>1680000</v>
      </c>
      <c r="G2355" s="177"/>
    </row>
    <row r="2356" spans="1:7" x14ac:dyDescent="0.25">
      <c r="A2356" s="176"/>
      <c r="B2356" s="168" t="s">
        <v>1576</v>
      </c>
      <c r="C2356" s="169">
        <v>5</v>
      </c>
      <c r="D2356" s="170" t="s">
        <v>106</v>
      </c>
      <c r="E2356" s="194">
        <v>26000</v>
      </c>
      <c r="F2356" s="398">
        <f t="shared" si="80"/>
        <v>130000</v>
      </c>
      <c r="G2356" s="177"/>
    </row>
    <row r="2357" spans="1:7" x14ac:dyDescent="0.25">
      <c r="A2357" s="176"/>
      <c r="B2357" s="168" t="s">
        <v>114</v>
      </c>
      <c r="C2357" s="169">
        <v>6</v>
      </c>
      <c r="D2357" s="170" t="s">
        <v>106</v>
      </c>
      <c r="E2357" s="194">
        <v>28000</v>
      </c>
      <c r="F2357" s="398">
        <f>E2357*C2357</f>
        <v>168000</v>
      </c>
      <c r="G2357" s="177"/>
    </row>
    <row r="2358" spans="1:7" x14ac:dyDescent="0.25">
      <c r="A2358" s="176"/>
      <c r="B2358" s="168" t="s">
        <v>581</v>
      </c>
      <c r="C2358" s="169">
        <v>6</v>
      </c>
      <c r="D2358" s="170" t="s">
        <v>106</v>
      </c>
      <c r="E2358" s="194">
        <v>44000</v>
      </c>
      <c r="F2358" s="398">
        <f t="shared" si="80"/>
        <v>264000</v>
      </c>
      <c r="G2358" s="177"/>
    </row>
    <row r="2359" spans="1:7" x14ac:dyDescent="0.25">
      <c r="A2359" s="176"/>
      <c r="B2359" s="550" t="s">
        <v>1577</v>
      </c>
      <c r="C2359" s="551">
        <v>12</v>
      </c>
      <c r="D2359" s="552" t="s">
        <v>118</v>
      </c>
      <c r="E2359" s="553">
        <v>38000</v>
      </c>
      <c r="F2359" s="398">
        <f t="shared" si="80"/>
        <v>456000</v>
      </c>
      <c r="G2359" s="177"/>
    </row>
    <row r="2360" spans="1:7" x14ac:dyDescent="0.25">
      <c r="A2360" s="176"/>
      <c r="B2360" s="210" t="s">
        <v>1578</v>
      </c>
      <c r="C2360" s="178">
        <v>12</v>
      </c>
      <c r="D2360" s="552" t="s">
        <v>93</v>
      </c>
      <c r="E2360" s="194">
        <v>117500</v>
      </c>
      <c r="F2360" s="398">
        <f t="shared" si="80"/>
        <v>1410000</v>
      </c>
      <c r="G2360" s="177"/>
    </row>
    <row r="2361" spans="1:7" x14ac:dyDescent="0.25">
      <c r="A2361" s="176"/>
      <c r="B2361" s="210" t="s">
        <v>808</v>
      </c>
      <c r="C2361" s="178">
        <v>12</v>
      </c>
      <c r="D2361" s="552" t="s">
        <v>290</v>
      </c>
      <c r="E2361" s="194">
        <v>21000</v>
      </c>
      <c r="F2361" s="398">
        <f t="shared" si="80"/>
        <v>252000</v>
      </c>
      <c r="G2361" s="177"/>
    </row>
    <row r="2362" spans="1:7" x14ac:dyDescent="0.25">
      <c r="A2362" s="176"/>
      <c r="B2362" s="210" t="s">
        <v>809</v>
      </c>
      <c r="C2362" s="178">
        <v>6</v>
      </c>
      <c r="D2362" s="552" t="s">
        <v>93</v>
      </c>
      <c r="E2362" s="194">
        <v>112000</v>
      </c>
      <c r="F2362" s="398">
        <f>E2362*C2362</f>
        <v>672000</v>
      </c>
      <c r="G2362" s="177"/>
    </row>
    <row r="2363" spans="1:7" x14ac:dyDescent="0.25">
      <c r="A2363" s="181"/>
      <c r="B2363" s="181" t="s">
        <v>2400</v>
      </c>
      <c r="C2363" s="178">
        <v>2</v>
      </c>
      <c r="D2363" s="207" t="s">
        <v>2401</v>
      </c>
      <c r="E2363" s="179">
        <v>400000</v>
      </c>
      <c r="F2363" s="548">
        <f>E2363*C2363</f>
        <v>800000</v>
      </c>
      <c r="G2363" s="325"/>
    </row>
    <row r="2364" spans="1:7" x14ac:dyDescent="0.25">
      <c r="A2364" s="181"/>
      <c r="B2364" s="181" t="s">
        <v>2402</v>
      </c>
      <c r="C2364" s="178">
        <v>10</v>
      </c>
      <c r="D2364" s="207" t="s">
        <v>786</v>
      </c>
      <c r="E2364" s="179">
        <v>39000</v>
      </c>
      <c r="F2364" s="548">
        <f>E2364*C2364</f>
        <v>390000</v>
      </c>
      <c r="G2364" s="325"/>
    </row>
    <row r="2365" spans="1:7" x14ac:dyDescent="0.25">
      <c r="A2365" s="181"/>
      <c r="B2365" s="181" t="s">
        <v>311</v>
      </c>
      <c r="C2365" s="178">
        <v>3</v>
      </c>
      <c r="D2365" s="207" t="s">
        <v>474</v>
      </c>
      <c r="E2365" s="179">
        <v>84000</v>
      </c>
      <c r="F2365" s="548">
        <f>E2365*C2365</f>
        <v>252000</v>
      </c>
      <c r="G2365" s="325"/>
    </row>
    <row r="2366" spans="1:7" x14ac:dyDescent="0.25">
      <c r="A2366" s="346" t="s">
        <v>1579</v>
      </c>
      <c r="B2366" s="318" t="s">
        <v>1580</v>
      </c>
      <c r="C2366" s="178"/>
      <c r="D2366" s="552"/>
      <c r="E2366" s="194"/>
      <c r="F2366" s="398"/>
      <c r="G2366" s="177"/>
    </row>
    <row r="2367" spans="1:7" x14ac:dyDescent="0.25">
      <c r="A2367" s="176"/>
      <c r="B2367" s="181" t="s">
        <v>1581</v>
      </c>
      <c r="C2367" s="178">
        <v>10</v>
      </c>
      <c r="D2367" s="207" t="s">
        <v>93</v>
      </c>
      <c r="E2367" s="554">
        <v>199000</v>
      </c>
      <c r="F2367" s="398">
        <f>E2367*C2367</f>
        <v>1990000</v>
      </c>
      <c r="G2367" s="177"/>
    </row>
    <row r="2368" spans="1:7" x14ac:dyDescent="0.25">
      <c r="A2368" s="176"/>
      <c r="B2368" s="181" t="s">
        <v>1582</v>
      </c>
      <c r="C2368" s="178">
        <v>10</v>
      </c>
      <c r="D2368" s="207" t="s">
        <v>93</v>
      </c>
      <c r="E2368" s="554">
        <v>123000</v>
      </c>
      <c r="F2368" s="398">
        <f>E2368*C2368</f>
        <v>1230000</v>
      </c>
      <c r="G2368" s="177"/>
    </row>
    <row r="2369" spans="1:11" x14ac:dyDescent="0.25">
      <c r="A2369" s="176"/>
      <c r="B2369" s="181" t="s">
        <v>745</v>
      </c>
      <c r="C2369" s="178">
        <v>10</v>
      </c>
      <c r="D2369" s="207" t="s">
        <v>93</v>
      </c>
      <c r="E2369" s="554">
        <v>161000</v>
      </c>
      <c r="F2369" s="398">
        <f>E2369*C2369</f>
        <v>1610000</v>
      </c>
      <c r="G2369" s="177"/>
    </row>
    <row r="2370" spans="1:11" x14ac:dyDescent="0.25">
      <c r="A2370" s="176"/>
      <c r="B2370" s="181" t="s">
        <v>1583</v>
      </c>
      <c r="C2370" s="178">
        <v>10</v>
      </c>
      <c r="D2370" s="207" t="s">
        <v>93</v>
      </c>
      <c r="E2370" s="554">
        <v>187000</v>
      </c>
      <c r="F2370" s="398">
        <f>E2370*C2370</f>
        <v>1870000</v>
      </c>
      <c r="G2370" s="177"/>
    </row>
    <row r="2371" spans="1:11" x14ac:dyDescent="0.25">
      <c r="A2371" s="176"/>
      <c r="B2371" s="181" t="s">
        <v>787</v>
      </c>
      <c r="C2371" s="178">
        <v>10</v>
      </c>
      <c r="D2371" s="207" t="s">
        <v>786</v>
      </c>
      <c r="E2371" s="554">
        <v>39000</v>
      </c>
      <c r="F2371" s="398">
        <f>E2371*C2371</f>
        <v>390000</v>
      </c>
      <c r="G2371" s="177"/>
    </row>
    <row r="2372" spans="1:11" x14ac:dyDescent="0.25">
      <c r="A2372" s="346" t="s">
        <v>785</v>
      </c>
      <c r="B2372" s="466" t="s">
        <v>478</v>
      </c>
      <c r="C2372" s="178"/>
      <c r="D2372" s="207"/>
      <c r="E2372" s="179"/>
      <c r="F2372" s="194"/>
      <c r="G2372" s="177"/>
    </row>
    <row r="2373" spans="1:11" x14ac:dyDescent="0.25">
      <c r="A2373" s="346" t="s">
        <v>2240</v>
      </c>
      <c r="B2373" s="466" t="s">
        <v>1268</v>
      </c>
      <c r="C2373" s="178"/>
      <c r="D2373" s="207"/>
      <c r="E2373" s="194"/>
      <c r="F2373" s="398"/>
      <c r="G2373" s="177"/>
    </row>
    <row r="2374" spans="1:11" ht="24.75" x14ac:dyDescent="0.25">
      <c r="A2374" s="181"/>
      <c r="B2374" s="177" t="s">
        <v>1584</v>
      </c>
      <c r="C2374" s="178">
        <f>20*12</f>
        <v>240</v>
      </c>
      <c r="D2374" s="207" t="s">
        <v>444</v>
      </c>
      <c r="E2374" s="194">
        <v>100000</v>
      </c>
      <c r="F2374" s="398">
        <f>E2374*C2374</f>
        <v>24000000</v>
      </c>
      <c r="G2374" s="177"/>
    </row>
    <row r="2375" spans="1:11" x14ac:dyDescent="0.25">
      <c r="A2375" s="181"/>
      <c r="B2375" s="2077" t="s">
        <v>771</v>
      </c>
      <c r="C2375" s="2077"/>
      <c r="D2375" s="2077"/>
      <c r="E2375" s="2077"/>
      <c r="F2375" s="194">
        <f>SUM(F2348:F2374)</f>
        <v>45256000</v>
      </c>
      <c r="G2375" s="177" t="s">
        <v>1220</v>
      </c>
      <c r="K2375" s="139">
        <f>F2375</f>
        <v>45256000</v>
      </c>
    </row>
    <row r="2376" spans="1:11" x14ac:dyDescent="0.25">
      <c r="A2376" s="1926" t="s">
        <v>516</v>
      </c>
      <c r="B2376" s="1926"/>
      <c r="C2376" s="152" t="s">
        <v>27</v>
      </c>
      <c r="D2376" s="1926" t="s">
        <v>3654</v>
      </c>
      <c r="E2376" s="1926"/>
      <c r="F2376" s="1926"/>
      <c r="G2376" s="152"/>
    </row>
    <row r="2377" spans="1:11" x14ac:dyDescent="0.25">
      <c r="A2377" s="1926" t="s">
        <v>28</v>
      </c>
      <c r="B2377" s="1926"/>
      <c r="C2377" s="152"/>
      <c r="D2377" s="1927" t="s">
        <v>3570</v>
      </c>
      <c r="E2377" s="1927"/>
      <c r="F2377" s="1927"/>
      <c r="G2377" s="152"/>
    </row>
    <row r="2378" spans="1:11" x14ac:dyDescent="0.25">
      <c r="A2378" s="150"/>
      <c r="B2378" s="151"/>
      <c r="C2378" s="152"/>
      <c r="D2378" s="153"/>
      <c r="E2378" s="182"/>
      <c r="F2378" s="1208"/>
      <c r="G2378" s="152"/>
    </row>
    <row r="2379" spans="1:11" x14ac:dyDescent="0.25">
      <c r="A2379" s="150"/>
      <c r="B2379" s="151"/>
      <c r="C2379" s="152"/>
      <c r="D2379" s="153"/>
      <c r="E2379" s="182"/>
      <c r="F2379" s="1208"/>
      <c r="G2379" s="152"/>
    </row>
    <row r="2380" spans="1:11" x14ac:dyDescent="0.25">
      <c r="A2380" s="1926"/>
      <c r="B2380" s="1926"/>
      <c r="C2380" s="152"/>
      <c r="D2380" s="153"/>
      <c r="E2380" s="2003"/>
      <c r="F2380" s="2003"/>
      <c r="G2380" s="152"/>
    </row>
    <row r="2381" spans="1:11" x14ac:dyDescent="0.25">
      <c r="A2381" s="1926" t="s">
        <v>29</v>
      </c>
      <c r="B2381" s="1926"/>
      <c r="C2381" s="152"/>
      <c r="D2381" s="1926" t="s">
        <v>3548</v>
      </c>
      <c r="E2381" s="1926"/>
      <c r="F2381" s="1926"/>
      <c r="G2381" s="152"/>
    </row>
    <row r="2383" spans="1:11" x14ac:dyDescent="0.25">
      <c r="A2383" s="1926" t="s">
        <v>1796</v>
      </c>
      <c r="B2383" s="1926"/>
      <c r="C2383" s="1926"/>
      <c r="D2383" s="1926"/>
      <c r="E2383" s="1926"/>
      <c r="F2383" s="1926"/>
      <c r="G2383" s="1926"/>
    </row>
    <row r="2384" spans="1:11" x14ac:dyDescent="0.25">
      <c r="A2384" s="1926" t="s">
        <v>1</v>
      </c>
      <c r="B2384" s="1926"/>
      <c r="C2384" s="1926"/>
      <c r="D2384" s="1926"/>
      <c r="E2384" s="1926"/>
      <c r="F2384" s="1926"/>
      <c r="G2384" s="1926"/>
    </row>
    <row r="2385" spans="1:11" x14ac:dyDescent="0.25">
      <c r="A2385" s="1926" t="s">
        <v>2398</v>
      </c>
      <c r="B2385" s="1926"/>
      <c r="C2385" s="1926"/>
      <c r="D2385" s="1926"/>
      <c r="E2385" s="1926"/>
      <c r="F2385" s="1926"/>
      <c r="G2385" s="1926"/>
    </row>
    <row r="2386" spans="1:11" x14ac:dyDescent="0.25">
      <c r="A2386" s="156"/>
      <c r="B2386" s="152"/>
      <c r="C2386" s="152"/>
      <c r="D2386" s="152"/>
      <c r="E2386" s="152"/>
      <c r="F2386" s="191"/>
      <c r="G2386" s="151"/>
    </row>
    <row r="2387" spans="1:11" x14ac:dyDescent="0.25">
      <c r="A2387" s="182" t="s">
        <v>491</v>
      </c>
      <c r="B2387" s="182" t="s">
        <v>648</v>
      </c>
      <c r="C2387" s="182"/>
      <c r="D2387" s="182"/>
      <c r="E2387" s="154" t="s">
        <v>6</v>
      </c>
      <c r="F2387" s="182"/>
      <c r="G2387" s="405"/>
    </row>
    <row r="2388" spans="1:11" x14ac:dyDescent="0.25">
      <c r="A2388" s="182" t="s">
        <v>492</v>
      </c>
      <c r="B2388" s="182" t="s">
        <v>802</v>
      </c>
      <c r="C2388" s="182"/>
      <c r="D2388" s="182"/>
      <c r="E2388" s="488" t="s">
        <v>9</v>
      </c>
      <c r="F2388" s="182"/>
      <c r="G2388" s="405"/>
    </row>
    <row r="2389" spans="1:11" ht="24.75" x14ac:dyDescent="0.25">
      <c r="A2389" s="184" t="s">
        <v>493</v>
      </c>
      <c r="B2389" s="151" t="s">
        <v>816</v>
      </c>
      <c r="C2389" s="151"/>
      <c r="D2389" s="182"/>
      <c r="E2389" s="394"/>
      <c r="F2389" s="182"/>
      <c r="G2389" s="405"/>
    </row>
    <row r="2390" spans="1:11" ht="24.75" x14ac:dyDescent="0.25">
      <c r="A2390" s="151" t="s">
        <v>469</v>
      </c>
      <c r="B2390" s="152" t="s">
        <v>60</v>
      </c>
      <c r="C2390" s="152"/>
      <c r="D2390" s="152"/>
      <c r="E2390" s="152"/>
      <c r="F2390" s="152"/>
      <c r="G2390" s="405"/>
    </row>
    <row r="2391" spans="1:11" ht="24" x14ac:dyDescent="0.25">
      <c r="A2391" s="162" t="s">
        <v>255</v>
      </c>
      <c r="B2391" s="162" t="s">
        <v>11</v>
      </c>
      <c r="C2391" s="1958" t="s">
        <v>12</v>
      </c>
      <c r="D2391" s="1958"/>
      <c r="E2391" s="230" t="s">
        <v>13</v>
      </c>
      <c r="F2391" s="162" t="s">
        <v>14</v>
      </c>
      <c r="G2391" s="408" t="s">
        <v>256</v>
      </c>
    </row>
    <row r="2392" spans="1:11" x14ac:dyDescent="0.25">
      <c r="A2392" s="161">
        <v>1</v>
      </c>
      <c r="B2392" s="161">
        <v>2</v>
      </c>
      <c r="C2392" s="1931">
        <v>3</v>
      </c>
      <c r="D2392" s="1932"/>
      <c r="E2392" s="2">
        <v>4</v>
      </c>
      <c r="F2392" s="169">
        <v>5</v>
      </c>
      <c r="G2392" s="397">
        <v>6</v>
      </c>
    </row>
    <row r="2393" spans="1:11" ht="27" customHeight="1" x14ac:dyDescent="0.25">
      <c r="A2393" s="346" t="s">
        <v>799</v>
      </c>
      <c r="B2393" s="317" t="s">
        <v>815</v>
      </c>
      <c r="C2393" s="169"/>
      <c r="D2393" s="170"/>
      <c r="E2393" s="141"/>
      <c r="F2393" s="141"/>
      <c r="G2393" s="162"/>
    </row>
    <row r="2394" spans="1:11" x14ac:dyDescent="0.25">
      <c r="A2394" s="346" t="s">
        <v>798</v>
      </c>
      <c r="B2394" s="463" t="s">
        <v>84</v>
      </c>
      <c r="C2394" s="555"/>
      <c r="D2394" s="207"/>
      <c r="E2394" s="194"/>
      <c r="F2394" s="194"/>
      <c r="G2394" s="177"/>
    </row>
    <row r="2395" spans="1:11" ht="36" x14ac:dyDescent="0.25">
      <c r="A2395" s="346" t="s">
        <v>797</v>
      </c>
      <c r="B2395" s="317" t="s">
        <v>814</v>
      </c>
      <c r="C2395" s="178"/>
      <c r="D2395" s="207"/>
      <c r="E2395" s="194"/>
      <c r="F2395" s="194"/>
      <c r="G2395" s="177"/>
    </row>
    <row r="2396" spans="1:11" ht="24" x14ac:dyDescent="0.25">
      <c r="A2396" s="176"/>
      <c r="B2396" s="556" t="s">
        <v>1585</v>
      </c>
      <c r="C2396" s="169">
        <v>12</v>
      </c>
      <c r="D2396" s="170" t="s">
        <v>175</v>
      </c>
      <c r="E2396" s="537">
        <v>300000</v>
      </c>
      <c r="F2396" s="537">
        <f>C2396*E2396</f>
        <v>3600000</v>
      </c>
      <c r="G2396" s="177" t="s">
        <v>1220</v>
      </c>
      <c r="K2396" s="139">
        <f>F2396</f>
        <v>3600000</v>
      </c>
    </row>
    <row r="2397" spans="1:11" x14ac:dyDescent="0.25">
      <c r="A2397" s="346" t="s">
        <v>792</v>
      </c>
      <c r="B2397" s="463" t="s">
        <v>791</v>
      </c>
      <c r="C2397" s="555"/>
      <c r="D2397" s="170"/>
      <c r="E2397" s="537"/>
      <c r="F2397" s="537"/>
      <c r="G2397" s="177"/>
    </row>
    <row r="2398" spans="1:11" x14ac:dyDescent="0.25">
      <c r="A2398" s="346"/>
      <c r="B2398" s="465" t="s">
        <v>3120</v>
      </c>
      <c r="C2398" s="1111">
        <v>1</v>
      </c>
      <c r="D2398" s="170" t="s">
        <v>110</v>
      </c>
      <c r="E2398" s="537">
        <v>2241000</v>
      </c>
      <c r="F2398" s="537">
        <f>E2398*C2398</f>
        <v>2241000</v>
      </c>
      <c r="G2398" s="177" t="s">
        <v>1220</v>
      </c>
      <c r="K2398" s="139">
        <f>F2398</f>
        <v>2241000</v>
      </c>
    </row>
    <row r="2399" spans="1:11" x14ac:dyDescent="0.25">
      <c r="A2399" s="176"/>
      <c r="B2399" s="557" t="s">
        <v>1586</v>
      </c>
      <c r="C2399" s="169">
        <v>2</v>
      </c>
      <c r="D2399" s="170" t="s">
        <v>106</v>
      </c>
      <c r="E2399" s="537">
        <v>26000</v>
      </c>
      <c r="F2399" s="537">
        <f>C2399*E2399</f>
        <v>52000</v>
      </c>
      <c r="G2399" s="177" t="s">
        <v>1220</v>
      </c>
      <c r="K2399" s="139">
        <f t="shared" ref="K2399:K2401" si="81">F2399</f>
        <v>52000</v>
      </c>
    </row>
    <row r="2400" spans="1:11" x14ac:dyDescent="0.25">
      <c r="A2400" s="176"/>
      <c r="B2400" s="556" t="s">
        <v>813</v>
      </c>
      <c r="C2400" s="169">
        <v>190</v>
      </c>
      <c r="D2400" s="170" t="s">
        <v>106</v>
      </c>
      <c r="E2400" s="537">
        <v>10000</v>
      </c>
      <c r="F2400" s="537">
        <f>C2400*E2400</f>
        <v>1900000</v>
      </c>
      <c r="G2400" s="177" t="s">
        <v>1220</v>
      </c>
      <c r="K2400" s="139">
        <f t="shared" si="81"/>
        <v>1900000</v>
      </c>
    </row>
    <row r="2401" spans="1:20" x14ac:dyDescent="0.25">
      <c r="A2401" s="176"/>
      <c r="B2401" s="556" t="s">
        <v>3121</v>
      </c>
      <c r="C2401" s="169">
        <v>10</v>
      </c>
      <c r="D2401" s="170" t="s">
        <v>117</v>
      </c>
      <c r="E2401" s="537">
        <v>152800</v>
      </c>
      <c r="F2401" s="537">
        <f>E2401*C2401</f>
        <v>1528000</v>
      </c>
      <c r="G2401" s="177" t="s">
        <v>1220</v>
      </c>
      <c r="K2401" s="139">
        <f t="shared" si="81"/>
        <v>1528000</v>
      </c>
    </row>
    <row r="2402" spans="1:20" x14ac:dyDescent="0.25">
      <c r="A2402" s="346" t="s">
        <v>1579</v>
      </c>
      <c r="B2402" s="558" t="s">
        <v>1587</v>
      </c>
      <c r="C2402" s="169"/>
      <c r="D2402" s="170"/>
      <c r="E2402" s="537"/>
      <c r="F2402" s="537"/>
      <c r="G2402" s="177"/>
      <c r="K2402" s="139"/>
    </row>
    <row r="2403" spans="1:20" ht="24.75" x14ac:dyDescent="0.25">
      <c r="A2403" s="346"/>
      <c r="B2403" s="402" t="s">
        <v>1588</v>
      </c>
      <c r="C2403" s="169">
        <v>3</v>
      </c>
      <c r="D2403" s="170" t="s">
        <v>106</v>
      </c>
      <c r="E2403" s="542">
        <v>278000</v>
      </c>
      <c r="F2403" s="537">
        <f t="shared" ref="F2403:F2408" si="82">C2403*E2403</f>
        <v>834000</v>
      </c>
      <c r="G2403" s="177" t="s">
        <v>1220</v>
      </c>
      <c r="K2403" s="139">
        <f>F2403</f>
        <v>834000</v>
      </c>
    </row>
    <row r="2404" spans="1:20" x14ac:dyDescent="0.25">
      <c r="A2404" s="346"/>
      <c r="B2404" s="402" t="s">
        <v>745</v>
      </c>
      <c r="C2404" s="169">
        <v>3</v>
      </c>
      <c r="D2404" s="170" t="s">
        <v>93</v>
      </c>
      <c r="E2404" s="542">
        <v>161000</v>
      </c>
      <c r="F2404" s="537">
        <f t="shared" si="82"/>
        <v>483000</v>
      </c>
      <c r="G2404" s="177" t="s">
        <v>1220</v>
      </c>
      <c r="K2404" s="139">
        <f t="shared" ref="K2404:K2408" si="83">F2404</f>
        <v>483000</v>
      </c>
    </row>
    <row r="2405" spans="1:20" x14ac:dyDescent="0.25">
      <c r="A2405" s="346"/>
      <c r="B2405" s="402" t="s">
        <v>2241</v>
      </c>
      <c r="C2405" s="169">
        <v>3</v>
      </c>
      <c r="D2405" s="170" t="s">
        <v>93</v>
      </c>
      <c r="E2405" s="542">
        <v>123000</v>
      </c>
      <c r="F2405" s="537">
        <f t="shared" si="82"/>
        <v>369000</v>
      </c>
      <c r="G2405" s="177" t="s">
        <v>1220</v>
      </c>
      <c r="K2405" s="139">
        <f t="shared" si="83"/>
        <v>369000</v>
      </c>
    </row>
    <row r="2406" spans="1:20" x14ac:dyDescent="0.25">
      <c r="A2406" s="346"/>
      <c r="B2406" s="402" t="s">
        <v>1583</v>
      </c>
      <c r="C2406" s="169">
        <v>3</v>
      </c>
      <c r="D2406" s="170" t="s">
        <v>93</v>
      </c>
      <c r="E2406" s="542">
        <v>187000</v>
      </c>
      <c r="F2406" s="537">
        <f t="shared" si="82"/>
        <v>561000</v>
      </c>
      <c r="G2406" s="177" t="s">
        <v>1220</v>
      </c>
      <c r="K2406" s="139">
        <f t="shared" si="83"/>
        <v>561000</v>
      </c>
    </row>
    <row r="2407" spans="1:20" x14ac:dyDescent="0.25">
      <c r="A2407" s="346"/>
      <c r="B2407" s="402" t="s">
        <v>788</v>
      </c>
      <c r="C2407" s="169">
        <v>3</v>
      </c>
      <c r="D2407" s="170" t="s">
        <v>93</v>
      </c>
      <c r="E2407" s="542">
        <v>139000</v>
      </c>
      <c r="F2407" s="537">
        <f t="shared" si="82"/>
        <v>417000</v>
      </c>
      <c r="G2407" s="177" t="s">
        <v>1220</v>
      </c>
      <c r="K2407" s="139">
        <f t="shared" si="83"/>
        <v>417000</v>
      </c>
    </row>
    <row r="2408" spans="1:20" x14ac:dyDescent="0.25">
      <c r="A2408" s="346"/>
      <c r="B2408" s="402" t="s">
        <v>787</v>
      </c>
      <c r="C2408" s="169">
        <v>3</v>
      </c>
      <c r="D2408" s="170" t="s">
        <v>786</v>
      </c>
      <c r="E2408" s="542">
        <v>39000</v>
      </c>
      <c r="F2408" s="537">
        <f t="shared" si="82"/>
        <v>117000</v>
      </c>
      <c r="G2408" s="177" t="s">
        <v>1220</v>
      </c>
      <c r="K2408" s="139">
        <f t="shared" si="83"/>
        <v>117000</v>
      </c>
    </row>
    <row r="2409" spans="1:20" x14ac:dyDescent="0.25">
      <c r="A2409" s="346" t="s">
        <v>785</v>
      </c>
      <c r="B2409" s="559" t="s">
        <v>812</v>
      </c>
      <c r="C2409" s="169"/>
      <c r="D2409" s="170"/>
      <c r="E2409" s="537"/>
      <c r="F2409" s="537"/>
      <c r="G2409" s="177"/>
    </row>
    <row r="2410" spans="1:20" x14ac:dyDescent="0.25">
      <c r="A2410" s="346" t="s">
        <v>2240</v>
      </c>
      <c r="B2410" s="463" t="s">
        <v>1268</v>
      </c>
      <c r="C2410" s="555"/>
      <c r="D2410" s="170"/>
      <c r="E2410" s="537"/>
      <c r="F2410" s="537"/>
      <c r="G2410" s="177"/>
    </row>
    <row r="2411" spans="1:20" ht="24.75" x14ac:dyDescent="0.25">
      <c r="A2411" s="176"/>
      <c r="B2411" s="201" t="s">
        <v>1589</v>
      </c>
      <c r="C2411" s="169">
        <f>2*3</f>
        <v>6</v>
      </c>
      <c r="D2411" s="245" t="s">
        <v>21</v>
      </c>
      <c r="E2411" s="125">
        <v>1800000</v>
      </c>
      <c r="F2411" s="125">
        <f>C2411*E2411</f>
        <v>10800000</v>
      </c>
      <c r="G2411" s="197" t="s">
        <v>1777</v>
      </c>
      <c r="T2411" s="139">
        <f>F2411</f>
        <v>10800000</v>
      </c>
    </row>
    <row r="2412" spans="1:20" ht="24" x14ac:dyDescent="0.25">
      <c r="A2412" s="176"/>
      <c r="B2412" s="201" t="s">
        <v>1590</v>
      </c>
      <c r="C2412" s="169">
        <f>2*9</f>
        <v>18</v>
      </c>
      <c r="D2412" s="245" t="s">
        <v>21</v>
      </c>
      <c r="E2412" s="125">
        <v>1800000</v>
      </c>
      <c r="F2412" s="125">
        <f>C2412*E2412</f>
        <v>32400000</v>
      </c>
      <c r="G2412" s="197" t="s">
        <v>1220</v>
      </c>
      <c r="K2412" s="139">
        <f>F2412</f>
        <v>32400000</v>
      </c>
    </row>
    <row r="2413" spans="1:20" ht="24.75" x14ac:dyDescent="0.25">
      <c r="A2413" s="176"/>
      <c r="B2413" s="201" t="s">
        <v>3287</v>
      </c>
      <c r="C2413" s="169">
        <v>3</v>
      </c>
      <c r="D2413" s="245" t="s">
        <v>21</v>
      </c>
      <c r="E2413" s="125">
        <v>1800000</v>
      </c>
      <c r="F2413" s="125">
        <f>C2413*E2413</f>
        <v>5400000</v>
      </c>
      <c r="G2413" s="197" t="s">
        <v>1777</v>
      </c>
      <c r="T2413" s="139">
        <f>F2413</f>
        <v>5400000</v>
      </c>
    </row>
    <row r="2414" spans="1:20" ht="24" x14ac:dyDescent="0.25">
      <c r="A2414" s="176"/>
      <c r="B2414" s="201" t="s">
        <v>3288</v>
      </c>
      <c r="C2414" s="169">
        <v>9</v>
      </c>
      <c r="D2414" s="245" t="s">
        <v>21</v>
      </c>
      <c r="E2414" s="125">
        <v>1800000</v>
      </c>
      <c r="F2414" s="125">
        <f>C2414*E2414</f>
        <v>16200000</v>
      </c>
      <c r="G2414" s="197" t="s">
        <v>1220</v>
      </c>
      <c r="K2414" s="139">
        <f>F2414</f>
        <v>16200000</v>
      </c>
    </row>
    <row r="2415" spans="1:20" ht="24" x14ac:dyDescent="0.25">
      <c r="A2415" s="176"/>
      <c r="B2415" s="201" t="s">
        <v>1591</v>
      </c>
      <c r="C2415" s="169">
        <f>16*17</f>
        <v>272</v>
      </c>
      <c r="D2415" s="170" t="s">
        <v>392</v>
      </c>
      <c r="E2415" s="537">
        <v>100000</v>
      </c>
      <c r="F2415" s="537">
        <f>E2415*C2415</f>
        <v>27200000</v>
      </c>
      <c r="G2415" s="177" t="s">
        <v>1220</v>
      </c>
      <c r="K2415" s="139">
        <f>F2415</f>
        <v>27200000</v>
      </c>
    </row>
    <row r="2416" spans="1:20" x14ac:dyDescent="0.25">
      <c r="A2416" s="176"/>
      <c r="B2416" s="201"/>
      <c r="C2416" s="169"/>
      <c r="D2416" s="170"/>
      <c r="E2416" s="537"/>
      <c r="F2416" s="537"/>
      <c r="G2416" s="177"/>
    </row>
    <row r="2417" spans="1:11" x14ac:dyDescent="0.25">
      <c r="A2417" s="346" t="s">
        <v>776</v>
      </c>
      <c r="B2417" s="317" t="s">
        <v>206</v>
      </c>
      <c r="C2417" s="169"/>
      <c r="D2417" s="170"/>
      <c r="E2417" s="537"/>
      <c r="F2417" s="537"/>
      <c r="G2417" s="177"/>
    </row>
    <row r="2418" spans="1:11" ht="24" x14ac:dyDescent="0.25">
      <c r="A2418" s="346" t="s">
        <v>775</v>
      </c>
      <c r="B2418" s="317" t="s">
        <v>811</v>
      </c>
      <c r="C2418" s="169"/>
      <c r="D2418" s="170"/>
      <c r="E2418" s="537"/>
      <c r="F2418" s="537"/>
      <c r="G2418" s="177"/>
    </row>
    <row r="2419" spans="1:11" ht="24" x14ac:dyDescent="0.25">
      <c r="A2419" s="176"/>
      <c r="B2419" s="556" t="s">
        <v>1592</v>
      </c>
      <c r="C2419" s="169">
        <v>16</v>
      </c>
      <c r="D2419" s="170" t="s">
        <v>810</v>
      </c>
      <c r="E2419" s="537">
        <v>30000</v>
      </c>
      <c r="F2419" s="537">
        <f>C2419*E2419</f>
        <v>480000</v>
      </c>
      <c r="G2419" s="177" t="s">
        <v>1220</v>
      </c>
      <c r="K2419" s="139">
        <f>F2419</f>
        <v>480000</v>
      </c>
    </row>
    <row r="2420" spans="1:11" ht="24" x14ac:dyDescent="0.25">
      <c r="A2420" s="176"/>
      <c r="B2420" s="556" t="s">
        <v>1593</v>
      </c>
      <c r="C2420" s="169">
        <v>1</v>
      </c>
      <c r="D2420" s="170" t="s">
        <v>186</v>
      </c>
      <c r="E2420" s="537">
        <v>5400000</v>
      </c>
      <c r="F2420" s="537">
        <f>C2420*E2420</f>
        <v>5400000</v>
      </c>
      <c r="G2420" s="177" t="s">
        <v>1220</v>
      </c>
      <c r="K2420" s="139">
        <f t="shared" ref="K2420:K2421" si="84">F2420</f>
        <v>5400000</v>
      </c>
    </row>
    <row r="2421" spans="1:11" ht="24" x14ac:dyDescent="0.25">
      <c r="A2421" s="176"/>
      <c r="B2421" s="556" t="s">
        <v>1594</v>
      </c>
      <c r="C2421" s="169">
        <v>2</v>
      </c>
      <c r="D2421" s="170" t="s">
        <v>110</v>
      </c>
      <c r="E2421" s="537">
        <v>1000000</v>
      </c>
      <c r="F2421" s="537">
        <f>C2421*E2421</f>
        <v>2000000</v>
      </c>
      <c r="G2421" s="177" t="s">
        <v>1220</v>
      </c>
      <c r="K2421" s="139">
        <f t="shared" si="84"/>
        <v>2000000</v>
      </c>
    </row>
    <row r="2422" spans="1:11" x14ac:dyDescent="0.25">
      <c r="A2422" s="176"/>
      <c r="B2422" s="560"/>
      <c r="C2422" s="561"/>
      <c r="D2422" s="561"/>
      <c r="E2422" s="562"/>
      <c r="F2422" s="194"/>
      <c r="G2422" s="177"/>
      <c r="K2422" s="139"/>
    </row>
    <row r="2423" spans="1:11" x14ac:dyDescent="0.25">
      <c r="A2423" s="161"/>
      <c r="B2423" s="1948" t="s">
        <v>26</v>
      </c>
      <c r="C2423" s="1949"/>
      <c r="D2423" s="1949"/>
      <c r="E2423" s="1950"/>
      <c r="F2423" s="194">
        <f>SUM(F2393:F2421)</f>
        <v>111982000</v>
      </c>
      <c r="G2423" s="177"/>
    </row>
    <row r="2424" spans="1:11" x14ac:dyDescent="0.25">
      <c r="A2424" s="153"/>
      <c r="B2424" s="223"/>
      <c r="C2424" s="223"/>
      <c r="D2424" s="223"/>
      <c r="E2424" s="223"/>
      <c r="F2424" s="924"/>
      <c r="G2424" s="151"/>
    </row>
    <row r="2425" spans="1:11" x14ac:dyDescent="0.25">
      <c r="A2425" s="1926" t="s">
        <v>516</v>
      </c>
      <c r="B2425" s="1926"/>
      <c r="C2425" s="152" t="s">
        <v>27</v>
      </c>
      <c r="D2425" s="1926" t="s">
        <v>3654</v>
      </c>
      <c r="E2425" s="1926"/>
      <c r="F2425" s="1926"/>
      <c r="G2425" s="152"/>
    </row>
    <row r="2426" spans="1:11" x14ac:dyDescent="0.25">
      <c r="A2426" s="1926" t="s">
        <v>28</v>
      </c>
      <c r="B2426" s="1926"/>
      <c r="C2426" s="152"/>
      <c r="D2426" s="1927" t="s">
        <v>3570</v>
      </c>
      <c r="E2426" s="1927"/>
      <c r="F2426" s="1927"/>
      <c r="G2426" s="152"/>
    </row>
    <row r="2427" spans="1:11" x14ac:dyDescent="0.25">
      <c r="A2427" s="150"/>
      <c r="B2427" s="151"/>
      <c r="C2427" s="152"/>
      <c r="D2427" s="153"/>
      <c r="E2427" s="182"/>
      <c r="F2427" s="1208"/>
      <c r="G2427" s="152"/>
    </row>
    <row r="2428" spans="1:11" x14ac:dyDescent="0.25">
      <c r="A2428" s="150"/>
      <c r="B2428" s="151"/>
      <c r="C2428" s="152"/>
      <c r="D2428" s="153"/>
      <c r="E2428" s="182"/>
      <c r="F2428" s="1208"/>
      <c r="G2428" s="152"/>
    </row>
    <row r="2429" spans="1:11" x14ac:dyDescent="0.25">
      <c r="A2429" s="1926"/>
      <c r="B2429" s="1926"/>
      <c r="C2429" s="152"/>
      <c r="D2429" s="153"/>
      <c r="E2429" s="2003"/>
      <c r="F2429" s="2003"/>
      <c r="G2429" s="152"/>
    </row>
    <row r="2430" spans="1:11" x14ac:dyDescent="0.25">
      <c r="A2430" s="1926" t="s">
        <v>29</v>
      </c>
      <c r="B2430" s="1926"/>
      <c r="C2430" s="152"/>
      <c r="D2430" s="1926" t="s">
        <v>3548</v>
      </c>
      <c r="E2430" s="1926"/>
      <c r="F2430" s="1926"/>
      <c r="G2430" s="152"/>
    </row>
    <row r="2435" spans="1:7" x14ac:dyDescent="0.25">
      <c r="A2435" s="2062" t="s">
        <v>1796</v>
      </c>
      <c r="B2435" s="2062"/>
      <c r="C2435" s="2062"/>
      <c r="D2435" s="2062"/>
      <c r="E2435" s="2062"/>
      <c r="F2435" s="2062"/>
      <c r="G2435" s="2062"/>
    </row>
    <row r="2436" spans="1:7" x14ac:dyDescent="0.25">
      <c r="A2436" s="2062" t="s">
        <v>1</v>
      </c>
      <c r="B2436" s="2062"/>
      <c r="C2436" s="2062"/>
      <c r="D2436" s="2062"/>
      <c r="E2436" s="2062"/>
      <c r="F2436" s="2062"/>
      <c r="G2436" s="2062"/>
    </row>
    <row r="2437" spans="1:7" x14ac:dyDescent="0.25">
      <c r="A2437" s="2062" t="s">
        <v>2398</v>
      </c>
      <c r="B2437" s="2062"/>
      <c r="C2437" s="2062"/>
      <c r="D2437" s="2062"/>
      <c r="E2437" s="2062"/>
      <c r="F2437" s="2062"/>
      <c r="G2437" s="2062"/>
    </row>
    <row r="2438" spans="1:7" x14ac:dyDescent="0.25">
      <c r="A2438" s="266"/>
      <c r="B2438" s="260"/>
      <c r="C2438" s="260"/>
      <c r="D2438" s="260"/>
      <c r="E2438" s="260"/>
      <c r="F2438" s="265"/>
      <c r="G2438" s="268"/>
    </row>
    <row r="2439" spans="1:7" x14ac:dyDescent="0.25">
      <c r="A2439" s="563" t="s">
        <v>491</v>
      </c>
      <c r="B2439" s="563" t="s">
        <v>648</v>
      </c>
      <c r="C2439" s="563"/>
      <c r="D2439" s="563"/>
      <c r="E2439" s="262" t="s">
        <v>6</v>
      </c>
      <c r="F2439" s="563"/>
      <c r="G2439" s="564"/>
    </row>
    <row r="2440" spans="1:7" x14ac:dyDescent="0.25">
      <c r="A2440" s="563" t="s">
        <v>492</v>
      </c>
      <c r="B2440" s="563" t="s">
        <v>802</v>
      </c>
      <c r="C2440" s="563"/>
      <c r="D2440" s="563"/>
      <c r="E2440" s="565" t="s">
        <v>9</v>
      </c>
      <c r="F2440" s="563"/>
      <c r="G2440" s="564"/>
    </row>
    <row r="2441" spans="1:7" ht="30" x14ac:dyDescent="0.25">
      <c r="A2441" s="566" t="s">
        <v>493</v>
      </c>
      <c r="B2441" s="268" t="s">
        <v>1702</v>
      </c>
      <c r="C2441" s="268"/>
      <c r="D2441" s="563"/>
      <c r="E2441" s="567"/>
      <c r="F2441" s="563"/>
      <c r="G2441" s="564"/>
    </row>
    <row r="2442" spans="1:7" ht="30" x14ac:dyDescent="0.25">
      <c r="A2442" s="268" t="s">
        <v>469</v>
      </c>
      <c r="B2442" s="260" t="s">
        <v>60</v>
      </c>
      <c r="C2442" s="260"/>
      <c r="D2442" s="260"/>
      <c r="E2442" s="260"/>
      <c r="F2442" s="260"/>
      <c r="G2442" s="564"/>
    </row>
    <row r="2443" spans="1:7" x14ac:dyDescent="0.25">
      <c r="A2443" s="187"/>
      <c r="B2443" s="187"/>
      <c r="C2443" s="187"/>
      <c r="D2443" s="187"/>
      <c r="E2443" s="187"/>
      <c r="F2443" s="187"/>
      <c r="G2443" s="564"/>
    </row>
    <row r="2444" spans="1:7" ht="30" x14ac:dyDescent="0.25">
      <c r="A2444" s="269" t="s">
        <v>255</v>
      </c>
      <c r="B2444" s="269" t="s">
        <v>11</v>
      </c>
      <c r="C2444" s="1962" t="s">
        <v>12</v>
      </c>
      <c r="D2444" s="1962"/>
      <c r="E2444" s="270" t="s">
        <v>13</v>
      </c>
      <c r="F2444" s="269" t="s">
        <v>14</v>
      </c>
      <c r="G2444" s="568" t="s">
        <v>256</v>
      </c>
    </row>
    <row r="2445" spans="1:7" x14ac:dyDescent="0.25">
      <c r="A2445" s="281">
        <v>1</v>
      </c>
      <c r="B2445" s="281">
        <v>2</v>
      </c>
      <c r="C2445" s="1965">
        <v>3</v>
      </c>
      <c r="D2445" s="1966"/>
      <c r="E2445" s="569">
        <v>4</v>
      </c>
      <c r="F2445" s="279">
        <v>5</v>
      </c>
      <c r="G2445" s="570">
        <v>6</v>
      </c>
    </row>
    <row r="2446" spans="1:7" ht="30.75" customHeight="1" x14ac:dyDescent="0.25">
      <c r="A2446" s="346" t="s">
        <v>799</v>
      </c>
      <c r="B2446" s="317" t="s">
        <v>815</v>
      </c>
      <c r="C2446" s="169"/>
      <c r="D2446" s="170"/>
      <c r="E2446" s="141"/>
      <c r="F2446" s="141"/>
      <c r="G2446" s="269"/>
    </row>
    <row r="2447" spans="1:7" x14ac:dyDescent="0.25">
      <c r="A2447" s="346" t="s">
        <v>798</v>
      </c>
      <c r="B2447" s="540" t="s">
        <v>84</v>
      </c>
      <c r="C2447" s="463"/>
      <c r="D2447" s="207"/>
      <c r="E2447" s="194"/>
      <c r="F2447" s="194"/>
      <c r="G2447" s="290"/>
    </row>
    <row r="2448" spans="1:7" x14ac:dyDescent="0.25">
      <c r="A2448" s="346" t="s">
        <v>792</v>
      </c>
      <c r="B2448" s="540" t="s">
        <v>791</v>
      </c>
      <c r="C2448" s="463"/>
      <c r="D2448" s="170"/>
      <c r="E2448" s="537"/>
      <c r="F2448" s="537"/>
      <c r="G2448" s="290"/>
    </row>
    <row r="2449" spans="1:12" x14ac:dyDescent="0.25">
      <c r="A2449" s="176"/>
      <c r="B2449" s="557" t="s">
        <v>1494</v>
      </c>
      <c r="C2449" s="169">
        <v>40</v>
      </c>
      <c r="D2449" s="170" t="s">
        <v>2641</v>
      </c>
      <c r="E2449" s="537">
        <v>55000</v>
      </c>
      <c r="F2449" s="537">
        <f>C2449*E2449</f>
        <v>2200000</v>
      </c>
      <c r="G2449" s="290"/>
    </row>
    <row r="2450" spans="1:12" x14ac:dyDescent="0.25">
      <c r="A2450" s="176"/>
      <c r="B2450" s="557" t="s">
        <v>1586</v>
      </c>
      <c r="C2450" s="169">
        <v>2</v>
      </c>
      <c r="D2450" s="170" t="s">
        <v>106</v>
      </c>
      <c r="E2450" s="537">
        <v>26000</v>
      </c>
      <c r="F2450" s="537">
        <f>C2450*E2450</f>
        <v>52000</v>
      </c>
      <c r="G2450" s="290"/>
    </row>
    <row r="2451" spans="1:12" x14ac:dyDescent="0.25">
      <c r="A2451" s="176"/>
      <c r="B2451" s="412" t="s">
        <v>789</v>
      </c>
      <c r="C2451" s="169">
        <v>2</v>
      </c>
      <c r="D2451" s="170" t="s">
        <v>106</v>
      </c>
      <c r="E2451" s="536">
        <v>107000</v>
      </c>
      <c r="F2451" s="537">
        <f>C2451*E2451</f>
        <v>214000</v>
      </c>
      <c r="G2451" s="290"/>
    </row>
    <row r="2452" spans="1:12" x14ac:dyDescent="0.25">
      <c r="A2452" s="176"/>
      <c r="B2452" s="412" t="s">
        <v>114</v>
      </c>
      <c r="C2452" s="169">
        <v>6</v>
      </c>
      <c r="D2452" s="170" t="s">
        <v>106</v>
      </c>
      <c r="E2452" s="536">
        <v>28000</v>
      </c>
      <c r="F2452" s="537">
        <f>C2452*E2452</f>
        <v>168000</v>
      </c>
      <c r="G2452" s="290"/>
    </row>
    <row r="2453" spans="1:12" x14ac:dyDescent="0.25">
      <c r="A2453" s="176"/>
      <c r="B2453" s="556" t="s">
        <v>813</v>
      </c>
      <c r="C2453" s="169">
        <v>100</v>
      </c>
      <c r="D2453" s="170" t="s">
        <v>106</v>
      </c>
      <c r="E2453" s="537">
        <v>10000</v>
      </c>
      <c r="F2453" s="537">
        <f>C2453*E2453</f>
        <v>1000000</v>
      </c>
      <c r="G2453" s="290"/>
    </row>
    <row r="2454" spans="1:12" x14ac:dyDescent="0.25">
      <c r="A2454" s="346" t="s">
        <v>792</v>
      </c>
      <c r="B2454" s="558" t="s">
        <v>1587</v>
      </c>
      <c r="C2454" s="169"/>
      <c r="D2454" s="170"/>
      <c r="E2454" s="537"/>
      <c r="F2454" s="537"/>
      <c r="G2454" s="290"/>
    </row>
    <row r="2455" spans="1:12" ht="24" x14ac:dyDescent="0.25">
      <c r="A2455" s="346"/>
      <c r="B2455" s="541" t="s">
        <v>1588</v>
      </c>
      <c r="C2455" s="169">
        <v>10</v>
      </c>
      <c r="D2455" s="170" t="s">
        <v>106</v>
      </c>
      <c r="E2455" s="542">
        <v>278000</v>
      </c>
      <c r="F2455" s="537">
        <f>C2455*E2455</f>
        <v>2780000</v>
      </c>
      <c r="G2455" s="290"/>
    </row>
    <row r="2456" spans="1:12" x14ac:dyDescent="0.25">
      <c r="A2456" s="346"/>
      <c r="B2456" s="541" t="s">
        <v>745</v>
      </c>
      <c r="C2456" s="169">
        <v>10</v>
      </c>
      <c r="D2456" s="170" t="s">
        <v>93</v>
      </c>
      <c r="E2456" s="542">
        <v>161000</v>
      </c>
      <c r="F2456" s="537">
        <f>C2456*E2456</f>
        <v>1610000</v>
      </c>
      <c r="G2456" s="290"/>
    </row>
    <row r="2457" spans="1:12" x14ac:dyDescent="0.25">
      <c r="A2457" s="346"/>
      <c r="B2457" s="541" t="s">
        <v>1583</v>
      </c>
      <c r="C2457" s="169">
        <v>10</v>
      </c>
      <c r="D2457" s="170" t="s">
        <v>93</v>
      </c>
      <c r="E2457" s="542">
        <v>187000</v>
      </c>
      <c r="F2457" s="537">
        <f>C2457*E2457</f>
        <v>1870000</v>
      </c>
      <c r="G2457" s="290"/>
    </row>
    <row r="2458" spans="1:12" x14ac:dyDescent="0.25">
      <c r="A2458" s="346"/>
      <c r="B2458" s="541" t="s">
        <v>787</v>
      </c>
      <c r="C2458" s="169">
        <v>10</v>
      </c>
      <c r="D2458" s="170" t="s">
        <v>786</v>
      </c>
      <c r="E2458" s="542">
        <v>39000</v>
      </c>
      <c r="F2458" s="537">
        <f>C2458*E2458</f>
        <v>390000</v>
      </c>
      <c r="G2458" s="290"/>
    </row>
    <row r="2459" spans="1:12" x14ac:dyDescent="0.25">
      <c r="A2459" s="346" t="s">
        <v>785</v>
      </c>
      <c r="B2459" s="559" t="s">
        <v>812</v>
      </c>
      <c r="C2459" s="169"/>
      <c r="D2459" s="170"/>
      <c r="E2459" s="537"/>
      <c r="F2459" s="537"/>
      <c r="G2459" s="290"/>
    </row>
    <row r="2460" spans="1:12" x14ac:dyDescent="0.25">
      <c r="A2460" s="346" t="s">
        <v>2240</v>
      </c>
      <c r="B2460" s="2063" t="s">
        <v>1268</v>
      </c>
      <c r="C2460" s="2064"/>
      <c r="D2460" s="170"/>
      <c r="E2460" s="537"/>
      <c r="F2460" s="537"/>
      <c r="G2460" s="290"/>
    </row>
    <row r="2461" spans="1:12" s="96" customFormat="1" ht="24" x14ac:dyDescent="0.25">
      <c r="A2461" s="1882"/>
      <c r="B2461" s="1379" t="s">
        <v>3656</v>
      </c>
      <c r="C2461" s="1229">
        <v>1120</v>
      </c>
      <c r="D2461" s="1230" t="s">
        <v>21</v>
      </c>
      <c r="E2461" s="1883">
        <v>100000</v>
      </c>
      <c r="F2461" s="1883">
        <f>C2461*E2461</f>
        <v>112000000</v>
      </c>
      <c r="G2461" s="1403"/>
    </row>
    <row r="2462" spans="1:12" x14ac:dyDescent="0.25">
      <c r="A2462" s="176"/>
      <c r="B2462" s="560"/>
      <c r="C2462" s="561"/>
      <c r="D2462" s="561"/>
      <c r="E2462" s="562"/>
      <c r="F2462" s="194"/>
      <c r="G2462" s="290"/>
    </row>
    <row r="2463" spans="1:12" x14ac:dyDescent="0.25">
      <c r="A2463" s="161"/>
      <c r="B2463" s="1948" t="s">
        <v>26</v>
      </c>
      <c r="C2463" s="1949"/>
      <c r="D2463" s="1949"/>
      <c r="E2463" s="1950"/>
      <c r="F2463" s="194">
        <f>SUM(F2446:F2461)</f>
        <v>122284000</v>
      </c>
      <c r="G2463" s="177" t="s">
        <v>1506</v>
      </c>
      <c r="K2463" s="139"/>
      <c r="L2463" s="139">
        <f>F2463</f>
        <v>122284000</v>
      </c>
    </row>
    <row r="2464" spans="1:12" x14ac:dyDescent="0.25">
      <c r="A2464" s="1926" t="s">
        <v>516</v>
      </c>
      <c r="B2464" s="1926"/>
      <c r="C2464" s="152" t="s">
        <v>27</v>
      </c>
      <c r="D2464" s="1926" t="s">
        <v>3654</v>
      </c>
      <c r="E2464" s="1926"/>
      <c r="F2464" s="1926"/>
      <c r="G2464" s="152"/>
    </row>
    <row r="2465" spans="1:13" x14ac:dyDescent="0.25">
      <c r="A2465" s="1926" t="s">
        <v>28</v>
      </c>
      <c r="B2465" s="1926"/>
      <c r="C2465" s="152"/>
      <c r="D2465" s="1927" t="s">
        <v>3570</v>
      </c>
      <c r="E2465" s="1927"/>
      <c r="F2465" s="1927"/>
      <c r="G2465" s="152"/>
    </row>
    <row r="2466" spans="1:13" x14ac:dyDescent="0.25">
      <c r="A2466" s="150"/>
      <c r="B2466" s="151"/>
      <c r="C2466" s="152"/>
      <c r="D2466" s="153"/>
      <c r="E2466" s="182"/>
      <c r="F2466" s="1208"/>
      <c r="G2466" s="152"/>
    </row>
    <row r="2467" spans="1:13" x14ac:dyDescent="0.25">
      <c r="A2467" s="150"/>
      <c r="B2467" s="151"/>
      <c r="C2467" s="152"/>
      <c r="D2467" s="153"/>
      <c r="E2467" s="182"/>
      <c r="F2467" s="1208"/>
      <c r="G2467" s="152"/>
    </row>
    <row r="2468" spans="1:13" x14ac:dyDescent="0.25">
      <c r="A2468" s="1926"/>
      <c r="B2468" s="1926"/>
      <c r="C2468" s="152"/>
      <c r="D2468" s="153"/>
      <c r="E2468" s="2003"/>
      <c r="F2468" s="2003"/>
      <c r="G2468" s="152"/>
    </row>
    <row r="2469" spans="1:13" x14ac:dyDescent="0.25">
      <c r="A2469" s="1926" t="s">
        <v>29</v>
      </c>
      <c r="B2469" s="1926"/>
      <c r="C2469" s="152"/>
      <c r="D2469" s="1926" t="s">
        <v>3548</v>
      </c>
      <c r="E2469" s="1926"/>
      <c r="F2469" s="1926"/>
      <c r="G2469" s="152"/>
    </row>
    <row r="2470" spans="1:13" x14ac:dyDescent="0.25">
      <c r="F2470" s="68"/>
    </row>
    <row r="2471" spans="1:13" x14ac:dyDescent="0.25">
      <c r="A2471" s="1947" t="s">
        <v>0</v>
      </c>
      <c r="B2471" s="1947"/>
      <c r="C2471" s="1947"/>
      <c r="D2471" s="1947"/>
      <c r="E2471" s="1947"/>
      <c r="F2471" s="1947"/>
      <c r="G2471" s="1947"/>
      <c r="H2471" s="149"/>
      <c r="I2471" s="149"/>
      <c r="J2471" s="149"/>
      <c r="K2471" s="149"/>
      <c r="L2471" s="149"/>
      <c r="M2471" s="149"/>
    </row>
    <row r="2472" spans="1:13" x14ac:dyDescent="0.25">
      <c r="A2472" s="1947" t="s">
        <v>1</v>
      </c>
      <c r="B2472" s="1947"/>
      <c r="C2472" s="1947"/>
      <c r="D2472" s="1947"/>
      <c r="E2472" s="1947"/>
      <c r="F2472" s="1947"/>
      <c r="G2472" s="1947"/>
      <c r="H2472" s="149"/>
      <c r="I2472" s="149"/>
      <c r="J2472" s="149"/>
      <c r="K2472" s="149"/>
      <c r="L2472" s="149"/>
      <c r="M2472" s="149"/>
    </row>
    <row r="2473" spans="1:13" x14ac:dyDescent="0.25">
      <c r="A2473" s="1947" t="s">
        <v>2398</v>
      </c>
      <c r="B2473" s="1947"/>
      <c r="C2473" s="1947"/>
      <c r="D2473" s="1947"/>
      <c r="E2473" s="1947"/>
      <c r="F2473" s="1947"/>
      <c r="G2473" s="1947"/>
      <c r="H2473" s="149"/>
      <c r="I2473" s="149"/>
      <c r="J2473" s="149"/>
      <c r="K2473" s="149"/>
      <c r="L2473" s="149"/>
      <c r="M2473" s="149"/>
    </row>
    <row r="2474" spans="1:13" x14ac:dyDescent="0.25">
      <c r="A2474" s="156"/>
      <c r="B2474" s="151"/>
      <c r="C2474" s="153"/>
      <c r="D2474" s="153"/>
      <c r="E2474" s="527"/>
      <c r="F2474" s="528"/>
      <c r="G2474" s="151"/>
      <c r="H2474" s="151"/>
      <c r="I2474" s="151"/>
      <c r="J2474" s="151"/>
      <c r="K2474" s="151"/>
      <c r="L2474" s="151"/>
      <c r="M2474" s="151"/>
    </row>
    <row r="2475" spans="1:13" ht="24.75" x14ac:dyDescent="0.25">
      <c r="A2475" s="182" t="s">
        <v>491</v>
      </c>
      <c r="B2475" s="546" t="s">
        <v>648</v>
      </c>
      <c r="C2475" s="153"/>
      <c r="D2475" s="153"/>
      <c r="E2475" s="529" t="s">
        <v>6</v>
      </c>
      <c r="F2475" s="527"/>
      <c r="G2475" s="405"/>
      <c r="H2475" s="405"/>
      <c r="I2475" s="405"/>
      <c r="J2475" s="405"/>
      <c r="K2475" s="405"/>
      <c r="L2475" s="405"/>
      <c r="M2475" s="405"/>
    </row>
    <row r="2476" spans="1:13" x14ac:dyDescent="0.25">
      <c r="A2476" s="182" t="s">
        <v>803</v>
      </c>
      <c r="B2476" s="546" t="s">
        <v>802</v>
      </c>
      <c r="C2476" s="153"/>
      <c r="D2476" s="153"/>
      <c r="E2476" s="529" t="s">
        <v>9</v>
      </c>
      <c r="F2476" s="527"/>
      <c r="G2476" s="405"/>
      <c r="H2476" s="405"/>
      <c r="I2476" s="405"/>
      <c r="J2476" s="405"/>
      <c r="K2476" s="405"/>
      <c r="L2476" s="405"/>
      <c r="M2476" s="405"/>
    </row>
    <row r="2477" spans="1:13" ht="48.75" x14ac:dyDescent="0.25">
      <c r="A2477" s="184" t="s">
        <v>801</v>
      </c>
      <c r="B2477" s="151" t="s">
        <v>3081</v>
      </c>
      <c r="C2477" s="151"/>
      <c r="D2477" s="153"/>
      <c r="E2477" s="528"/>
      <c r="F2477" s="527"/>
      <c r="G2477" s="405"/>
      <c r="H2477" s="405"/>
      <c r="I2477" s="405"/>
      <c r="J2477" s="405"/>
      <c r="K2477" s="405"/>
      <c r="L2477" s="405"/>
      <c r="M2477" s="405"/>
    </row>
    <row r="2478" spans="1:13" ht="24.75" x14ac:dyDescent="0.25">
      <c r="A2478" s="151" t="s">
        <v>469</v>
      </c>
      <c r="B2478" s="217" t="s">
        <v>60</v>
      </c>
      <c r="C2478" s="153"/>
      <c r="D2478" s="153"/>
      <c r="E2478" s="527"/>
      <c r="F2478" s="527"/>
      <c r="G2478" s="405"/>
      <c r="H2478" s="405"/>
      <c r="I2478" s="405"/>
      <c r="J2478" s="405"/>
      <c r="K2478" s="405"/>
      <c r="L2478" s="405"/>
      <c r="M2478" s="405"/>
    </row>
    <row r="2479" spans="1:13" s="393" customFormat="1" ht="24" x14ac:dyDescent="0.2">
      <c r="A2479" s="162" t="s">
        <v>255</v>
      </c>
      <c r="B2479" s="162" t="s">
        <v>11</v>
      </c>
      <c r="C2479" s="1958" t="s">
        <v>12</v>
      </c>
      <c r="D2479" s="1958"/>
      <c r="E2479" s="230" t="s">
        <v>13</v>
      </c>
      <c r="F2479" s="162" t="s">
        <v>14</v>
      </c>
      <c r="G2479" s="408" t="s">
        <v>256</v>
      </c>
      <c r="H2479" s="1067"/>
      <c r="I2479" s="1067"/>
      <c r="J2479" s="1067"/>
      <c r="K2479" s="1067"/>
      <c r="L2479" s="1067"/>
      <c r="M2479" s="1067"/>
    </row>
    <row r="2480" spans="1:13" s="393" customFormat="1" ht="12" x14ac:dyDescent="0.2">
      <c r="A2480" s="161">
        <v>1</v>
      </c>
      <c r="B2480" s="161">
        <v>2</v>
      </c>
      <c r="C2480" s="1931">
        <v>3</v>
      </c>
      <c r="D2480" s="1932"/>
      <c r="E2480" s="2">
        <v>4</v>
      </c>
      <c r="F2480" s="169">
        <v>5</v>
      </c>
      <c r="G2480" s="1068">
        <v>6</v>
      </c>
      <c r="H2480" s="504"/>
      <c r="I2480" s="504"/>
      <c r="J2480" s="504"/>
      <c r="K2480" s="504"/>
      <c r="L2480" s="504"/>
      <c r="M2480" s="504"/>
    </row>
    <row r="2481" spans="1:13" x14ac:dyDescent="0.25">
      <c r="A2481" s="176" t="s">
        <v>3082</v>
      </c>
      <c r="B2481" s="540" t="s">
        <v>277</v>
      </c>
      <c r="C2481" s="169"/>
      <c r="D2481" s="170"/>
      <c r="E2481" s="543"/>
      <c r="F2481" s="936"/>
      <c r="G2481" s="161"/>
      <c r="H2481" s="153"/>
      <c r="I2481" s="939"/>
      <c r="J2481" s="938"/>
      <c r="K2481" s="151"/>
      <c r="L2481" s="151"/>
      <c r="M2481" s="151"/>
    </row>
    <row r="2482" spans="1:13" ht="36" x14ac:dyDescent="0.25">
      <c r="A2482" s="176" t="s">
        <v>3083</v>
      </c>
      <c r="B2482" s="540" t="s">
        <v>3084</v>
      </c>
      <c r="C2482" s="169"/>
      <c r="D2482" s="170"/>
      <c r="E2482" s="543"/>
      <c r="F2482" s="936"/>
      <c r="G2482" s="161"/>
      <c r="H2482" s="153"/>
      <c r="I2482" s="939"/>
      <c r="J2482" s="938"/>
      <c r="K2482" s="151"/>
      <c r="L2482" s="151"/>
      <c r="M2482" s="151"/>
    </row>
    <row r="2483" spans="1:13" ht="48" x14ac:dyDescent="0.25">
      <c r="A2483" s="176" t="s">
        <v>3085</v>
      </c>
      <c r="B2483" s="540" t="s">
        <v>3086</v>
      </c>
      <c r="C2483" s="169"/>
      <c r="D2483" s="170"/>
      <c r="E2483" s="543"/>
      <c r="F2483" s="936"/>
      <c r="G2483" s="161"/>
      <c r="H2483" s="153"/>
      <c r="I2483" s="939"/>
      <c r="J2483" s="938"/>
      <c r="K2483" s="151"/>
      <c r="L2483" s="151"/>
      <c r="M2483" s="151"/>
    </row>
    <row r="2484" spans="1:13" x14ac:dyDescent="0.25">
      <c r="A2484" s="176"/>
      <c r="B2484" s="540" t="s">
        <v>3087</v>
      </c>
      <c r="C2484" s="169">
        <v>50</v>
      </c>
      <c r="D2484" s="170" t="s">
        <v>110</v>
      </c>
      <c r="E2484" s="543">
        <v>1000000</v>
      </c>
      <c r="F2484" s="936">
        <f>E2484*C2484</f>
        <v>50000000</v>
      </c>
      <c r="G2484" s="161"/>
      <c r="H2484" s="153"/>
      <c r="I2484" s="939"/>
      <c r="J2484" s="938"/>
      <c r="K2484" s="926"/>
      <c r="L2484" s="151"/>
      <c r="M2484" s="151"/>
    </row>
    <row r="2485" spans="1:13" s="96" customFormat="1" x14ac:dyDescent="0.25">
      <c r="A2485" s="1882"/>
      <c r="B2485" s="1884" t="s">
        <v>3657</v>
      </c>
      <c r="C2485" s="1229">
        <v>2000</v>
      </c>
      <c r="D2485" s="1230" t="s">
        <v>110</v>
      </c>
      <c r="E2485" s="1885">
        <v>102000</v>
      </c>
      <c r="F2485" s="1886">
        <f>E2485*C2485</f>
        <v>204000000</v>
      </c>
      <c r="G2485" s="1227"/>
      <c r="H2485" s="1260"/>
      <c r="I2485" s="1887"/>
      <c r="J2485" s="1888"/>
      <c r="K2485" s="1889"/>
      <c r="L2485" s="1262"/>
      <c r="M2485" s="1262"/>
    </row>
    <row r="2486" spans="1:13" ht="36" x14ac:dyDescent="0.25">
      <c r="A2486" s="176" t="s">
        <v>3088</v>
      </c>
      <c r="B2486" s="540" t="s">
        <v>3089</v>
      </c>
      <c r="C2486" s="169"/>
      <c r="D2486" s="170"/>
      <c r="E2486" s="543"/>
      <c r="F2486" s="936"/>
      <c r="G2486" s="161"/>
      <c r="H2486" s="153"/>
      <c r="I2486" s="939"/>
      <c r="J2486" s="938"/>
      <c r="K2486" s="151"/>
      <c r="L2486" s="151"/>
      <c r="M2486" s="151"/>
    </row>
    <row r="2487" spans="1:13" ht="24" x14ac:dyDescent="0.25">
      <c r="A2487" s="176"/>
      <c r="B2487" s="541" t="s">
        <v>3090</v>
      </c>
      <c r="C2487" s="169">
        <v>50</v>
      </c>
      <c r="D2487" s="545" t="s">
        <v>106</v>
      </c>
      <c r="E2487" s="547">
        <v>2500000</v>
      </c>
      <c r="F2487" s="936">
        <f t="shared" ref="F2487" si="85">C2487*E2487</f>
        <v>125000000</v>
      </c>
      <c r="G2487" s="161"/>
      <c r="H2487" s="153"/>
      <c r="I2487" s="939"/>
      <c r="J2487" s="938"/>
      <c r="K2487" s="926"/>
      <c r="L2487" s="151"/>
      <c r="M2487" s="151"/>
    </row>
    <row r="2488" spans="1:13" x14ac:dyDescent="0.25">
      <c r="A2488" s="176"/>
      <c r="B2488" s="535"/>
      <c r="C2488" s="545"/>
      <c r="D2488" s="545"/>
      <c r="E2488" s="536"/>
      <c r="F2488" s="936"/>
      <c r="G2488" s="177"/>
      <c r="H2488" s="151"/>
      <c r="I2488" s="151"/>
      <c r="J2488" s="151"/>
      <c r="K2488" s="151"/>
      <c r="L2488" s="151"/>
      <c r="M2488" s="151"/>
    </row>
    <row r="2489" spans="1:13" x14ac:dyDescent="0.25">
      <c r="A2489" s="161"/>
      <c r="B2489" s="2006" t="s">
        <v>771</v>
      </c>
      <c r="C2489" s="2007"/>
      <c r="D2489" s="2007"/>
      <c r="E2489" s="2008"/>
      <c r="F2489" s="942">
        <f>F2487+F2484+F2485</f>
        <v>379000000</v>
      </c>
      <c r="G2489" s="177" t="s">
        <v>1506</v>
      </c>
      <c r="H2489" s="151"/>
      <c r="I2489" s="151"/>
      <c r="J2489" s="925"/>
      <c r="K2489" s="925"/>
      <c r="L2489" s="925">
        <f>F2489</f>
        <v>379000000</v>
      </c>
      <c r="M2489" s="151"/>
    </row>
    <row r="2490" spans="1:13" x14ac:dyDescent="0.25">
      <c r="A2490" s="1926" t="s">
        <v>516</v>
      </c>
      <c r="B2490" s="1926"/>
      <c r="C2490" s="152" t="s">
        <v>27</v>
      </c>
      <c r="D2490" s="1926" t="s">
        <v>3654</v>
      </c>
      <c r="E2490" s="1926"/>
      <c r="F2490" s="1926"/>
      <c r="G2490" s="152"/>
    </row>
    <row r="2491" spans="1:13" x14ac:dyDescent="0.25">
      <c r="A2491" s="1926" t="s">
        <v>28</v>
      </c>
      <c r="B2491" s="1926"/>
      <c r="C2491" s="152"/>
      <c r="D2491" s="1927" t="s">
        <v>3565</v>
      </c>
      <c r="E2491" s="1927"/>
      <c r="F2491" s="1927"/>
      <c r="G2491" s="152"/>
    </row>
    <row r="2492" spans="1:13" x14ac:dyDescent="0.25">
      <c r="A2492" s="150"/>
      <c r="B2492" s="151"/>
      <c r="C2492" s="152"/>
      <c r="D2492" s="153"/>
      <c r="E2492" s="1770"/>
      <c r="F2492" s="182"/>
      <c r="G2492" s="152"/>
    </row>
    <row r="2493" spans="1:13" x14ac:dyDescent="0.25">
      <c r="A2493" s="150"/>
      <c r="B2493" s="151"/>
      <c r="C2493" s="152"/>
      <c r="D2493" s="153"/>
      <c r="E2493" s="1770"/>
      <c r="F2493" s="182"/>
      <c r="G2493" s="152"/>
    </row>
    <row r="2494" spans="1:13" x14ac:dyDescent="0.25">
      <c r="A2494" s="1926"/>
      <c r="B2494" s="1926"/>
      <c r="C2494" s="152"/>
      <c r="D2494" s="153"/>
      <c r="E2494" s="1926"/>
      <c r="F2494" s="1926"/>
      <c r="G2494" s="152"/>
    </row>
    <row r="2495" spans="1:13" x14ac:dyDescent="0.25">
      <c r="A2495" s="1926" t="s">
        <v>29</v>
      </c>
      <c r="B2495" s="1926"/>
      <c r="C2495" s="152"/>
      <c r="D2495" s="1926" t="s">
        <v>3564</v>
      </c>
      <c r="E2495" s="1926"/>
      <c r="F2495" s="1926"/>
      <c r="G2495" s="152"/>
    </row>
    <row r="2498" spans="1:7" x14ac:dyDescent="0.25">
      <c r="F2498" s="23"/>
    </row>
    <row r="2500" spans="1:7" x14ac:dyDescent="0.25">
      <c r="A2500" s="2062" t="s">
        <v>0</v>
      </c>
      <c r="B2500" s="2062"/>
      <c r="C2500" s="2062"/>
      <c r="D2500" s="2062"/>
      <c r="E2500" s="2062"/>
      <c r="F2500" s="2062"/>
      <c r="G2500" s="2062"/>
    </row>
    <row r="2501" spans="1:7" x14ac:dyDescent="0.25">
      <c r="A2501" s="2062" t="s">
        <v>1</v>
      </c>
      <c r="B2501" s="2062"/>
      <c r="C2501" s="2062"/>
      <c r="D2501" s="2062"/>
      <c r="E2501" s="2062"/>
      <c r="F2501" s="2062"/>
      <c r="G2501" s="2062"/>
    </row>
    <row r="2502" spans="1:7" x14ac:dyDescent="0.25">
      <c r="A2502" s="2062" t="s">
        <v>2398</v>
      </c>
      <c r="B2502" s="2062"/>
      <c r="C2502" s="2062"/>
      <c r="D2502" s="2062"/>
      <c r="E2502" s="2062"/>
      <c r="F2502" s="2062"/>
      <c r="G2502" s="2062"/>
    </row>
    <row r="2503" spans="1:7" x14ac:dyDescent="0.25">
      <c r="A2503" s="260"/>
      <c r="B2503" s="260"/>
      <c r="C2503" s="578"/>
      <c r="D2503" s="578"/>
      <c r="E2503" s="265"/>
      <c r="F2503" s="260"/>
      <c r="G2503" s="187"/>
    </row>
    <row r="2504" spans="1:7" x14ac:dyDescent="0.25">
      <c r="A2504" s="566" t="s">
        <v>491</v>
      </c>
      <c r="B2504" s="566" t="s">
        <v>1693</v>
      </c>
      <c r="C2504" s="563"/>
      <c r="D2504" s="563"/>
      <c r="E2504" s="567"/>
      <c r="F2504" s="563"/>
      <c r="G2504" s="187"/>
    </row>
    <row r="2505" spans="1:7" x14ac:dyDescent="0.25">
      <c r="A2505" s="566" t="s">
        <v>492</v>
      </c>
      <c r="B2505" s="566" t="s">
        <v>1694</v>
      </c>
      <c r="C2505" s="563"/>
      <c r="D2505" s="563"/>
      <c r="E2505" s="187"/>
      <c r="F2505" s="187"/>
      <c r="G2505" s="187"/>
    </row>
    <row r="2506" spans="1:7" ht="75" x14ac:dyDescent="0.25">
      <c r="A2506" s="566" t="s">
        <v>493</v>
      </c>
      <c r="B2506" s="579" t="s">
        <v>1695</v>
      </c>
      <c r="C2506" s="563"/>
      <c r="D2506" s="563"/>
      <c r="E2506" s="187"/>
      <c r="F2506" s="187"/>
      <c r="G2506" s="187"/>
    </row>
    <row r="2507" spans="1:7" ht="30" x14ac:dyDescent="0.25">
      <c r="A2507" s="580" t="s">
        <v>469</v>
      </c>
      <c r="B2507" s="581" t="s">
        <v>60</v>
      </c>
      <c r="C2507" s="260"/>
      <c r="D2507" s="260"/>
      <c r="E2507" s="260"/>
      <c r="F2507" s="260"/>
      <c r="G2507" s="187"/>
    </row>
    <row r="2508" spans="1:7" x14ac:dyDescent="0.25">
      <c r="A2508" s="1957" t="s">
        <v>470</v>
      </c>
      <c r="B2508" s="1957"/>
      <c r="C2508" s="578"/>
      <c r="D2508" s="578"/>
      <c r="E2508" s="265"/>
      <c r="F2508" s="260"/>
      <c r="G2508" s="258"/>
    </row>
    <row r="2509" spans="1:7" ht="30" x14ac:dyDescent="0.25">
      <c r="A2509" s="568" t="s">
        <v>30</v>
      </c>
      <c r="B2509" s="568" t="s">
        <v>11</v>
      </c>
      <c r="C2509" s="2065" t="s">
        <v>12</v>
      </c>
      <c r="D2509" s="2066"/>
      <c r="E2509" s="582" t="s">
        <v>13</v>
      </c>
      <c r="F2509" s="583" t="s">
        <v>14</v>
      </c>
      <c r="G2509" s="297" t="s">
        <v>34</v>
      </c>
    </row>
    <row r="2510" spans="1:7" x14ac:dyDescent="0.25">
      <c r="A2510" s="281">
        <v>1</v>
      </c>
      <c r="B2510" s="281">
        <v>2</v>
      </c>
      <c r="C2510" s="1965">
        <v>3</v>
      </c>
      <c r="D2510" s="1966"/>
      <c r="E2510" s="569">
        <v>4</v>
      </c>
      <c r="F2510" s="279">
        <v>5</v>
      </c>
      <c r="G2510" s="298">
        <v>6</v>
      </c>
    </row>
    <row r="2511" spans="1:7" x14ac:dyDescent="0.25">
      <c r="A2511" s="281"/>
      <c r="B2511" s="281" t="s">
        <v>1696</v>
      </c>
      <c r="C2511" s="279"/>
      <c r="D2511" s="280"/>
      <c r="E2511" s="569"/>
      <c r="F2511" s="279"/>
      <c r="G2511" s="298"/>
    </row>
    <row r="2512" spans="1:7" x14ac:dyDescent="0.25">
      <c r="A2512" s="304" t="s">
        <v>1053</v>
      </c>
      <c r="B2512" s="290" t="s">
        <v>462</v>
      </c>
      <c r="C2512" s="584"/>
      <c r="D2512" s="585"/>
      <c r="E2512" s="586"/>
      <c r="F2512" s="584"/>
      <c r="G2512" s="299"/>
    </row>
    <row r="2513" spans="1:7" ht="30" x14ac:dyDescent="0.25">
      <c r="A2513" s="304" t="s">
        <v>1054</v>
      </c>
      <c r="B2513" s="290" t="s">
        <v>84</v>
      </c>
      <c r="C2513" s="584"/>
      <c r="D2513" s="585"/>
      <c r="E2513" s="586"/>
      <c r="F2513" s="584"/>
      <c r="G2513" s="299"/>
    </row>
    <row r="2514" spans="1:7" ht="30" x14ac:dyDescent="0.25">
      <c r="A2514" s="304" t="s">
        <v>1055</v>
      </c>
      <c r="B2514" s="290" t="s">
        <v>307</v>
      </c>
      <c r="C2514" s="301"/>
      <c r="D2514" s="300"/>
      <c r="E2514" s="294"/>
      <c r="F2514" s="587"/>
      <c r="G2514" s="282"/>
    </row>
    <row r="2515" spans="1:7" x14ac:dyDescent="0.25">
      <c r="A2515" s="299"/>
      <c r="B2515" s="290" t="s">
        <v>2444</v>
      </c>
      <c r="C2515" s="943">
        <v>1300</v>
      </c>
      <c r="D2515" s="300" t="s">
        <v>269</v>
      </c>
      <c r="E2515" s="294">
        <v>20000</v>
      </c>
      <c r="F2515" s="587">
        <f>E2515*C2515</f>
        <v>26000000</v>
      </c>
      <c r="G2515" s="282"/>
    </row>
    <row r="2516" spans="1:7" ht="30" x14ac:dyDescent="0.25">
      <c r="A2516" s="304" t="s">
        <v>1056</v>
      </c>
      <c r="B2516" s="290" t="s">
        <v>325</v>
      </c>
      <c r="C2516" s="301"/>
      <c r="D2516" s="300"/>
      <c r="E2516" s="294"/>
      <c r="F2516" s="587"/>
      <c r="G2516" s="282"/>
    </row>
    <row r="2517" spans="1:7" x14ac:dyDescent="0.25">
      <c r="A2517" s="299"/>
      <c r="B2517" s="287" t="s">
        <v>326</v>
      </c>
      <c r="C2517" s="301">
        <v>1</v>
      </c>
      <c r="D2517" s="300" t="s">
        <v>93</v>
      </c>
      <c r="E2517" s="294">
        <v>90000</v>
      </c>
      <c r="F2517" s="587">
        <f>E2517*C2517</f>
        <v>90000</v>
      </c>
      <c r="G2517" s="282"/>
    </row>
    <row r="2518" spans="1:7" ht="30" x14ac:dyDescent="0.25">
      <c r="A2518" s="304" t="s">
        <v>1697</v>
      </c>
      <c r="B2518" s="290" t="s">
        <v>421</v>
      </c>
      <c r="C2518" s="301"/>
      <c r="D2518" s="300"/>
      <c r="E2518" s="294"/>
      <c r="F2518" s="588"/>
      <c r="G2518" s="282"/>
    </row>
    <row r="2519" spans="1:7" x14ac:dyDescent="0.25">
      <c r="A2519" s="287"/>
      <c r="B2519" s="287" t="s">
        <v>422</v>
      </c>
      <c r="C2519" s="301">
        <v>1</v>
      </c>
      <c r="D2519" s="300" t="s">
        <v>93</v>
      </c>
      <c r="E2519" s="294">
        <v>50000</v>
      </c>
      <c r="F2519" s="588">
        <f>E2519*C2519</f>
        <v>50000</v>
      </c>
      <c r="G2519" s="282"/>
    </row>
    <row r="2520" spans="1:7" x14ac:dyDescent="0.25">
      <c r="A2520" s="287"/>
      <c r="B2520" s="287" t="s">
        <v>275</v>
      </c>
      <c r="C2520" s="301">
        <v>5</v>
      </c>
      <c r="D2520" s="300" t="s">
        <v>606</v>
      </c>
      <c r="E2520" s="294">
        <v>3000</v>
      </c>
      <c r="F2520" s="588">
        <f>E2520*C2520</f>
        <v>15000</v>
      </c>
      <c r="G2520" s="282"/>
    </row>
    <row r="2521" spans="1:7" x14ac:dyDescent="0.25">
      <c r="A2521" s="287"/>
      <c r="B2521" s="287" t="s">
        <v>289</v>
      </c>
      <c r="C2521" s="301">
        <v>1</v>
      </c>
      <c r="D2521" s="300" t="s">
        <v>152</v>
      </c>
      <c r="E2521" s="294">
        <v>10000</v>
      </c>
      <c r="F2521" s="588">
        <f>E2521*C2521</f>
        <v>10000</v>
      </c>
      <c r="G2521" s="282"/>
    </row>
    <row r="2522" spans="1:7" x14ac:dyDescent="0.25">
      <c r="A2522" s="304" t="s">
        <v>1698</v>
      </c>
      <c r="B2522" s="287" t="s">
        <v>294</v>
      </c>
      <c r="C2522" s="301"/>
      <c r="D2522" s="300"/>
      <c r="E2522" s="574"/>
      <c r="F2522" s="587"/>
      <c r="G2522" s="282"/>
    </row>
    <row r="2523" spans="1:7" ht="45" x14ac:dyDescent="0.25">
      <c r="A2523" s="304" t="s">
        <v>1699</v>
      </c>
      <c r="B2523" s="290" t="s">
        <v>484</v>
      </c>
      <c r="C2523" s="301"/>
      <c r="D2523" s="300"/>
      <c r="E2523" s="574"/>
      <c r="F2523" s="587"/>
      <c r="G2523" s="282"/>
    </row>
    <row r="2524" spans="1:7" x14ac:dyDescent="0.25">
      <c r="A2524" s="299"/>
      <c r="B2524" s="287" t="s">
        <v>402</v>
      </c>
      <c r="C2524" s="301">
        <v>1</v>
      </c>
      <c r="D2524" s="300" t="s">
        <v>269</v>
      </c>
      <c r="E2524" s="574">
        <v>300000</v>
      </c>
      <c r="F2524" s="587">
        <f>E2524*C2524</f>
        <v>300000</v>
      </c>
      <c r="G2524" s="282"/>
    </row>
    <row r="2525" spans="1:7" x14ac:dyDescent="0.25">
      <c r="A2525" s="299"/>
      <c r="B2525" s="287" t="s">
        <v>502</v>
      </c>
      <c r="C2525" s="301">
        <v>1</v>
      </c>
      <c r="D2525" s="300" t="s">
        <v>269</v>
      </c>
      <c r="E2525" s="574">
        <v>250000</v>
      </c>
      <c r="F2525" s="587">
        <f>E2525*C2525</f>
        <v>250000</v>
      </c>
      <c r="G2525" s="282"/>
    </row>
    <row r="2526" spans="1:7" x14ac:dyDescent="0.25">
      <c r="A2526" s="299"/>
      <c r="B2526" s="287" t="s">
        <v>485</v>
      </c>
      <c r="C2526" s="301">
        <v>3</v>
      </c>
      <c r="D2526" s="300" t="s">
        <v>269</v>
      </c>
      <c r="E2526" s="574">
        <v>200000</v>
      </c>
      <c r="F2526" s="587">
        <f>E2526*C2526</f>
        <v>600000</v>
      </c>
      <c r="G2526" s="282"/>
    </row>
    <row r="2527" spans="1:7" ht="45" x14ac:dyDescent="0.25">
      <c r="A2527" s="304" t="s">
        <v>1700</v>
      </c>
      <c r="B2527" s="290" t="s">
        <v>411</v>
      </c>
      <c r="C2527" s="301"/>
      <c r="D2527" s="300"/>
      <c r="E2527" s="574"/>
      <c r="F2527" s="587"/>
      <c r="G2527" s="282"/>
    </row>
    <row r="2528" spans="1:7" ht="30" x14ac:dyDescent="0.25">
      <c r="A2528" s="299"/>
      <c r="B2528" s="290" t="s">
        <v>2445</v>
      </c>
      <c r="C2528" s="301">
        <v>2</v>
      </c>
      <c r="D2528" s="300" t="s">
        <v>1786</v>
      </c>
      <c r="E2528" s="574">
        <v>900000</v>
      </c>
      <c r="F2528" s="587">
        <f>E2528*C2528</f>
        <v>1800000</v>
      </c>
      <c r="G2528" s="282"/>
    </row>
    <row r="2529" spans="1:23" ht="30" x14ac:dyDescent="0.25">
      <c r="A2529" s="304" t="s">
        <v>2452</v>
      </c>
      <c r="B2529" s="290" t="s">
        <v>333</v>
      </c>
      <c r="C2529" s="301"/>
      <c r="D2529" s="300"/>
      <c r="E2529" s="574"/>
      <c r="F2529" s="587"/>
      <c r="G2529" s="282"/>
    </row>
    <row r="2530" spans="1:23" x14ac:dyDescent="0.25">
      <c r="A2530" s="299"/>
      <c r="B2530" s="290" t="s">
        <v>693</v>
      </c>
      <c r="C2530" s="301">
        <v>1</v>
      </c>
      <c r="D2530" s="300" t="s">
        <v>392</v>
      </c>
      <c r="E2530" s="574">
        <v>300000</v>
      </c>
      <c r="F2530" s="587">
        <f>E2530*C2530</f>
        <v>300000</v>
      </c>
      <c r="G2530" s="282"/>
    </row>
    <row r="2531" spans="1:23" x14ac:dyDescent="0.25">
      <c r="A2531" s="304" t="s">
        <v>2446</v>
      </c>
      <c r="B2531" s="290" t="s">
        <v>442</v>
      </c>
      <c r="C2531" s="301"/>
      <c r="D2531" s="300"/>
      <c r="E2531" s="574"/>
      <c r="F2531" s="587"/>
      <c r="G2531" s="282"/>
    </row>
    <row r="2532" spans="1:23" x14ac:dyDescent="0.25">
      <c r="A2532" s="304" t="s">
        <v>2447</v>
      </c>
      <c r="B2532" s="290" t="s">
        <v>2448</v>
      </c>
      <c r="C2532" s="301"/>
      <c r="D2532" s="300"/>
      <c r="E2532" s="574"/>
      <c r="F2532" s="587"/>
      <c r="G2532" s="282"/>
    </row>
    <row r="2533" spans="1:23" x14ac:dyDescent="0.25">
      <c r="A2533" s="299"/>
      <c r="B2533" s="290" t="s">
        <v>944</v>
      </c>
      <c r="C2533" s="301">
        <v>1</v>
      </c>
      <c r="D2533" s="300" t="s">
        <v>213</v>
      </c>
      <c r="E2533" s="194">
        <v>1000000</v>
      </c>
      <c r="F2533" s="587">
        <f>E2533*C2533</f>
        <v>1000000</v>
      </c>
      <c r="G2533" s="282"/>
    </row>
    <row r="2534" spans="1:23" ht="30" x14ac:dyDescent="0.25">
      <c r="A2534" s="304" t="s">
        <v>2449</v>
      </c>
      <c r="B2534" s="290" t="s">
        <v>2450</v>
      </c>
      <c r="C2534" s="301"/>
      <c r="D2534" s="300"/>
      <c r="E2534" s="574"/>
      <c r="F2534" s="587"/>
      <c r="G2534" s="282"/>
    </row>
    <row r="2535" spans="1:23" x14ac:dyDescent="0.25">
      <c r="A2535" s="304"/>
      <c r="B2535" s="290" t="s">
        <v>2454</v>
      </c>
      <c r="C2535" s="301">
        <v>1</v>
      </c>
      <c r="D2535" s="300" t="s">
        <v>171</v>
      </c>
      <c r="E2535" s="194">
        <v>1200000</v>
      </c>
      <c r="F2535" s="587">
        <f>E2535*C2535</f>
        <v>1200000</v>
      </c>
      <c r="G2535" s="282"/>
    </row>
    <row r="2536" spans="1:23" x14ac:dyDescent="0.25">
      <c r="A2536" s="299"/>
      <c r="B2536" s="290" t="s">
        <v>943</v>
      </c>
      <c r="C2536" s="301">
        <v>1</v>
      </c>
      <c r="D2536" s="300" t="s">
        <v>171</v>
      </c>
      <c r="E2536" s="194">
        <v>1000000</v>
      </c>
      <c r="F2536" s="761">
        <f>E2536*C2536</f>
        <v>1000000</v>
      </c>
      <c r="G2536" s="282"/>
    </row>
    <row r="2537" spans="1:23" x14ac:dyDescent="0.25">
      <c r="A2537" s="299"/>
      <c r="B2537" s="290" t="s">
        <v>2451</v>
      </c>
      <c r="C2537" s="301">
        <v>1</v>
      </c>
      <c r="D2537" s="300" t="s">
        <v>3502</v>
      </c>
      <c r="E2537" s="194">
        <v>17500000</v>
      </c>
      <c r="F2537" s="761">
        <f>E2537*C2537</f>
        <v>17500000</v>
      </c>
      <c r="G2537" s="282"/>
    </row>
    <row r="2538" spans="1:23" x14ac:dyDescent="0.25">
      <c r="A2538" s="589"/>
      <c r="B2538" s="2067" t="s">
        <v>515</v>
      </c>
      <c r="C2538" s="2067"/>
      <c r="D2538" s="2067"/>
      <c r="E2538" s="2067"/>
      <c r="F2538" s="590">
        <f>SUM(F2514:F2537)</f>
        <v>50115000</v>
      </c>
      <c r="G2538" s="433" t="s">
        <v>1220</v>
      </c>
      <c r="K2538" s="23">
        <f>F2538</f>
        <v>50115000</v>
      </c>
      <c r="U2538" s="23"/>
      <c r="W2538" s="23"/>
    </row>
    <row r="2539" spans="1:23" x14ac:dyDescent="0.25">
      <c r="A2539" s="1926" t="s">
        <v>516</v>
      </c>
      <c r="B2539" s="1926"/>
      <c r="C2539" s="152" t="s">
        <v>27</v>
      </c>
      <c r="D2539" s="1926" t="s">
        <v>3654</v>
      </c>
      <c r="E2539" s="1926"/>
      <c r="F2539" s="1926"/>
      <c r="G2539" s="152"/>
    </row>
    <row r="2540" spans="1:23" x14ac:dyDescent="0.25">
      <c r="A2540" s="1926" t="s">
        <v>28</v>
      </c>
      <c r="B2540" s="1926"/>
      <c r="C2540" s="152"/>
      <c r="D2540" s="1927" t="s">
        <v>3565</v>
      </c>
      <c r="E2540" s="1927"/>
      <c r="F2540" s="1927"/>
      <c r="G2540" s="152"/>
    </row>
    <row r="2541" spans="1:23" x14ac:dyDescent="0.25">
      <c r="A2541" s="150"/>
      <c r="B2541" s="151"/>
      <c r="C2541" s="152"/>
      <c r="D2541" s="153"/>
      <c r="E2541" s="1770"/>
      <c r="F2541" s="182"/>
      <c r="G2541" s="152"/>
    </row>
    <row r="2542" spans="1:23" x14ac:dyDescent="0.25">
      <c r="A2542" s="150"/>
      <c r="B2542" s="151"/>
      <c r="C2542" s="152"/>
      <c r="D2542" s="153"/>
      <c r="E2542" s="1770"/>
      <c r="F2542" s="182"/>
      <c r="G2542" s="152"/>
    </row>
    <row r="2543" spans="1:23" x14ac:dyDescent="0.25">
      <c r="A2543" s="1926"/>
      <c r="B2543" s="1926"/>
      <c r="C2543" s="152"/>
      <c r="D2543" s="153"/>
      <c r="E2543" s="1926"/>
      <c r="F2543" s="1926"/>
      <c r="G2543" s="152"/>
    </row>
    <row r="2544" spans="1:23" x14ac:dyDescent="0.25">
      <c r="A2544" s="1926" t="s">
        <v>29</v>
      </c>
      <c r="B2544" s="1926"/>
      <c r="C2544" s="152"/>
      <c r="D2544" s="1926" t="s">
        <v>3564</v>
      </c>
      <c r="E2544" s="1926"/>
      <c r="F2544" s="1926"/>
      <c r="G2544" s="152"/>
    </row>
    <row r="2545" spans="1:7" x14ac:dyDescent="0.25">
      <c r="A2545" s="1926" t="s">
        <v>0</v>
      </c>
      <c r="B2545" s="1926"/>
      <c r="C2545" s="1926"/>
      <c r="D2545" s="1926"/>
      <c r="E2545" s="1926"/>
      <c r="F2545" s="1926"/>
      <c r="G2545" s="1926"/>
    </row>
    <row r="2546" spans="1:7" x14ac:dyDescent="0.25">
      <c r="A2546" s="1926" t="s">
        <v>1</v>
      </c>
      <c r="B2546" s="1926"/>
      <c r="C2546" s="1926"/>
      <c r="D2546" s="1926"/>
      <c r="E2546" s="1926"/>
      <c r="F2546" s="1926"/>
      <c r="G2546" s="1926"/>
    </row>
    <row r="2547" spans="1:7" x14ac:dyDescent="0.25">
      <c r="A2547" s="1926" t="s">
        <v>2398</v>
      </c>
      <c r="B2547" s="1926"/>
      <c r="C2547" s="1926"/>
      <c r="D2547" s="1926"/>
      <c r="E2547" s="1926"/>
      <c r="F2547" s="1926"/>
      <c r="G2547" s="1926"/>
    </row>
    <row r="2548" spans="1:7" x14ac:dyDescent="0.25">
      <c r="A2548" s="393"/>
      <c r="B2548" s="393"/>
      <c r="C2548" s="393"/>
      <c r="D2548" s="393"/>
      <c r="E2548" s="393"/>
      <c r="F2548" s="393"/>
      <c r="G2548" s="405"/>
    </row>
    <row r="2549" spans="1:7" x14ac:dyDescent="0.25">
      <c r="A2549" s="182" t="s">
        <v>817</v>
      </c>
      <c r="B2549" s="182" t="s">
        <v>658</v>
      </c>
      <c r="C2549" s="182"/>
      <c r="D2549" s="182"/>
      <c r="E2549" s="154" t="s">
        <v>6</v>
      </c>
      <c r="F2549" s="154"/>
      <c r="G2549" s="381"/>
    </row>
    <row r="2550" spans="1:7" x14ac:dyDescent="0.25">
      <c r="A2550" s="182" t="s">
        <v>252</v>
      </c>
      <c r="B2550" s="182" t="s">
        <v>818</v>
      </c>
      <c r="C2550" s="182"/>
      <c r="D2550" s="182"/>
      <c r="E2550" s="488" t="s">
        <v>9</v>
      </c>
      <c r="F2550" s="149"/>
      <c r="G2550" s="381"/>
    </row>
    <row r="2551" spans="1:7" ht="36.75" x14ac:dyDescent="0.25">
      <c r="A2551" s="184" t="s">
        <v>819</v>
      </c>
      <c r="B2551" s="546" t="s">
        <v>820</v>
      </c>
      <c r="C2551" s="182"/>
      <c r="D2551" s="182"/>
      <c r="E2551" s="591"/>
      <c r="F2551" s="182"/>
      <c r="G2551" s="381"/>
    </row>
    <row r="2552" spans="1:7" x14ac:dyDescent="0.25">
      <c r="A2552" s="152" t="s">
        <v>488</v>
      </c>
      <c r="B2552" s="152" t="s">
        <v>821</v>
      </c>
      <c r="C2552" s="152"/>
      <c r="D2552" s="152"/>
      <c r="E2552" s="152"/>
      <c r="F2552" s="152"/>
      <c r="G2552" s="381"/>
    </row>
    <row r="2553" spans="1:7" x14ac:dyDescent="0.25">
      <c r="A2553" s="1952" t="s">
        <v>470</v>
      </c>
      <c r="B2553" s="1952"/>
      <c r="C2553" s="152"/>
      <c r="D2553" s="182"/>
      <c r="E2553" s="154"/>
      <c r="F2553" s="152"/>
      <c r="G2553" s="381"/>
    </row>
    <row r="2554" spans="1:7" x14ac:dyDescent="0.25">
      <c r="A2554" s="149"/>
      <c r="B2554" s="149"/>
      <c r="C2554" s="152"/>
      <c r="D2554" s="182"/>
      <c r="E2554" s="154"/>
      <c r="F2554" s="152"/>
      <c r="G2554" s="381"/>
    </row>
    <row r="2555" spans="1:7" ht="24" x14ac:dyDescent="0.25">
      <c r="A2555" s="162" t="s">
        <v>514</v>
      </c>
      <c r="B2555" s="162" t="s">
        <v>11</v>
      </c>
      <c r="C2555" s="1959" t="s">
        <v>12</v>
      </c>
      <c r="D2555" s="1960"/>
      <c r="E2555" s="230" t="s">
        <v>13</v>
      </c>
      <c r="F2555" s="231" t="s">
        <v>14</v>
      </c>
      <c r="G2555" s="408" t="s">
        <v>34</v>
      </c>
    </row>
    <row r="2556" spans="1:7" x14ac:dyDescent="0.25">
      <c r="A2556" s="161">
        <v>1</v>
      </c>
      <c r="B2556" s="161">
        <v>2</v>
      </c>
      <c r="C2556" s="1931">
        <v>3</v>
      </c>
      <c r="D2556" s="1932"/>
      <c r="E2556" s="2">
        <v>4</v>
      </c>
      <c r="F2556" s="169">
        <v>5</v>
      </c>
      <c r="G2556" s="397">
        <v>6</v>
      </c>
    </row>
    <row r="2557" spans="1:7" x14ac:dyDescent="0.25">
      <c r="A2557" s="219" t="s">
        <v>822</v>
      </c>
      <c r="B2557" s="177" t="s">
        <v>277</v>
      </c>
      <c r="C2557" s="206"/>
      <c r="D2557" s="362"/>
      <c r="E2557" s="195"/>
      <c r="F2557" s="398"/>
      <c r="G2557" s="325"/>
    </row>
    <row r="2558" spans="1:7" x14ac:dyDescent="0.25">
      <c r="A2558" s="219" t="s">
        <v>823</v>
      </c>
      <c r="B2558" s="177" t="s">
        <v>824</v>
      </c>
      <c r="C2558" s="206"/>
      <c r="D2558" s="362"/>
      <c r="E2558" s="195"/>
      <c r="F2558" s="398"/>
      <c r="G2558" s="325"/>
    </row>
    <row r="2559" spans="1:7" ht="24.75" x14ac:dyDescent="0.25">
      <c r="A2559" s="219" t="s">
        <v>825</v>
      </c>
      <c r="B2559" s="177" t="s">
        <v>826</v>
      </c>
      <c r="C2559" s="178">
        <v>6</v>
      </c>
      <c r="D2559" s="170" t="s">
        <v>90</v>
      </c>
      <c r="E2559" s="195">
        <v>831000</v>
      </c>
      <c r="F2559" s="592">
        <f>E2559*C2559</f>
        <v>4986000</v>
      </c>
      <c r="G2559" s="325"/>
    </row>
    <row r="2560" spans="1:7" x14ac:dyDescent="0.25">
      <c r="A2560" s="181"/>
      <c r="B2560" s="320"/>
      <c r="C2560" s="399"/>
      <c r="D2560" s="400"/>
      <c r="E2560" s="593"/>
      <c r="F2560" s="323"/>
      <c r="G2560" s="325"/>
    </row>
    <row r="2561" spans="1:20" x14ac:dyDescent="0.25">
      <c r="A2561" s="206"/>
      <c r="B2561" s="1944" t="s">
        <v>26</v>
      </c>
      <c r="C2561" s="1945"/>
      <c r="D2561" s="1945"/>
      <c r="E2561" s="1946"/>
      <c r="F2561" s="324">
        <f>SUM(F2559:F2560)</f>
        <v>4986000</v>
      </c>
      <c r="G2561" s="325" t="s">
        <v>1506</v>
      </c>
      <c r="L2561" s="23">
        <f>F2561</f>
        <v>4986000</v>
      </c>
      <c r="T2561" s="23"/>
    </row>
    <row r="2562" spans="1:20" x14ac:dyDescent="0.25">
      <c r="A2562" s="1926" t="s">
        <v>516</v>
      </c>
      <c r="B2562" s="1926"/>
      <c r="C2562" s="152" t="s">
        <v>27</v>
      </c>
      <c r="D2562" s="1926" t="s">
        <v>3654</v>
      </c>
      <c r="E2562" s="1926"/>
      <c r="F2562" s="1926"/>
      <c r="G2562" s="152"/>
    </row>
    <row r="2563" spans="1:20" x14ac:dyDescent="0.25">
      <c r="A2563" s="1926" t="s">
        <v>28</v>
      </c>
      <c r="B2563" s="1926"/>
      <c r="C2563" s="152"/>
      <c r="D2563" s="1927" t="s">
        <v>3566</v>
      </c>
      <c r="E2563" s="1927"/>
      <c r="F2563" s="1927"/>
      <c r="G2563" s="152"/>
    </row>
    <row r="2564" spans="1:20" x14ac:dyDescent="0.25">
      <c r="A2564" s="150"/>
      <c r="B2564" s="151"/>
      <c r="C2564" s="152"/>
      <c r="D2564" s="153"/>
      <c r="E2564" s="1770"/>
      <c r="F2564" s="182"/>
      <c r="G2564" s="152"/>
    </row>
    <row r="2565" spans="1:20" x14ac:dyDescent="0.25">
      <c r="A2565" s="150"/>
      <c r="B2565" s="151"/>
      <c r="C2565" s="152"/>
      <c r="D2565" s="153"/>
      <c r="E2565" s="1770"/>
      <c r="F2565" s="182"/>
      <c r="G2565" s="152"/>
    </row>
    <row r="2566" spans="1:20" x14ac:dyDescent="0.25">
      <c r="A2566" s="1926"/>
      <c r="B2566" s="1926"/>
      <c r="C2566" s="152"/>
      <c r="D2566" s="153"/>
      <c r="E2566" s="1926"/>
      <c r="F2566" s="1926"/>
      <c r="G2566" s="152"/>
    </row>
    <row r="2567" spans="1:20" x14ac:dyDescent="0.25">
      <c r="A2567" s="1926" t="s">
        <v>29</v>
      </c>
      <c r="B2567" s="1926"/>
      <c r="C2567" s="152"/>
      <c r="D2567" s="1926" t="s">
        <v>3569</v>
      </c>
      <c r="E2567" s="1926"/>
      <c r="F2567" s="1926"/>
      <c r="G2567" s="152"/>
    </row>
    <row r="2568" spans="1:20" x14ac:dyDescent="0.25">
      <c r="A2568" s="393"/>
      <c r="B2568" s="393"/>
      <c r="C2568" s="393"/>
      <c r="D2568" s="393"/>
      <c r="E2568" s="393"/>
      <c r="F2568" s="393"/>
      <c r="G2568" s="405"/>
    </row>
    <row r="2569" spans="1:20" x14ac:dyDescent="0.25">
      <c r="A2569" s="2062" t="s">
        <v>1796</v>
      </c>
      <c r="B2569" s="2062"/>
      <c r="C2569" s="2062"/>
      <c r="D2569" s="2062"/>
      <c r="E2569" s="2062"/>
      <c r="F2569" s="2062"/>
      <c r="G2569" s="2062"/>
    </row>
    <row r="2570" spans="1:20" x14ac:dyDescent="0.25">
      <c r="A2570" s="2062" t="s">
        <v>1</v>
      </c>
      <c r="B2570" s="2062"/>
      <c r="C2570" s="2062"/>
      <c r="D2570" s="2062"/>
      <c r="E2570" s="2062"/>
      <c r="F2570" s="2062"/>
      <c r="G2570" s="2062"/>
    </row>
    <row r="2571" spans="1:20" x14ac:dyDescent="0.25">
      <c r="A2571" s="2062" t="s">
        <v>2398</v>
      </c>
      <c r="B2571" s="2062"/>
      <c r="C2571" s="2062"/>
      <c r="D2571" s="2062"/>
      <c r="E2571" s="2062"/>
      <c r="F2571" s="2062"/>
      <c r="G2571" s="2062"/>
    </row>
    <row r="2572" spans="1:20" x14ac:dyDescent="0.25">
      <c r="A2572" s="260"/>
      <c r="B2572" s="260"/>
      <c r="C2572" s="578"/>
      <c r="D2572" s="578"/>
      <c r="E2572" s="265"/>
      <c r="F2572" s="260"/>
      <c r="G2572" s="187"/>
    </row>
    <row r="2573" spans="1:20" x14ac:dyDescent="0.25">
      <c r="A2573" s="258" t="s">
        <v>458</v>
      </c>
      <c r="B2573" s="258" t="s">
        <v>3002</v>
      </c>
      <c r="C2573" s="258"/>
      <c r="D2573" s="258"/>
      <c r="E2573" s="187"/>
      <c r="F2573" s="187"/>
      <c r="G2573" s="265"/>
    </row>
    <row r="2574" spans="1:20" x14ac:dyDescent="0.25">
      <c r="A2574" s="819" t="s">
        <v>459</v>
      </c>
      <c r="B2574" s="187" t="s">
        <v>3003</v>
      </c>
      <c r="C2574" s="258"/>
      <c r="D2574" s="258"/>
      <c r="E2574" s="262" t="s">
        <v>6</v>
      </c>
      <c r="F2574" s="262"/>
      <c r="G2574" s="258"/>
    </row>
    <row r="2575" spans="1:20" ht="45" x14ac:dyDescent="0.25">
      <c r="A2575" s="819" t="s">
        <v>460</v>
      </c>
      <c r="B2575" s="706" t="s">
        <v>3004</v>
      </c>
      <c r="C2575" s="258"/>
      <c r="D2575" s="258"/>
      <c r="E2575" s="657" t="s">
        <v>9</v>
      </c>
      <c r="F2575" s="565"/>
      <c r="G2575" s="258"/>
    </row>
    <row r="2576" spans="1:20" ht="30" x14ac:dyDescent="0.25">
      <c r="A2576" s="706" t="s">
        <v>395</v>
      </c>
      <c r="B2576" s="819" t="s">
        <v>60</v>
      </c>
      <c r="C2576" s="258"/>
      <c r="D2576" s="258"/>
      <c r="E2576" s="258"/>
      <c r="F2576" s="258"/>
      <c r="G2576" s="258"/>
    </row>
    <row r="2577" spans="1:7" x14ac:dyDescent="0.25">
      <c r="A2577" s="258" t="s">
        <v>61</v>
      </c>
      <c r="B2577" s="258"/>
      <c r="C2577" s="258"/>
      <c r="D2577" s="721"/>
      <c r="E2577" s="820"/>
      <c r="F2577" s="258"/>
      <c r="G2577" s="258"/>
    </row>
    <row r="2578" spans="1:7" x14ac:dyDescent="0.25">
      <c r="A2578" s="187"/>
      <c r="B2578" s="187"/>
      <c r="C2578" s="187"/>
      <c r="D2578" s="187"/>
      <c r="E2578" s="187"/>
      <c r="F2578" s="187"/>
      <c r="G2578" s="187"/>
    </row>
    <row r="2579" spans="1:7" ht="30" x14ac:dyDescent="0.25">
      <c r="A2579" s="821" t="s">
        <v>30</v>
      </c>
      <c r="B2579" s="821" t="s">
        <v>11</v>
      </c>
      <c r="C2579" s="2068" t="s">
        <v>12</v>
      </c>
      <c r="D2579" s="2069"/>
      <c r="E2579" s="822" t="s">
        <v>13</v>
      </c>
      <c r="F2579" s="823" t="s">
        <v>14</v>
      </c>
      <c r="G2579" s="824" t="s">
        <v>341</v>
      </c>
    </row>
    <row r="2580" spans="1:7" x14ac:dyDescent="0.25">
      <c r="A2580" s="825">
        <v>1</v>
      </c>
      <c r="B2580" s="825">
        <v>2</v>
      </c>
      <c r="C2580" s="2070">
        <v>3</v>
      </c>
      <c r="D2580" s="2071"/>
      <c r="E2580" s="826">
        <v>4</v>
      </c>
      <c r="F2580" s="827">
        <v>5</v>
      </c>
      <c r="G2580" s="824">
        <v>6</v>
      </c>
    </row>
    <row r="2581" spans="1:7" x14ac:dyDescent="0.25">
      <c r="A2581" s="833" t="s">
        <v>3005</v>
      </c>
      <c r="B2581" s="834" t="s">
        <v>462</v>
      </c>
      <c r="C2581" s="827"/>
      <c r="D2581" s="830"/>
      <c r="E2581" s="826"/>
      <c r="F2581" s="827"/>
      <c r="G2581" s="825"/>
    </row>
    <row r="2582" spans="1:7" ht="30" x14ac:dyDescent="0.25">
      <c r="A2582" s="833" t="s">
        <v>3006</v>
      </c>
      <c r="B2582" s="834" t="s">
        <v>84</v>
      </c>
      <c r="C2582" s="827"/>
      <c r="D2582" s="830"/>
      <c r="E2582" s="826"/>
      <c r="F2582" s="827"/>
      <c r="G2582" s="825"/>
    </row>
    <row r="2583" spans="1:7" ht="30" x14ac:dyDescent="0.25">
      <c r="A2583" s="833" t="s">
        <v>3007</v>
      </c>
      <c r="B2583" s="834" t="s">
        <v>307</v>
      </c>
      <c r="C2583" s="825"/>
      <c r="D2583" s="825"/>
      <c r="E2583" s="831"/>
      <c r="F2583" s="832"/>
      <c r="G2583" s="825"/>
    </row>
    <row r="2584" spans="1:7" ht="30" x14ac:dyDescent="0.25">
      <c r="A2584" s="828"/>
      <c r="B2584" s="834" t="s">
        <v>3008</v>
      </c>
      <c r="C2584" s="825">
        <v>70</v>
      </c>
      <c r="D2584" s="833" t="s">
        <v>474</v>
      </c>
      <c r="E2584" s="831">
        <v>20000</v>
      </c>
      <c r="F2584" s="832">
        <f>E2584*C2584</f>
        <v>1400000</v>
      </c>
      <c r="G2584" s="825"/>
    </row>
    <row r="2585" spans="1:7" x14ac:dyDescent="0.25">
      <c r="A2585" s="828"/>
      <c r="B2585" s="834"/>
      <c r="C2585" s="825"/>
      <c r="D2585" s="833"/>
      <c r="E2585" s="831"/>
      <c r="F2585" s="832">
        <f t="shared" ref="F2585:F2614" si="86">E2585*C2585</f>
        <v>0</v>
      </c>
      <c r="G2585" s="825"/>
    </row>
    <row r="2586" spans="1:7" ht="28.5" customHeight="1" x14ac:dyDescent="0.25">
      <c r="A2586" s="690" t="s">
        <v>3009</v>
      </c>
      <c r="B2586" s="834" t="s">
        <v>679</v>
      </c>
      <c r="C2586" s="825"/>
      <c r="D2586" s="833"/>
      <c r="E2586" s="831"/>
      <c r="F2586" s="832">
        <f t="shared" si="86"/>
        <v>0</v>
      </c>
      <c r="G2586" s="825"/>
    </row>
    <row r="2587" spans="1:7" ht="15" customHeight="1" x14ac:dyDescent="0.25">
      <c r="A2587" s="828"/>
      <c r="B2587" s="769" t="s">
        <v>1752</v>
      </c>
      <c r="C2587" s="825">
        <v>35</v>
      </c>
      <c r="D2587" s="1057" t="s">
        <v>93</v>
      </c>
      <c r="E2587" s="1058">
        <v>5000</v>
      </c>
      <c r="F2587" s="832">
        <f t="shared" si="86"/>
        <v>175000</v>
      </c>
      <c r="G2587" s="825"/>
    </row>
    <row r="2588" spans="1:7" ht="15" customHeight="1" x14ac:dyDescent="0.25">
      <c r="A2588" s="828"/>
      <c r="B2588" s="769" t="s">
        <v>105</v>
      </c>
      <c r="C2588" s="825">
        <v>35</v>
      </c>
      <c r="D2588" s="1057" t="s">
        <v>93</v>
      </c>
      <c r="E2588" s="1058">
        <v>7000</v>
      </c>
      <c r="F2588" s="832">
        <f t="shared" si="86"/>
        <v>245000</v>
      </c>
      <c r="G2588" s="825"/>
    </row>
    <row r="2589" spans="1:7" ht="15" customHeight="1" x14ac:dyDescent="0.25">
      <c r="A2589" s="828"/>
      <c r="B2589" s="769" t="s">
        <v>1456</v>
      </c>
      <c r="C2589" s="825">
        <v>35</v>
      </c>
      <c r="D2589" s="1057" t="s">
        <v>93</v>
      </c>
      <c r="E2589" s="1058">
        <v>27000</v>
      </c>
      <c r="F2589" s="832">
        <f t="shared" si="86"/>
        <v>945000</v>
      </c>
      <c r="G2589" s="825"/>
    </row>
    <row r="2590" spans="1:7" ht="15" customHeight="1" x14ac:dyDescent="0.25">
      <c r="A2590" s="828"/>
      <c r="B2590" s="769" t="s">
        <v>1457</v>
      </c>
      <c r="C2590" s="825">
        <v>35</v>
      </c>
      <c r="D2590" s="1057" t="s">
        <v>93</v>
      </c>
      <c r="E2590" s="1058">
        <v>8800</v>
      </c>
      <c r="F2590" s="832">
        <f t="shared" si="86"/>
        <v>308000</v>
      </c>
      <c r="G2590" s="825"/>
    </row>
    <row r="2591" spans="1:7" ht="15" customHeight="1" x14ac:dyDescent="0.25">
      <c r="A2591" s="828"/>
      <c r="B2591" s="769" t="s">
        <v>1090</v>
      </c>
      <c r="C2591" s="1059">
        <v>300</v>
      </c>
      <c r="D2591" s="1057" t="s">
        <v>266</v>
      </c>
      <c r="E2591" s="1058">
        <v>400</v>
      </c>
      <c r="F2591" s="832">
        <f t="shared" si="86"/>
        <v>120000</v>
      </c>
      <c r="G2591" s="825"/>
    </row>
    <row r="2592" spans="1:7" ht="15" customHeight="1" x14ac:dyDescent="0.25">
      <c r="A2592" s="828"/>
      <c r="B2592" s="769" t="s">
        <v>3010</v>
      </c>
      <c r="C2592" s="1059">
        <v>1</v>
      </c>
      <c r="D2592" s="1057" t="s">
        <v>106</v>
      </c>
      <c r="E2592" s="1058">
        <v>2094000</v>
      </c>
      <c r="F2592" s="832">
        <f t="shared" si="86"/>
        <v>2094000</v>
      </c>
      <c r="G2592" s="825"/>
    </row>
    <row r="2593" spans="1:7" ht="15" customHeight="1" x14ac:dyDescent="0.25">
      <c r="A2593" s="828"/>
      <c r="B2593" s="828"/>
      <c r="C2593" s="825"/>
      <c r="D2593" s="833"/>
      <c r="E2593" s="831"/>
      <c r="F2593" s="832">
        <f t="shared" si="86"/>
        <v>0</v>
      </c>
      <c r="G2593" s="825"/>
    </row>
    <row r="2594" spans="1:7" ht="30" x14ac:dyDescent="0.25">
      <c r="A2594" s="833" t="s">
        <v>3011</v>
      </c>
      <c r="B2594" s="834" t="s">
        <v>325</v>
      </c>
      <c r="C2594" s="825"/>
      <c r="D2594" s="833"/>
      <c r="E2594" s="831"/>
      <c r="F2594" s="832">
        <f t="shared" si="86"/>
        <v>0</v>
      </c>
      <c r="G2594" s="825"/>
    </row>
    <row r="2595" spans="1:7" x14ac:dyDescent="0.25">
      <c r="A2595" s="828"/>
      <c r="B2595" s="834" t="s">
        <v>326</v>
      </c>
      <c r="C2595" s="825">
        <v>10</v>
      </c>
      <c r="D2595" s="833" t="s">
        <v>93</v>
      </c>
      <c r="E2595" s="831">
        <v>90000</v>
      </c>
      <c r="F2595" s="832">
        <f t="shared" si="86"/>
        <v>900000</v>
      </c>
      <c r="G2595" s="825"/>
    </row>
    <row r="2596" spans="1:7" x14ac:dyDescent="0.25">
      <c r="A2596" s="828"/>
      <c r="B2596" s="834"/>
      <c r="C2596" s="825"/>
      <c r="D2596" s="833"/>
      <c r="E2596" s="831"/>
      <c r="F2596" s="832">
        <f t="shared" si="86"/>
        <v>0</v>
      </c>
      <c r="G2596" s="825"/>
    </row>
    <row r="2597" spans="1:7" x14ac:dyDescent="0.25">
      <c r="A2597" s="833" t="s">
        <v>3012</v>
      </c>
      <c r="B2597" s="834" t="s">
        <v>483</v>
      </c>
      <c r="C2597" s="825"/>
      <c r="D2597" s="833"/>
      <c r="E2597" s="831"/>
      <c r="F2597" s="832">
        <f t="shared" si="86"/>
        <v>0</v>
      </c>
      <c r="G2597" s="825"/>
    </row>
    <row r="2598" spans="1:7" x14ac:dyDescent="0.25">
      <c r="A2598" s="828"/>
      <c r="B2598" s="834" t="s">
        <v>422</v>
      </c>
      <c r="C2598" s="825">
        <v>1</v>
      </c>
      <c r="D2598" s="833" t="s">
        <v>93</v>
      </c>
      <c r="E2598" s="831">
        <v>50000</v>
      </c>
      <c r="F2598" s="832">
        <f t="shared" si="86"/>
        <v>50000</v>
      </c>
      <c r="G2598" s="825"/>
    </row>
    <row r="2599" spans="1:7" x14ac:dyDescent="0.25">
      <c r="A2599" s="828"/>
      <c r="B2599" s="834" t="s">
        <v>275</v>
      </c>
      <c r="C2599" s="825">
        <v>5</v>
      </c>
      <c r="D2599" s="833" t="s">
        <v>606</v>
      </c>
      <c r="E2599" s="831">
        <v>1000</v>
      </c>
      <c r="F2599" s="832">
        <f t="shared" si="86"/>
        <v>5000</v>
      </c>
      <c r="G2599" s="825"/>
    </row>
    <row r="2600" spans="1:7" x14ac:dyDescent="0.25">
      <c r="A2600" s="828"/>
      <c r="B2600" s="834" t="s">
        <v>289</v>
      </c>
      <c r="C2600" s="825">
        <v>1</v>
      </c>
      <c r="D2600" s="833" t="s">
        <v>152</v>
      </c>
      <c r="E2600" s="831">
        <v>10000</v>
      </c>
      <c r="F2600" s="832">
        <f t="shared" si="86"/>
        <v>10000</v>
      </c>
      <c r="G2600" s="825"/>
    </row>
    <row r="2601" spans="1:7" x14ac:dyDescent="0.25">
      <c r="A2601" s="828"/>
      <c r="B2601" s="834"/>
      <c r="C2601" s="825"/>
      <c r="D2601" s="833"/>
      <c r="E2601" s="831"/>
      <c r="F2601" s="832">
        <f t="shared" si="86"/>
        <v>0</v>
      </c>
      <c r="G2601" s="825"/>
    </row>
    <row r="2602" spans="1:7" x14ac:dyDescent="0.25">
      <c r="A2602" s="833" t="s">
        <v>3013</v>
      </c>
      <c r="B2602" s="287" t="s">
        <v>294</v>
      </c>
      <c r="C2602" s="825"/>
      <c r="D2602" s="833"/>
      <c r="E2602" s="831"/>
      <c r="F2602" s="832">
        <f t="shared" si="86"/>
        <v>0</v>
      </c>
      <c r="G2602" s="825"/>
    </row>
    <row r="2603" spans="1:7" ht="45" x14ac:dyDescent="0.25">
      <c r="A2603" s="833" t="s">
        <v>3014</v>
      </c>
      <c r="B2603" s="290" t="s">
        <v>484</v>
      </c>
      <c r="C2603" s="825"/>
      <c r="D2603" s="833"/>
      <c r="E2603" s="831"/>
      <c r="F2603" s="832">
        <f t="shared" si="86"/>
        <v>0</v>
      </c>
      <c r="G2603" s="825"/>
    </row>
    <row r="2604" spans="1:7" x14ac:dyDescent="0.25">
      <c r="A2604" s="828"/>
      <c r="B2604" s="287" t="s">
        <v>402</v>
      </c>
      <c r="C2604" s="282">
        <v>1</v>
      </c>
      <c r="D2604" s="736" t="s">
        <v>269</v>
      </c>
      <c r="E2604" s="574">
        <v>300000</v>
      </c>
      <c r="F2604" s="832">
        <f t="shared" si="86"/>
        <v>300000</v>
      </c>
      <c r="G2604" s="825"/>
    </row>
    <row r="2605" spans="1:7" x14ac:dyDescent="0.25">
      <c r="A2605" s="828"/>
      <c r="B2605" s="287" t="s">
        <v>502</v>
      </c>
      <c r="C2605" s="282">
        <v>1</v>
      </c>
      <c r="D2605" s="736" t="s">
        <v>269</v>
      </c>
      <c r="E2605" s="574">
        <v>250000</v>
      </c>
      <c r="F2605" s="832">
        <f t="shared" si="86"/>
        <v>250000</v>
      </c>
      <c r="G2605" s="825"/>
    </row>
    <row r="2606" spans="1:7" x14ac:dyDescent="0.25">
      <c r="A2606" s="828"/>
      <c r="B2606" s="287" t="s">
        <v>485</v>
      </c>
      <c r="C2606" s="282">
        <v>3</v>
      </c>
      <c r="D2606" s="736" t="s">
        <v>269</v>
      </c>
      <c r="E2606" s="574">
        <v>200000</v>
      </c>
      <c r="F2606" s="832">
        <f t="shared" si="86"/>
        <v>600000</v>
      </c>
      <c r="G2606" s="825"/>
    </row>
    <row r="2607" spans="1:7" x14ac:dyDescent="0.25">
      <c r="A2607" s="828"/>
      <c r="B2607" s="834"/>
      <c r="C2607" s="825"/>
      <c r="D2607" s="833"/>
      <c r="E2607" s="831"/>
      <c r="F2607" s="832">
        <f t="shared" si="86"/>
        <v>0</v>
      </c>
      <c r="G2607" s="825"/>
    </row>
    <row r="2608" spans="1:7" ht="30" x14ac:dyDescent="0.25">
      <c r="A2608" s="833" t="s">
        <v>3015</v>
      </c>
      <c r="B2608" s="834" t="s">
        <v>1649</v>
      </c>
      <c r="C2608" s="825">
        <v>2</v>
      </c>
      <c r="D2608" s="833" t="s">
        <v>392</v>
      </c>
      <c r="E2608" s="835">
        <v>900000</v>
      </c>
      <c r="F2608" s="832">
        <f t="shared" si="86"/>
        <v>1800000</v>
      </c>
      <c r="G2608" s="825"/>
    </row>
    <row r="2609" spans="1:17" ht="45" x14ac:dyDescent="0.25">
      <c r="A2609" s="833" t="s">
        <v>3016</v>
      </c>
      <c r="B2609" s="834" t="s">
        <v>1420</v>
      </c>
      <c r="C2609" s="825"/>
      <c r="D2609" s="833"/>
      <c r="E2609" s="831"/>
      <c r="F2609" s="832">
        <f t="shared" si="86"/>
        <v>0</v>
      </c>
      <c r="G2609" s="825"/>
    </row>
    <row r="2610" spans="1:17" ht="60" x14ac:dyDescent="0.25">
      <c r="A2610" s="833" t="s">
        <v>3017</v>
      </c>
      <c r="B2610" s="834" t="s">
        <v>487</v>
      </c>
      <c r="C2610" s="825"/>
      <c r="D2610" s="833"/>
      <c r="E2610" s="831"/>
      <c r="F2610" s="832">
        <f t="shared" si="86"/>
        <v>0</v>
      </c>
      <c r="G2610" s="825"/>
    </row>
    <row r="2611" spans="1:17" ht="30" x14ac:dyDescent="0.25">
      <c r="A2611" s="828"/>
      <c r="B2611" s="290" t="s">
        <v>3018</v>
      </c>
      <c r="C2611" s="836">
        <v>35</v>
      </c>
      <c r="D2611" s="833" t="s">
        <v>106</v>
      </c>
      <c r="E2611" s="837">
        <v>417000</v>
      </c>
      <c r="F2611" s="832">
        <f t="shared" si="86"/>
        <v>14595000</v>
      </c>
      <c r="G2611" s="838"/>
    </row>
    <row r="2612" spans="1:17" x14ac:dyDescent="0.25">
      <c r="A2612" s="840"/>
      <c r="B2612" s="834" t="s">
        <v>3019</v>
      </c>
      <c r="C2612" s="839">
        <v>35</v>
      </c>
      <c r="D2612" s="833" t="s">
        <v>106</v>
      </c>
      <c r="E2612" s="831">
        <v>385000</v>
      </c>
      <c r="F2612" s="832">
        <f t="shared" si="86"/>
        <v>13475000</v>
      </c>
      <c r="G2612" s="839"/>
      <c r="H2612" t="s">
        <v>3434</v>
      </c>
    </row>
    <row r="2613" spans="1:17" x14ac:dyDescent="0.25">
      <c r="A2613" s="840"/>
      <c r="B2613" s="834" t="s">
        <v>745</v>
      </c>
      <c r="C2613" s="839">
        <v>35</v>
      </c>
      <c r="D2613" s="833" t="s">
        <v>106</v>
      </c>
      <c r="E2613" s="831">
        <v>161000</v>
      </c>
      <c r="F2613" s="832">
        <f t="shared" si="86"/>
        <v>5635000</v>
      </c>
      <c r="G2613" s="839"/>
    </row>
    <row r="2614" spans="1:17" x14ac:dyDescent="0.25">
      <c r="A2614" s="840"/>
      <c r="B2614" s="834" t="s">
        <v>1583</v>
      </c>
      <c r="C2614" s="839">
        <v>35</v>
      </c>
      <c r="D2614" s="833" t="s">
        <v>904</v>
      </c>
      <c r="E2614" s="831">
        <v>571000</v>
      </c>
      <c r="F2614" s="832">
        <f t="shared" si="86"/>
        <v>19985000</v>
      </c>
      <c r="G2614" s="839"/>
    </row>
    <row r="2615" spans="1:17" x14ac:dyDescent="0.25">
      <c r="A2615" s="840"/>
      <c r="B2615" s="2068" t="s">
        <v>26</v>
      </c>
      <c r="C2615" s="2072"/>
      <c r="D2615" s="2072"/>
      <c r="E2615" s="2069"/>
      <c r="F2615" s="837">
        <f>SUM(F2583:F2614)</f>
        <v>62892000</v>
      </c>
      <c r="G2615" s="841" t="s">
        <v>1220</v>
      </c>
      <c r="K2615" s="23">
        <f>F2615</f>
        <v>62892000</v>
      </c>
      <c r="L2615" s="23"/>
      <c r="Q2615" s="23"/>
    </row>
    <row r="2616" spans="1:17" x14ac:dyDescent="0.25">
      <c r="A2616" s="1926" t="s">
        <v>516</v>
      </c>
      <c r="B2616" s="1926"/>
      <c r="C2616" s="152" t="s">
        <v>27</v>
      </c>
      <c r="D2616" s="1926" t="s">
        <v>3654</v>
      </c>
      <c r="E2616" s="1926"/>
      <c r="F2616" s="1926"/>
      <c r="G2616" s="152"/>
    </row>
    <row r="2617" spans="1:17" x14ac:dyDescent="0.25">
      <c r="A2617" s="1926" t="s">
        <v>28</v>
      </c>
      <c r="B2617" s="1926"/>
      <c r="C2617" s="152"/>
      <c r="D2617" s="1927" t="s">
        <v>3566</v>
      </c>
      <c r="E2617" s="1927"/>
      <c r="F2617" s="1927"/>
      <c r="G2617" s="152"/>
    </row>
    <row r="2618" spans="1:17" x14ac:dyDescent="0.25">
      <c r="A2618" s="150"/>
      <c r="B2618" s="151"/>
      <c r="C2618" s="152"/>
      <c r="D2618" s="153"/>
      <c r="E2618" s="1770"/>
      <c r="F2618" s="182"/>
      <c r="G2618" s="152"/>
    </row>
    <row r="2619" spans="1:17" x14ac:dyDescent="0.25">
      <c r="A2619" s="150"/>
      <c r="B2619" s="151"/>
      <c r="C2619" s="152"/>
      <c r="D2619" s="153"/>
      <c r="E2619" s="1770"/>
      <c r="F2619" s="182"/>
      <c r="G2619" s="152"/>
    </row>
    <row r="2620" spans="1:17" x14ac:dyDescent="0.25">
      <c r="A2620" s="1926"/>
      <c r="B2620" s="1926"/>
      <c r="C2620" s="152"/>
      <c r="D2620" s="153"/>
      <c r="E2620" s="1926"/>
      <c r="F2620" s="1926"/>
      <c r="G2620" s="152"/>
    </row>
    <row r="2621" spans="1:17" x14ac:dyDescent="0.25">
      <c r="A2621" s="1926" t="s">
        <v>29</v>
      </c>
      <c r="B2621" s="1926"/>
      <c r="C2621" s="152"/>
      <c r="D2621" s="1926" t="s">
        <v>3569</v>
      </c>
      <c r="E2621" s="1926"/>
      <c r="F2621" s="1926"/>
      <c r="G2621" s="152"/>
    </row>
    <row r="2622" spans="1:17" x14ac:dyDescent="0.25">
      <c r="A2622" s="150"/>
      <c r="B2622" s="151"/>
      <c r="C2622" s="152"/>
      <c r="D2622" s="153"/>
      <c r="E2622" s="182"/>
      <c r="F2622" s="182"/>
      <c r="G2622" s="152"/>
    </row>
    <row r="2623" spans="1:17" x14ac:dyDescent="0.25">
      <c r="A2623" s="150"/>
      <c r="B2623" s="151"/>
      <c r="C2623" s="152"/>
      <c r="D2623" s="153"/>
      <c r="E2623" s="182"/>
      <c r="F2623" s="993">
        <f>F2615+F2561+F2538+F2489+F2463+F2423+F2375+F2323+F2235+F1921+F1732+F1169+F1130+F1096+F1062+F1009+F965+F900+F865+F818+F790+F750+F709+F661+F599+F552+F506+F464+F429+F386+F356+F306+F267+F218+F191+F147</f>
        <v>3312223224.1999998</v>
      </c>
      <c r="G2623" s="152"/>
    </row>
    <row r="2624" spans="1:17" x14ac:dyDescent="0.25">
      <c r="A2624" s="1926"/>
      <c r="B2624" s="1926"/>
      <c r="C2624" s="152"/>
      <c r="D2624" s="153"/>
      <c r="E2624" s="152"/>
      <c r="F2624" s="998" t="e">
        <f>'RKP 2026'!L134</f>
        <v>#REF!</v>
      </c>
      <c r="G2624" s="152"/>
    </row>
    <row r="2625" spans="6:6" x14ac:dyDescent="0.25">
      <c r="F2625" s="23" t="e">
        <f>F2623-F2624</f>
        <v>#REF!</v>
      </c>
    </row>
  </sheetData>
  <mergeCells count="904">
    <mergeCell ref="B1866:E1866"/>
    <mergeCell ref="B1871:E1871"/>
    <mergeCell ref="B1889:E1889"/>
    <mergeCell ref="B1276:E1276"/>
    <mergeCell ref="A1278:B1278"/>
    <mergeCell ref="D1278:G1278"/>
    <mergeCell ref="A1279:B1279"/>
    <mergeCell ref="D1279:G1279"/>
    <mergeCell ref="A1282:B1282"/>
    <mergeCell ref="E1282:F1282"/>
    <mergeCell ref="A1283:B1283"/>
    <mergeCell ref="D1283:G1283"/>
    <mergeCell ref="A1843:B1843"/>
    <mergeCell ref="D1843:F1843"/>
    <mergeCell ref="A1844:B1844"/>
    <mergeCell ref="D1844:F1844"/>
    <mergeCell ref="A1847:B1847"/>
    <mergeCell ref="E1847:F1847"/>
    <mergeCell ref="B1828:E1828"/>
    <mergeCell ref="B1832:E1832"/>
    <mergeCell ref="B1841:E1841"/>
    <mergeCell ref="B1842:E1842"/>
    <mergeCell ref="A1773:B1773"/>
    <mergeCell ref="D1773:F1773"/>
    <mergeCell ref="C1860:D1860"/>
    <mergeCell ref="C1861:D1861"/>
    <mergeCell ref="A1848:B1848"/>
    <mergeCell ref="D1848:F1848"/>
    <mergeCell ref="A1744:G1744"/>
    <mergeCell ref="C1753:D1753"/>
    <mergeCell ref="C1754:D1754"/>
    <mergeCell ref="B1759:E1759"/>
    <mergeCell ref="B1763:E1763"/>
    <mergeCell ref="B1771:E1771"/>
    <mergeCell ref="B1772:E1772"/>
    <mergeCell ref="A1774:B1774"/>
    <mergeCell ref="D1774:F1774"/>
    <mergeCell ref="A1811:G1811"/>
    <mergeCell ref="A1812:G1812"/>
    <mergeCell ref="C1822:D1822"/>
    <mergeCell ref="C1823:D1823"/>
    <mergeCell ref="A1803:B1803"/>
    <mergeCell ref="D1803:F1803"/>
    <mergeCell ref="D1247:G1247"/>
    <mergeCell ref="A1248:B1248"/>
    <mergeCell ref="D1248:G1248"/>
    <mergeCell ref="A1251:B1251"/>
    <mergeCell ref="E1251:F1251"/>
    <mergeCell ref="A1252:B1252"/>
    <mergeCell ref="A1849:G1849"/>
    <mergeCell ref="A1850:G1850"/>
    <mergeCell ref="A1851:G1851"/>
    <mergeCell ref="A1733:B1733"/>
    <mergeCell ref="D1733:F1733"/>
    <mergeCell ref="A1734:B1734"/>
    <mergeCell ref="D1734:F1734"/>
    <mergeCell ref="A1737:B1737"/>
    <mergeCell ref="E1737:F1737"/>
    <mergeCell ref="A1738:B1738"/>
    <mergeCell ref="D1738:F1738"/>
    <mergeCell ref="A1813:G1813"/>
    <mergeCell ref="A1804:B1804"/>
    <mergeCell ref="D1804:F1804"/>
    <mergeCell ref="A1807:B1807"/>
    <mergeCell ref="E1807:F1807"/>
    <mergeCell ref="A1808:B1808"/>
    <mergeCell ref="D1808:F1808"/>
    <mergeCell ref="A2473:G2473"/>
    <mergeCell ref="A2435:G2435"/>
    <mergeCell ref="A2436:G2436"/>
    <mergeCell ref="A2437:G2437"/>
    <mergeCell ref="C2444:D2444"/>
    <mergeCell ref="C2445:D2445"/>
    <mergeCell ref="D2465:F2465"/>
    <mergeCell ref="A2468:B2468"/>
    <mergeCell ref="A1215:B1215"/>
    <mergeCell ref="D1215:G1215"/>
    <mergeCell ref="A1254:G1254"/>
    <mergeCell ref="A1255:G1255"/>
    <mergeCell ref="A1256:G1256"/>
    <mergeCell ref="C1265:D1265"/>
    <mergeCell ref="C1266:D1266"/>
    <mergeCell ref="B1271:E1271"/>
    <mergeCell ref="B1274:E1274"/>
    <mergeCell ref="A1217:G1217"/>
    <mergeCell ref="A1218:G1218"/>
    <mergeCell ref="A1219:G1219"/>
    <mergeCell ref="C1228:D1228"/>
    <mergeCell ref="C1229:D1229"/>
    <mergeCell ref="B1234:E1234"/>
    <mergeCell ref="B1238:E1238"/>
    <mergeCell ref="A2383:G2383"/>
    <mergeCell ref="B2375:E2375"/>
    <mergeCell ref="A2376:B2376"/>
    <mergeCell ref="D2376:F2376"/>
    <mergeCell ref="B1893:E1893"/>
    <mergeCell ref="B1894:E1894"/>
    <mergeCell ref="B1895:E1895"/>
    <mergeCell ref="C2252:D2252"/>
    <mergeCell ref="E2328:F2328"/>
    <mergeCell ref="A2329:B2329"/>
    <mergeCell ref="D2329:F2329"/>
    <mergeCell ref="A2325:B2325"/>
    <mergeCell ref="D2381:F2381"/>
    <mergeCell ref="C2183:D2183"/>
    <mergeCell ref="C2184:D2184"/>
    <mergeCell ref="B2235:E2235"/>
    <mergeCell ref="A2335:G2335"/>
    <mergeCell ref="A2336:G2336"/>
    <mergeCell ref="C2343:D2343"/>
    <mergeCell ref="C2344:D2344"/>
    <mergeCell ref="C2345:D2345"/>
    <mergeCell ref="C2346:D2346"/>
    <mergeCell ref="C2347:D2347"/>
    <mergeCell ref="A2328:B2328"/>
    <mergeCell ref="A1742:G1742"/>
    <mergeCell ref="A1743:G1743"/>
    <mergeCell ref="C1790:D1790"/>
    <mergeCell ref="C1791:D1791"/>
    <mergeCell ref="B1796:E1796"/>
    <mergeCell ref="B1799:E1799"/>
    <mergeCell ref="B1801:E1801"/>
    <mergeCell ref="A1779:G1779"/>
    <mergeCell ref="A1780:G1780"/>
    <mergeCell ref="A1777:B1777"/>
    <mergeCell ref="E1777:F1777"/>
    <mergeCell ref="A1778:B1778"/>
    <mergeCell ref="D1778:F1778"/>
    <mergeCell ref="A1781:G1781"/>
    <mergeCell ref="A1701:G1701"/>
    <mergeCell ref="A1702:G1702"/>
    <mergeCell ref="A1703:G1703"/>
    <mergeCell ref="C1712:D1712"/>
    <mergeCell ref="C1713:D1713"/>
    <mergeCell ref="B1718:E1718"/>
    <mergeCell ref="B1722:E1722"/>
    <mergeCell ref="B1731:E1731"/>
    <mergeCell ref="B1732:E1732"/>
    <mergeCell ref="B1691:E1691"/>
    <mergeCell ref="B1692:E1692"/>
    <mergeCell ref="A1693:B1693"/>
    <mergeCell ref="D1693:F1693"/>
    <mergeCell ref="A1694:B1694"/>
    <mergeCell ref="D1694:F1694"/>
    <mergeCell ref="A1697:B1697"/>
    <mergeCell ref="E1697:F1697"/>
    <mergeCell ref="A1698:B1698"/>
    <mergeCell ref="D1698:F1698"/>
    <mergeCell ref="A1654:B1654"/>
    <mergeCell ref="D1654:F1654"/>
    <mergeCell ref="A1661:G1661"/>
    <mergeCell ref="A1662:G1662"/>
    <mergeCell ref="A1663:G1663"/>
    <mergeCell ref="C1672:D1672"/>
    <mergeCell ref="C1673:D1673"/>
    <mergeCell ref="B1678:E1678"/>
    <mergeCell ref="B1682:E1682"/>
    <mergeCell ref="B1638:E1638"/>
    <mergeCell ref="B1647:E1647"/>
    <mergeCell ref="B1648:E1648"/>
    <mergeCell ref="A1649:B1649"/>
    <mergeCell ref="D1649:F1649"/>
    <mergeCell ref="A1650:B1650"/>
    <mergeCell ref="D1650:F1650"/>
    <mergeCell ref="A1653:B1653"/>
    <mergeCell ref="E1653:F1653"/>
    <mergeCell ref="E1614:F1614"/>
    <mergeCell ref="A1615:B1615"/>
    <mergeCell ref="D1615:F1615"/>
    <mergeCell ref="A1617:G1617"/>
    <mergeCell ref="A1618:G1618"/>
    <mergeCell ref="A1619:G1619"/>
    <mergeCell ref="C1628:D1628"/>
    <mergeCell ref="C1629:D1629"/>
    <mergeCell ref="B1634:E1634"/>
    <mergeCell ref="C1111:D1111"/>
    <mergeCell ref="B1130:E1130"/>
    <mergeCell ref="A1131:B1131"/>
    <mergeCell ref="D1131:F1131"/>
    <mergeCell ref="A1132:B1132"/>
    <mergeCell ref="D1132:F1132"/>
    <mergeCell ref="A1135:B1135"/>
    <mergeCell ref="E1135:F1135"/>
    <mergeCell ref="A1136:B1136"/>
    <mergeCell ref="D1136:F1136"/>
    <mergeCell ref="A974:F974"/>
    <mergeCell ref="A975:F975"/>
    <mergeCell ref="A976:F976"/>
    <mergeCell ref="A982:B982"/>
    <mergeCell ref="C984:D984"/>
    <mergeCell ref="A1104:G1104"/>
    <mergeCell ref="A1105:G1105"/>
    <mergeCell ref="A1106:G1106"/>
    <mergeCell ref="C1110:D1110"/>
    <mergeCell ref="D1098:F1098"/>
    <mergeCell ref="A1099:B1099"/>
    <mergeCell ref="D1099:F1099"/>
    <mergeCell ref="A1102:B1102"/>
    <mergeCell ref="E1102:F1102"/>
    <mergeCell ref="A1103:B1103"/>
    <mergeCell ref="D1103:F1103"/>
    <mergeCell ref="D1016:F1016"/>
    <mergeCell ref="C985:D985"/>
    <mergeCell ref="B1009:E1009"/>
    <mergeCell ref="A1067:B1067"/>
    <mergeCell ref="E1067:F1067"/>
    <mergeCell ref="A1068:B1068"/>
    <mergeCell ref="D1068:F1068"/>
    <mergeCell ref="C1077:D1077"/>
    <mergeCell ref="A387:B387"/>
    <mergeCell ref="D387:F387"/>
    <mergeCell ref="A388:B388"/>
    <mergeCell ref="D388:F388"/>
    <mergeCell ref="A391:B391"/>
    <mergeCell ref="E391:F391"/>
    <mergeCell ref="A392:B392"/>
    <mergeCell ref="D392:F392"/>
    <mergeCell ref="A273:B273"/>
    <mergeCell ref="E273:F273"/>
    <mergeCell ref="A274:B274"/>
    <mergeCell ref="D274:F274"/>
    <mergeCell ref="A307:B307"/>
    <mergeCell ref="D307:F307"/>
    <mergeCell ref="A308:B308"/>
    <mergeCell ref="D308:F308"/>
    <mergeCell ref="A278:F278"/>
    <mergeCell ref="C286:D286"/>
    <mergeCell ref="C287:D287"/>
    <mergeCell ref="B306:E306"/>
    <mergeCell ref="C372:D372"/>
    <mergeCell ref="C373:D373"/>
    <mergeCell ref="A386:B386"/>
    <mergeCell ref="A364:F364"/>
    <mergeCell ref="A361:B361"/>
    <mergeCell ref="E361:F361"/>
    <mergeCell ref="A362:B362"/>
    <mergeCell ref="D362:F362"/>
    <mergeCell ref="A270:B270"/>
    <mergeCell ref="D270:F270"/>
    <mergeCell ref="A232:B232"/>
    <mergeCell ref="C233:D233"/>
    <mergeCell ref="C234:D234"/>
    <mergeCell ref="A2624:B2624"/>
    <mergeCell ref="A2562:B2562"/>
    <mergeCell ref="D2562:F2562"/>
    <mergeCell ref="A2563:B2563"/>
    <mergeCell ref="D2563:F2563"/>
    <mergeCell ref="A2566:B2566"/>
    <mergeCell ref="E2566:F2566"/>
    <mergeCell ref="A2567:B2567"/>
    <mergeCell ref="D2567:F2567"/>
    <mergeCell ref="A2569:G2569"/>
    <mergeCell ref="A2570:G2570"/>
    <mergeCell ref="A2571:G2571"/>
    <mergeCell ref="C2579:D2579"/>
    <mergeCell ref="C2580:D2580"/>
    <mergeCell ref="B2615:E2615"/>
    <mergeCell ref="A2616:B2616"/>
    <mergeCell ref="D2616:F2616"/>
    <mergeCell ref="A2620:B2620"/>
    <mergeCell ref="A2621:B2621"/>
    <mergeCell ref="D2621:F2621"/>
    <mergeCell ref="D2617:F2617"/>
    <mergeCell ref="A2617:B2617"/>
    <mergeCell ref="E2620:F2620"/>
    <mergeCell ref="C2556:D2556"/>
    <mergeCell ref="B2561:E2561"/>
    <mergeCell ref="A2500:G2500"/>
    <mergeCell ref="A2501:G2501"/>
    <mergeCell ref="A2502:G2502"/>
    <mergeCell ref="B2460:C2460"/>
    <mergeCell ref="B2463:E2463"/>
    <mergeCell ref="A2464:B2464"/>
    <mergeCell ref="D2464:F2464"/>
    <mergeCell ref="A2465:B2465"/>
    <mergeCell ref="A2545:G2545"/>
    <mergeCell ref="A2546:G2546"/>
    <mergeCell ref="A2547:G2547"/>
    <mergeCell ref="A2553:B2553"/>
    <mergeCell ref="C2555:D2555"/>
    <mergeCell ref="A2508:B2508"/>
    <mergeCell ref="C2509:D2509"/>
    <mergeCell ref="C2510:D2510"/>
    <mergeCell ref="B2538:E2538"/>
    <mergeCell ref="C2479:D2479"/>
    <mergeCell ref="C2480:D2480"/>
    <mergeCell ref="B2489:E2489"/>
    <mergeCell ref="A2471:G2471"/>
    <mergeCell ref="A2472:G2472"/>
    <mergeCell ref="A2469:B2469"/>
    <mergeCell ref="D2469:F2469"/>
    <mergeCell ref="A2429:B2429"/>
    <mergeCell ref="E2429:F2429"/>
    <mergeCell ref="A2430:B2430"/>
    <mergeCell ref="D2430:F2430"/>
    <mergeCell ref="A2384:G2384"/>
    <mergeCell ref="A2385:G2385"/>
    <mergeCell ref="C2391:D2391"/>
    <mergeCell ref="C2392:D2392"/>
    <mergeCell ref="B2423:E2423"/>
    <mergeCell ref="A2426:B2426"/>
    <mergeCell ref="D2426:F2426"/>
    <mergeCell ref="A2425:B2425"/>
    <mergeCell ref="D2425:F2425"/>
    <mergeCell ref="E2468:F2468"/>
    <mergeCell ref="B1982:E1982"/>
    <mergeCell ref="B1983:E1983"/>
    <mergeCell ref="A1986:G1986"/>
    <mergeCell ref="A1987:G1987"/>
    <mergeCell ref="A1988:G1988"/>
    <mergeCell ref="C1997:D1997"/>
    <mergeCell ref="A2174:G2174"/>
    <mergeCell ref="A2175:G2175"/>
    <mergeCell ref="A2176:G2176"/>
    <mergeCell ref="A2045:G2045"/>
    <mergeCell ref="A2140:G2140"/>
    <mergeCell ref="C2149:D2149"/>
    <mergeCell ref="C2150:D2150"/>
    <mergeCell ref="B2155:E2155"/>
    <mergeCell ref="B2160:E2160"/>
    <mergeCell ref="B2171:E2171"/>
    <mergeCell ref="B2172:E2172"/>
    <mergeCell ref="B2123:E2123"/>
    <mergeCell ref="B2128:E2128"/>
    <mergeCell ref="B2135:E2135"/>
    <mergeCell ref="B2136:E2136"/>
    <mergeCell ref="A2138:G2138"/>
    <mergeCell ref="B1948:E1948"/>
    <mergeCell ref="B1950:E1950"/>
    <mergeCell ref="A1952:G1952"/>
    <mergeCell ref="A1953:G1953"/>
    <mergeCell ref="A1954:G1954"/>
    <mergeCell ref="C1963:D1963"/>
    <mergeCell ref="C1964:D1964"/>
    <mergeCell ref="B1969:E1969"/>
    <mergeCell ref="B1974:E1974"/>
    <mergeCell ref="C1078:D1078"/>
    <mergeCell ref="A1096:B1096"/>
    <mergeCell ref="A1098:B1098"/>
    <mergeCell ref="C1337:D1337"/>
    <mergeCell ref="C1338:D1338"/>
    <mergeCell ref="B2041:E2041"/>
    <mergeCell ref="B2042:E2042"/>
    <mergeCell ref="A1326:G1326"/>
    <mergeCell ref="A1327:G1327"/>
    <mergeCell ref="A1328:G1328"/>
    <mergeCell ref="A1930:G1930"/>
    <mergeCell ref="C1939:D1939"/>
    <mergeCell ref="C1940:D1940"/>
    <mergeCell ref="B1945:E1945"/>
    <mergeCell ref="C2022:D2022"/>
    <mergeCell ref="C2023:D2023"/>
    <mergeCell ref="A1928:G1928"/>
    <mergeCell ref="A1929:G1929"/>
    <mergeCell ref="B2036:E2036"/>
    <mergeCell ref="B2040:E2040"/>
    <mergeCell ref="A1545:G1545"/>
    <mergeCell ref="A1546:G1546"/>
    <mergeCell ref="A1547:G1547"/>
    <mergeCell ref="C1556:D1556"/>
    <mergeCell ref="C921:D921"/>
    <mergeCell ref="A966:B966"/>
    <mergeCell ref="D966:F966"/>
    <mergeCell ref="A967:B967"/>
    <mergeCell ref="D967:F967"/>
    <mergeCell ref="A970:B970"/>
    <mergeCell ref="E970:F970"/>
    <mergeCell ref="A1076:B1076"/>
    <mergeCell ref="A1069:G1069"/>
    <mergeCell ref="A1017:G1017"/>
    <mergeCell ref="A971:B971"/>
    <mergeCell ref="D971:F971"/>
    <mergeCell ref="A1011:B1011"/>
    <mergeCell ref="D1011:F1011"/>
    <mergeCell ref="A1012:B1012"/>
    <mergeCell ref="D1012:F1012"/>
    <mergeCell ref="C1061:D1061"/>
    <mergeCell ref="B1062:E1062"/>
    <mergeCell ref="A1063:B1063"/>
    <mergeCell ref="D1063:F1063"/>
    <mergeCell ref="A1064:B1064"/>
    <mergeCell ref="D1064:F1064"/>
    <mergeCell ref="A1070:G1070"/>
    <mergeCell ref="A1071:G1071"/>
    <mergeCell ref="C407:D407"/>
    <mergeCell ref="C408:D408"/>
    <mergeCell ref="A437:G437"/>
    <mergeCell ref="A438:G438"/>
    <mergeCell ref="A906:B906"/>
    <mergeCell ref="E906:F906"/>
    <mergeCell ref="A796:B796"/>
    <mergeCell ref="E796:F796"/>
    <mergeCell ref="A797:B797"/>
    <mergeCell ref="D797:F797"/>
    <mergeCell ref="A820:B820"/>
    <mergeCell ref="D820:F820"/>
    <mergeCell ref="A821:B821"/>
    <mergeCell ref="A512:B512"/>
    <mergeCell ref="D512:F512"/>
    <mergeCell ref="A518:F518"/>
    <mergeCell ref="C483:D483"/>
    <mergeCell ref="A506:E506"/>
    <mergeCell ref="A474:G474"/>
    <mergeCell ref="A475:G475"/>
    <mergeCell ref="A476:G476"/>
    <mergeCell ref="E434:F434"/>
    <mergeCell ref="A435:B435"/>
    <mergeCell ref="C839:D839"/>
    <mergeCell ref="A465:B465"/>
    <mergeCell ref="D465:F465"/>
    <mergeCell ref="A867:B867"/>
    <mergeCell ref="D867:F867"/>
    <mergeCell ref="A269:B269"/>
    <mergeCell ref="D269:F269"/>
    <mergeCell ref="A466:B466"/>
    <mergeCell ref="D466:F466"/>
    <mergeCell ref="A469:B469"/>
    <mergeCell ref="E469:F469"/>
    <mergeCell ref="A470:B470"/>
    <mergeCell ref="B429:E429"/>
    <mergeCell ref="A434:B434"/>
    <mergeCell ref="A430:B430"/>
    <mergeCell ref="D430:F430"/>
    <mergeCell ref="A431:B431"/>
    <mergeCell ref="D431:F431"/>
    <mergeCell ref="D792:F792"/>
    <mergeCell ref="A793:B793"/>
    <mergeCell ref="D793:F793"/>
    <mergeCell ref="A398:G398"/>
    <mergeCell ref="A399:G399"/>
    <mergeCell ref="A405:B405"/>
    <mergeCell ref="E311:F311"/>
    <mergeCell ref="A155:F155"/>
    <mergeCell ref="A156:F156"/>
    <mergeCell ref="A225:F225"/>
    <mergeCell ref="C209:D209"/>
    <mergeCell ref="B218:E218"/>
    <mergeCell ref="A1018:G1018"/>
    <mergeCell ref="A1019:G1019"/>
    <mergeCell ref="C1027:D1027"/>
    <mergeCell ref="C1028:D1028"/>
    <mergeCell ref="A868:B868"/>
    <mergeCell ref="D868:F868"/>
    <mergeCell ref="A871:B871"/>
    <mergeCell ref="E871:F871"/>
    <mergeCell ref="C884:D884"/>
    <mergeCell ref="A902:B902"/>
    <mergeCell ref="D902:F902"/>
    <mergeCell ref="A903:B903"/>
    <mergeCell ref="D903:F903"/>
    <mergeCell ref="A1015:B1015"/>
    <mergeCell ref="E1015:F1015"/>
    <mergeCell ref="A1016:B1016"/>
    <mergeCell ref="A283:B283"/>
    <mergeCell ref="A276:F276"/>
    <mergeCell ref="A277:F277"/>
    <mergeCell ref="C10:D10"/>
    <mergeCell ref="C11:D11"/>
    <mergeCell ref="A1:G1"/>
    <mergeCell ref="A2:G2"/>
    <mergeCell ref="A3:G3"/>
    <mergeCell ref="A154:F154"/>
    <mergeCell ref="A147:B147"/>
    <mergeCell ref="A148:B148"/>
    <mergeCell ref="D148:F148"/>
    <mergeCell ref="A149:B149"/>
    <mergeCell ref="D149:F149"/>
    <mergeCell ref="A152:B152"/>
    <mergeCell ref="E152:F152"/>
    <mergeCell ref="A153:B153"/>
    <mergeCell ref="D153:F153"/>
    <mergeCell ref="A365:F365"/>
    <mergeCell ref="A366:F366"/>
    <mergeCell ref="A371:B371"/>
    <mergeCell ref="C164:D164"/>
    <mergeCell ref="C165:D165"/>
    <mergeCell ref="B191:E191"/>
    <mergeCell ref="A220:B220"/>
    <mergeCell ref="D220:F220"/>
    <mergeCell ref="A223:B223"/>
    <mergeCell ref="E223:F223"/>
    <mergeCell ref="A224:B224"/>
    <mergeCell ref="D224:F224"/>
    <mergeCell ref="A192:B192"/>
    <mergeCell ref="D192:F192"/>
    <mergeCell ref="A193:B193"/>
    <mergeCell ref="D193:F193"/>
    <mergeCell ref="A312:B312"/>
    <mergeCell ref="D312:F312"/>
    <mergeCell ref="A226:F226"/>
    <mergeCell ref="A227:F227"/>
    <mergeCell ref="A357:B357"/>
    <mergeCell ref="D357:F357"/>
    <mergeCell ref="A358:B358"/>
    <mergeCell ref="D358:F358"/>
    <mergeCell ref="C482:D482"/>
    <mergeCell ref="A508:B508"/>
    <mergeCell ref="D508:F508"/>
    <mergeCell ref="A511:B511"/>
    <mergeCell ref="E511:F511"/>
    <mergeCell ref="A196:B196"/>
    <mergeCell ref="E196:F196"/>
    <mergeCell ref="A197:B197"/>
    <mergeCell ref="D197:F197"/>
    <mergeCell ref="A219:B219"/>
    <mergeCell ref="D219:F219"/>
    <mergeCell ref="A198:F198"/>
    <mergeCell ref="A199:F199"/>
    <mergeCell ref="A200:F200"/>
    <mergeCell ref="C208:D208"/>
    <mergeCell ref="A507:B507"/>
    <mergeCell ref="D507:F507"/>
    <mergeCell ref="A397:G397"/>
    <mergeCell ref="A314:F314"/>
    <mergeCell ref="A315:F315"/>
    <mergeCell ref="A316:F316"/>
    <mergeCell ref="C322:D322"/>
    <mergeCell ref="C323:D323"/>
    <mergeCell ref="A311:B311"/>
    <mergeCell ref="E756:F756"/>
    <mergeCell ref="A757:B757"/>
    <mergeCell ref="D757:F757"/>
    <mergeCell ref="A792:B792"/>
    <mergeCell ref="A678:B678"/>
    <mergeCell ref="C681:D681"/>
    <mergeCell ref="C682:D682"/>
    <mergeCell ref="A824:B824"/>
    <mergeCell ref="E824:F824"/>
    <mergeCell ref="C728:D728"/>
    <mergeCell ref="C729:D729"/>
    <mergeCell ref="A760:F760"/>
    <mergeCell ref="A761:F761"/>
    <mergeCell ref="A762:F762"/>
    <mergeCell ref="A768:B768"/>
    <mergeCell ref="C770:D770"/>
    <mergeCell ref="D821:F821"/>
    <mergeCell ref="A799:F799"/>
    <mergeCell ref="A800:F800"/>
    <mergeCell ref="A801:F801"/>
    <mergeCell ref="A807:B807"/>
    <mergeCell ref="C809:D809"/>
    <mergeCell ref="C810:D810"/>
    <mergeCell ref="B818:E818"/>
    <mergeCell ref="A752:B752"/>
    <mergeCell ref="A718:G718"/>
    <mergeCell ref="A719:G719"/>
    <mergeCell ref="A720:G720"/>
    <mergeCell ref="A874:G874"/>
    <mergeCell ref="A875:G875"/>
    <mergeCell ref="A881:B881"/>
    <mergeCell ref="A523:B523"/>
    <mergeCell ref="C525:D525"/>
    <mergeCell ref="C526:D526"/>
    <mergeCell ref="B552:E552"/>
    <mergeCell ref="A563:G563"/>
    <mergeCell ref="A564:G564"/>
    <mergeCell ref="A565:G565"/>
    <mergeCell ref="A572:A573"/>
    <mergeCell ref="B572:B573"/>
    <mergeCell ref="C572:F572"/>
    <mergeCell ref="G572:G573"/>
    <mergeCell ref="C573:D573"/>
    <mergeCell ref="A600:B600"/>
    <mergeCell ref="D600:F600"/>
    <mergeCell ref="A715:B715"/>
    <mergeCell ref="E715:F715"/>
    <mergeCell ref="A716:B716"/>
    <mergeCell ref="A516:F516"/>
    <mergeCell ref="A517:F517"/>
    <mergeCell ref="A553:B553"/>
    <mergeCell ref="D553:F553"/>
    <mergeCell ref="A554:B554"/>
    <mergeCell ref="D554:F554"/>
    <mergeCell ref="A557:B557"/>
    <mergeCell ref="E557:F557"/>
    <mergeCell ref="A558:B558"/>
    <mergeCell ref="D558:F558"/>
    <mergeCell ref="D716:F716"/>
    <mergeCell ref="A912:F912"/>
    <mergeCell ref="A917:B917"/>
    <mergeCell ref="D435:F435"/>
    <mergeCell ref="C447:D447"/>
    <mergeCell ref="A439:G439"/>
    <mergeCell ref="C446:D446"/>
    <mergeCell ref="D470:F470"/>
    <mergeCell ref="A601:B601"/>
    <mergeCell ref="D601:F601"/>
    <mergeCell ref="A604:B604"/>
    <mergeCell ref="E604:F604"/>
    <mergeCell ref="A605:B605"/>
    <mergeCell ref="D605:F605"/>
    <mergeCell ref="C616:D616"/>
    <mergeCell ref="C617:D617"/>
    <mergeCell ref="A607:G607"/>
    <mergeCell ref="A608:G608"/>
    <mergeCell ref="A609:G609"/>
    <mergeCell ref="A615:B615"/>
    <mergeCell ref="C574:D574"/>
    <mergeCell ref="B709:E709"/>
    <mergeCell ref="A671:F671"/>
    <mergeCell ref="A672:F672"/>
    <mergeCell ref="A711:B711"/>
    <mergeCell ref="D711:F711"/>
    <mergeCell ref="A712:B712"/>
    <mergeCell ref="D712:F712"/>
    <mergeCell ref="A662:B662"/>
    <mergeCell ref="D662:F662"/>
    <mergeCell ref="A663:B663"/>
    <mergeCell ref="D663:F663"/>
    <mergeCell ref="A666:B666"/>
    <mergeCell ref="E666:F666"/>
    <mergeCell ref="A667:B667"/>
    <mergeCell ref="D667:F667"/>
    <mergeCell ref="A673:F673"/>
    <mergeCell ref="D752:F752"/>
    <mergeCell ref="A753:B753"/>
    <mergeCell ref="D753:F753"/>
    <mergeCell ref="A756:B756"/>
    <mergeCell ref="A2108:G2108"/>
    <mergeCell ref="C2117:D2117"/>
    <mergeCell ref="C2118:D2118"/>
    <mergeCell ref="C2087:D2087"/>
    <mergeCell ref="C2088:D2088"/>
    <mergeCell ref="B2093:E2093"/>
    <mergeCell ref="B2098:E2098"/>
    <mergeCell ref="B2102:E2102"/>
    <mergeCell ref="B2103:E2103"/>
    <mergeCell ref="A2104:B2104"/>
    <mergeCell ref="D2104:F2104"/>
    <mergeCell ref="A2106:G2106"/>
    <mergeCell ref="A2044:G2044"/>
    <mergeCell ref="C1998:D1998"/>
    <mergeCell ref="B2003:E2003"/>
    <mergeCell ref="B2007:E2007"/>
    <mergeCell ref="B2008:E2008"/>
    <mergeCell ref="A2011:G2011"/>
    <mergeCell ref="A2012:G2012"/>
    <mergeCell ref="A2013:G2013"/>
    <mergeCell ref="C920:D920"/>
    <mergeCell ref="C771:D771"/>
    <mergeCell ref="B790:E790"/>
    <mergeCell ref="A828:G828"/>
    <mergeCell ref="A829:G829"/>
    <mergeCell ref="A830:G830"/>
    <mergeCell ref="A836:B836"/>
    <mergeCell ref="C838:D838"/>
    <mergeCell ref="A872:B872"/>
    <mergeCell ref="D872:F872"/>
    <mergeCell ref="C883:D883"/>
    <mergeCell ref="A910:F910"/>
    <mergeCell ref="A911:F911"/>
    <mergeCell ref="A825:B825"/>
    <mergeCell ref="D825:F825"/>
    <mergeCell ref="A907:B907"/>
    <mergeCell ref="D907:F907"/>
    <mergeCell ref="A873:G873"/>
    <mergeCell ref="C1557:D1557"/>
    <mergeCell ref="B1562:E1562"/>
    <mergeCell ref="B1565:E1565"/>
    <mergeCell ref="B1599:E1599"/>
    <mergeCell ref="B1608:E1608"/>
    <mergeCell ref="B1609:E1609"/>
    <mergeCell ref="B2028:E2028"/>
    <mergeCell ref="B2032:E2032"/>
    <mergeCell ref="A1902:G1902"/>
    <mergeCell ref="A1903:G1903"/>
    <mergeCell ref="A1904:G1904"/>
    <mergeCell ref="A1911:B1911"/>
    <mergeCell ref="C1912:D1912"/>
    <mergeCell ref="C1913:D1913"/>
    <mergeCell ref="C1919:E1919"/>
    <mergeCell ref="B1921:E1921"/>
    <mergeCell ref="E1572:F1572"/>
    <mergeCell ref="B1567:E1567"/>
    <mergeCell ref="A1578:G1578"/>
    <mergeCell ref="A1579:G1579"/>
    <mergeCell ref="A1580:G1580"/>
    <mergeCell ref="C1589:D1589"/>
    <mergeCell ref="C1590:D1590"/>
    <mergeCell ref="B1595:E1595"/>
    <mergeCell ref="B1343:E1343"/>
    <mergeCell ref="B1347:E1347"/>
    <mergeCell ref="B1353:E1353"/>
    <mergeCell ref="B1354:E1354"/>
    <mergeCell ref="A1356:B1356"/>
    <mergeCell ref="D1356:G1356"/>
    <mergeCell ref="A1357:B1357"/>
    <mergeCell ref="D1357:G1357"/>
    <mergeCell ref="A1360:B1360"/>
    <mergeCell ref="E1360:F1360"/>
    <mergeCell ref="A1361:B1361"/>
    <mergeCell ref="D1361:G1361"/>
    <mergeCell ref="A1363:G1363"/>
    <mergeCell ref="A1364:G1364"/>
    <mergeCell ref="A1365:G1365"/>
    <mergeCell ref="C1374:D1374"/>
    <mergeCell ref="C1375:D1375"/>
    <mergeCell ref="B1380:E1380"/>
    <mergeCell ref="B1384:E1384"/>
    <mergeCell ref="B1385:E1385"/>
    <mergeCell ref="A1387:B1387"/>
    <mergeCell ref="D1387:G1387"/>
    <mergeCell ref="A1388:B1388"/>
    <mergeCell ref="D1388:G1388"/>
    <mergeCell ref="A1391:B1391"/>
    <mergeCell ref="E1391:F1391"/>
    <mergeCell ref="A1392:B1392"/>
    <mergeCell ref="D1392:G1392"/>
    <mergeCell ref="A1394:G1394"/>
    <mergeCell ref="A1395:G1395"/>
    <mergeCell ref="A1396:G1396"/>
    <mergeCell ref="C1405:D1405"/>
    <mergeCell ref="C1406:D1406"/>
    <mergeCell ref="B1411:E1411"/>
    <mergeCell ref="B1415:E1415"/>
    <mergeCell ref="B1417:E1417"/>
    <mergeCell ref="A1419:B1419"/>
    <mergeCell ref="D1419:G1419"/>
    <mergeCell ref="A1420:B1420"/>
    <mergeCell ref="D1420:G1420"/>
    <mergeCell ref="A1423:B1423"/>
    <mergeCell ref="E1423:F1423"/>
    <mergeCell ref="A1424:B1424"/>
    <mergeCell ref="D1424:G1424"/>
    <mergeCell ref="A1426:G1426"/>
    <mergeCell ref="A1427:G1427"/>
    <mergeCell ref="A1428:G1428"/>
    <mergeCell ref="C1437:D1437"/>
    <mergeCell ref="C1438:D1438"/>
    <mergeCell ref="B1443:E1443"/>
    <mergeCell ref="B1447:E1447"/>
    <mergeCell ref="B1459:E1459"/>
    <mergeCell ref="B1460:E1460"/>
    <mergeCell ref="A1462:B1462"/>
    <mergeCell ref="D1462:G1462"/>
    <mergeCell ref="A1463:B1463"/>
    <mergeCell ref="D1463:G1463"/>
    <mergeCell ref="A1539:B1539"/>
    <mergeCell ref="D1539:F1539"/>
    <mergeCell ref="A1540:B1540"/>
    <mergeCell ref="D1540:F1540"/>
    <mergeCell ref="A1543:B1543"/>
    <mergeCell ref="E1543:F1543"/>
    <mergeCell ref="A1544:B1544"/>
    <mergeCell ref="D1544:F1544"/>
    <mergeCell ref="A1509:G1509"/>
    <mergeCell ref="C1518:D1518"/>
    <mergeCell ref="C1519:D1519"/>
    <mergeCell ref="B1524:E1524"/>
    <mergeCell ref="B1528:E1528"/>
    <mergeCell ref="B1537:E1537"/>
    <mergeCell ref="B1538:E1538"/>
    <mergeCell ref="A1568:B1568"/>
    <mergeCell ref="D1568:F1568"/>
    <mergeCell ref="A1569:B1569"/>
    <mergeCell ref="D1569:F1569"/>
    <mergeCell ref="A1572:B1572"/>
    <mergeCell ref="A1573:B1573"/>
    <mergeCell ref="D1573:F1573"/>
    <mergeCell ref="A2046:G2046"/>
    <mergeCell ref="A2139:G2139"/>
    <mergeCell ref="A2107:G2107"/>
    <mergeCell ref="C2055:D2055"/>
    <mergeCell ref="C2056:D2056"/>
    <mergeCell ref="B2061:E2061"/>
    <mergeCell ref="B2066:E2066"/>
    <mergeCell ref="B2072:E2072"/>
    <mergeCell ref="B2073:E2073"/>
    <mergeCell ref="A2076:G2076"/>
    <mergeCell ref="A2077:G2077"/>
    <mergeCell ref="A2078:G2078"/>
    <mergeCell ref="A1610:B1610"/>
    <mergeCell ref="D1610:F1610"/>
    <mergeCell ref="A1611:B1611"/>
    <mergeCell ref="D1611:F1611"/>
    <mergeCell ref="A1614:B1614"/>
    <mergeCell ref="A1171:B1171"/>
    <mergeCell ref="A1172:B1172"/>
    <mergeCell ref="A1175:B1175"/>
    <mergeCell ref="E1175:F1175"/>
    <mergeCell ref="A1176:B1176"/>
    <mergeCell ref="D1252:G1252"/>
    <mergeCell ref="A1177:G1177"/>
    <mergeCell ref="A1178:G1178"/>
    <mergeCell ref="A1179:G1179"/>
    <mergeCell ref="C1188:D1188"/>
    <mergeCell ref="C1189:D1189"/>
    <mergeCell ref="B1194:E1194"/>
    <mergeCell ref="B1198:E1198"/>
    <mergeCell ref="B1207:E1207"/>
    <mergeCell ref="B1208:E1208"/>
    <mergeCell ref="A1210:B1210"/>
    <mergeCell ref="D1210:G1210"/>
    <mergeCell ref="A1211:B1211"/>
    <mergeCell ref="D1211:G1211"/>
    <mergeCell ref="A1214:B1214"/>
    <mergeCell ref="E1214:F1214"/>
    <mergeCell ref="B1244:E1244"/>
    <mergeCell ref="B1245:E1245"/>
    <mergeCell ref="A1247:B1247"/>
    <mergeCell ref="A1137:G1137"/>
    <mergeCell ref="A1138:G1138"/>
    <mergeCell ref="A1139:G1139"/>
    <mergeCell ref="C1148:D1148"/>
    <mergeCell ref="C1149:D1149"/>
    <mergeCell ref="B1154:E1154"/>
    <mergeCell ref="B1158:E1158"/>
    <mergeCell ref="B1168:E1168"/>
    <mergeCell ref="B1169:E1169"/>
    <mergeCell ref="A1284:G1284"/>
    <mergeCell ref="A1285:G1285"/>
    <mergeCell ref="A1286:G1286"/>
    <mergeCell ref="C1295:D1295"/>
    <mergeCell ref="C1296:D1296"/>
    <mergeCell ref="B1301:E1301"/>
    <mergeCell ref="B1305:E1305"/>
    <mergeCell ref="B1317:E1317"/>
    <mergeCell ref="B1318:E1318"/>
    <mergeCell ref="A1502:B1502"/>
    <mergeCell ref="D1502:G1502"/>
    <mergeCell ref="A1505:B1505"/>
    <mergeCell ref="E1505:F1505"/>
    <mergeCell ref="A1470:G1470"/>
    <mergeCell ref="A1471:G1471"/>
    <mergeCell ref="C1480:D1480"/>
    <mergeCell ref="C1481:D1481"/>
    <mergeCell ref="B1486:E1486"/>
    <mergeCell ref="B1490:E1490"/>
    <mergeCell ref="B1498:E1498"/>
    <mergeCell ref="B1499:E1499"/>
    <mergeCell ref="A1501:B1501"/>
    <mergeCell ref="D1501:G1501"/>
    <mergeCell ref="D1171:F1171"/>
    <mergeCell ref="D1172:F1172"/>
    <mergeCell ref="D1176:F1176"/>
    <mergeCell ref="A1896:B1896"/>
    <mergeCell ref="D1896:F1896"/>
    <mergeCell ref="A1897:B1897"/>
    <mergeCell ref="D1897:F1897"/>
    <mergeCell ref="A1320:B1320"/>
    <mergeCell ref="D1320:G1320"/>
    <mergeCell ref="A1321:B1321"/>
    <mergeCell ref="D1321:G1321"/>
    <mergeCell ref="A1324:B1324"/>
    <mergeCell ref="E1324:F1324"/>
    <mergeCell ref="A1325:B1325"/>
    <mergeCell ref="A1507:G1507"/>
    <mergeCell ref="A1508:G1508"/>
    <mergeCell ref="D1325:G1325"/>
    <mergeCell ref="A1506:B1506"/>
    <mergeCell ref="D1506:G1506"/>
    <mergeCell ref="A1466:B1466"/>
    <mergeCell ref="E1466:F1466"/>
    <mergeCell ref="A1467:B1467"/>
    <mergeCell ref="D1467:G1467"/>
    <mergeCell ref="A1469:G1469"/>
    <mergeCell ref="A1900:B1900"/>
    <mergeCell ref="D1900:F1900"/>
    <mergeCell ref="A1922:B1922"/>
    <mergeCell ref="D1922:F1922"/>
    <mergeCell ref="A1923:B1923"/>
    <mergeCell ref="D1923:F1923"/>
    <mergeCell ref="A1926:B1926"/>
    <mergeCell ref="E1926:F1926"/>
    <mergeCell ref="A1927:B1927"/>
    <mergeCell ref="D1927:F1927"/>
    <mergeCell ref="A2236:B2236"/>
    <mergeCell ref="D2236:F2236"/>
    <mergeCell ref="A2237:B2237"/>
    <mergeCell ref="D2237:F2237"/>
    <mergeCell ref="A2240:B2240"/>
    <mergeCell ref="E2240:F2240"/>
    <mergeCell ref="A2241:B2241"/>
    <mergeCell ref="D2241:F2241"/>
    <mergeCell ref="A2490:B2490"/>
    <mergeCell ref="D2490:F2490"/>
    <mergeCell ref="C2253:D2253"/>
    <mergeCell ref="A2244:G2244"/>
    <mergeCell ref="A2245:G2245"/>
    <mergeCell ref="A2246:G2246"/>
    <mergeCell ref="B2323:E2323"/>
    <mergeCell ref="A2324:B2324"/>
    <mergeCell ref="D2324:F2324"/>
    <mergeCell ref="A2377:B2377"/>
    <mergeCell ref="D2377:F2377"/>
    <mergeCell ref="A2380:B2380"/>
    <mergeCell ref="E2380:F2380"/>
    <mergeCell ref="A2381:B2381"/>
    <mergeCell ref="D2325:F2325"/>
    <mergeCell ref="A2334:G2334"/>
    <mergeCell ref="A2543:B2543"/>
    <mergeCell ref="E2543:F2543"/>
    <mergeCell ref="A2544:B2544"/>
    <mergeCell ref="D2544:F2544"/>
    <mergeCell ref="A2491:B2491"/>
    <mergeCell ref="D2491:F2491"/>
    <mergeCell ref="A2494:B2494"/>
    <mergeCell ref="E2494:F2494"/>
    <mergeCell ref="A2495:B2495"/>
    <mergeCell ref="D2495:F2495"/>
    <mergeCell ref="A2539:B2539"/>
    <mergeCell ref="D2539:F2539"/>
    <mergeCell ref="A2540:B2540"/>
    <mergeCell ref="D2540:F2540"/>
  </mergeCells>
  <pageMargins left="0.7" right="0.7" top="0.75" bottom="2" header="0.3" footer="0.3"/>
  <pageSetup paperSize="5" scale="85" orientation="portrait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207"/>
  <sheetViews>
    <sheetView tabSelected="1" zoomScaleNormal="100" workbookViewId="0">
      <pane ySplit="1455" topLeftCell="A701" activePane="bottomLeft"/>
      <selection activeCell="F8" sqref="F8"/>
      <selection pane="bottomLeft" activeCell="E706" sqref="E706"/>
    </sheetView>
  </sheetViews>
  <sheetFormatPr defaultRowHeight="15" x14ac:dyDescent="0.25"/>
  <cols>
    <col min="1" max="1" width="13.5703125" customWidth="1"/>
    <col min="2" max="2" width="28.7109375" customWidth="1"/>
    <col min="3" max="3" width="6.28515625" customWidth="1"/>
    <col min="4" max="4" width="6.42578125" customWidth="1"/>
    <col min="5" max="5" width="15.7109375" customWidth="1"/>
    <col min="6" max="6" width="18.5703125" customWidth="1"/>
    <col min="7" max="7" width="9.28515625" style="991" customWidth="1"/>
    <col min="8" max="8" width="14.140625" customWidth="1"/>
    <col min="10" max="10" width="25" customWidth="1"/>
    <col min="11" max="11" width="20.140625" customWidth="1"/>
    <col min="12" max="12" width="17.85546875" customWidth="1"/>
    <col min="13" max="13" width="19.85546875" customWidth="1"/>
    <col min="14" max="14" width="17.85546875" customWidth="1"/>
    <col min="15" max="15" width="16.140625" customWidth="1"/>
    <col min="16" max="16" width="16" customWidth="1"/>
    <col min="17" max="17" width="18.5703125" customWidth="1"/>
    <col min="18" max="18" width="16.42578125" customWidth="1"/>
    <col min="19" max="19" width="16.5703125" customWidth="1"/>
    <col min="20" max="20" width="17.85546875" customWidth="1"/>
    <col min="21" max="21" width="17" customWidth="1"/>
    <col min="22" max="22" width="16.28515625" customWidth="1"/>
    <col min="23" max="23" width="17.7109375" customWidth="1"/>
    <col min="24" max="24" width="15.42578125" customWidth="1"/>
    <col min="25" max="25" width="13.42578125" customWidth="1"/>
    <col min="26" max="26" width="15.28515625" customWidth="1"/>
    <col min="27" max="27" width="16.7109375" customWidth="1"/>
  </cols>
  <sheetData>
    <row r="1" spans="1:27" ht="30" x14ac:dyDescent="0.25">
      <c r="A1" s="2140" t="s">
        <v>0</v>
      </c>
      <c r="B1" s="2140"/>
      <c r="C1" s="2140"/>
      <c r="D1" s="2140"/>
      <c r="E1" s="2140"/>
      <c r="F1" s="2140"/>
      <c r="G1" s="2140"/>
      <c r="J1" s="105" t="s">
        <v>1410</v>
      </c>
      <c r="K1" s="105" t="s">
        <v>1220</v>
      </c>
      <c r="L1" s="105" t="s">
        <v>1506</v>
      </c>
      <c r="M1" s="105" t="s">
        <v>2177</v>
      </c>
      <c r="N1" s="105" t="s">
        <v>1365</v>
      </c>
      <c r="O1" s="1150" t="s">
        <v>3294</v>
      </c>
      <c r="P1" s="105" t="s">
        <v>3295</v>
      </c>
      <c r="Q1" s="105" t="s">
        <v>1223</v>
      </c>
      <c r="R1" s="105" t="s">
        <v>2178</v>
      </c>
      <c r="S1" s="105" t="s">
        <v>2179</v>
      </c>
      <c r="T1" s="105" t="s">
        <v>1777</v>
      </c>
      <c r="U1" s="105" t="s">
        <v>1775</v>
      </c>
      <c r="V1" s="105" t="s">
        <v>2253</v>
      </c>
      <c r="W1" s="105" t="s">
        <v>3296</v>
      </c>
      <c r="X1" s="1150" t="s">
        <v>3297</v>
      </c>
      <c r="Y1" s="1150" t="s">
        <v>3298</v>
      </c>
      <c r="Z1" s="105" t="s">
        <v>3299</v>
      </c>
      <c r="AA1" s="105" t="s">
        <v>3300</v>
      </c>
    </row>
    <row r="2" spans="1:27" x14ac:dyDescent="0.25">
      <c r="A2" s="2140" t="s">
        <v>1</v>
      </c>
      <c r="B2" s="2140"/>
      <c r="C2" s="2140"/>
      <c r="D2" s="2140"/>
      <c r="E2" s="2140"/>
      <c r="F2" s="2140"/>
      <c r="G2" s="2140"/>
      <c r="J2" s="68">
        <f t="shared" ref="J2:AA2" si="0">SUM(J3:J1206)</f>
        <v>0</v>
      </c>
      <c r="K2" s="68">
        <f t="shared" si="0"/>
        <v>92986000</v>
      </c>
      <c r="L2" s="68">
        <f t="shared" si="0"/>
        <v>229595000</v>
      </c>
      <c r="M2" s="68">
        <f t="shared" si="0"/>
        <v>14140000</v>
      </c>
      <c r="N2" s="68">
        <f t="shared" si="0"/>
        <v>2450000000</v>
      </c>
      <c r="O2" s="68">
        <f t="shared" si="0"/>
        <v>0</v>
      </c>
      <c r="P2" s="68">
        <f t="shared" si="0"/>
        <v>0</v>
      </c>
      <c r="Q2" s="68">
        <f t="shared" si="0"/>
        <v>20000000</v>
      </c>
      <c r="R2" s="68">
        <f t="shared" si="0"/>
        <v>0</v>
      </c>
      <c r="S2" s="68">
        <f t="shared" si="0"/>
        <v>0</v>
      </c>
      <c r="T2" s="68">
        <f t="shared" si="0"/>
        <v>296597000</v>
      </c>
      <c r="U2" s="68">
        <f t="shared" si="0"/>
        <v>590626000</v>
      </c>
      <c r="V2" s="68">
        <f t="shared" si="0"/>
        <v>9720132.1799999997</v>
      </c>
      <c r="W2" s="68">
        <f t="shared" si="0"/>
        <v>0</v>
      </c>
      <c r="X2" s="68">
        <f t="shared" si="0"/>
        <v>28682584.66</v>
      </c>
      <c r="Y2" s="68">
        <f t="shared" si="0"/>
        <v>120000</v>
      </c>
      <c r="Z2" s="68">
        <f t="shared" si="0"/>
        <v>0</v>
      </c>
      <c r="AA2" s="68">
        <f t="shared" si="0"/>
        <v>45000000</v>
      </c>
    </row>
    <row r="3" spans="1:27" x14ac:dyDescent="0.25">
      <c r="A3" s="2140" t="s">
        <v>2398</v>
      </c>
      <c r="B3" s="2140"/>
      <c r="C3" s="2140"/>
      <c r="D3" s="2140"/>
      <c r="E3" s="2140"/>
      <c r="F3" s="2140"/>
      <c r="G3" s="2140"/>
    </row>
    <row r="4" spans="1:27" x14ac:dyDescent="0.25">
      <c r="A4" s="148"/>
      <c r="B4" s="504"/>
      <c r="C4" s="148"/>
      <c r="D4" s="148"/>
      <c r="E4" s="148"/>
      <c r="F4" s="148"/>
      <c r="G4" s="148"/>
    </row>
    <row r="5" spans="1:27" x14ac:dyDescent="0.25">
      <c r="A5" s="226" t="s">
        <v>251</v>
      </c>
      <c r="B5" s="228" t="s">
        <v>827</v>
      </c>
      <c r="C5" s="226"/>
      <c r="D5" s="226"/>
      <c r="E5" s="364"/>
      <c r="F5" s="364"/>
      <c r="G5" s="393"/>
    </row>
    <row r="6" spans="1:27" ht="25.5" x14ac:dyDescent="0.25">
      <c r="A6" s="226" t="s">
        <v>252</v>
      </c>
      <c r="B6" s="594" t="s">
        <v>828</v>
      </c>
      <c r="C6" s="226"/>
      <c r="D6" s="226"/>
      <c r="E6" s="154" t="s">
        <v>6</v>
      </c>
      <c r="F6" s="154" t="s">
        <v>62</v>
      </c>
      <c r="G6" s="393"/>
    </row>
    <row r="7" spans="1:27" ht="51" x14ac:dyDescent="0.25">
      <c r="A7" s="228" t="s">
        <v>253</v>
      </c>
      <c r="B7" s="228" t="s">
        <v>829</v>
      </c>
      <c r="C7" s="228"/>
      <c r="D7" s="228"/>
      <c r="E7" s="488" t="s">
        <v>482</v>
      </c>
      <c r="F7" s="488"/>
      <c r="G7" s="393"/>
    </row>
    <row r="8" spans="1:27" x14ac:dyDescent="0.25">
      <c r="A8" s="190" t="s">
        <v>59</v>
      </c>
      <c r="B8" s="229" t="s">
        <v>60</v>
      </c>
      <c r="C8" s="190"/>
      <c r="D8" s="152"/>
      <c r="E8" s="152"/>
      <c r="F8" s="152"/>
      <c r="G8" s="393"/>
    </row>
    <row r="9" spans="1:27" x14ac:dyDescent="0.25">
      <c r="A9" s="190" t="s">
        <v>61</v>
      </c>
      <c r="B9" s="229" t="s">
        <v>62</v>
      </c>
      <c r="C9" s="190"/>
      <c r="D9" s="1952"/>
      <c r="E9" s="1952"/>
      <c r="F9" s="152"/>
      <c r="G9" s="393"/>
    </row>
    <row r="10" spans="1:27" x14ac:dyDescent="0.25">
      <c r="A10" s="151"/>
      <c r="B10" s="151"/>
      <c r="C10" s="151"/>
      <c r="D10" s="151"/>
      <c r="E10" s="151"/>
      <c r="F10" s="151"/>
      <c r="G10" s="393"/>
    </row>
    <row r="11" spans="1:27" ht="24" x14ac:dyDescent="0.25">
      <c r="A11" s="343" t="s">
        <v>255</v>
      </c>
      <c r="B11" s="343" t="s">
        <v>11</v>
      </c>
      <c r="C11" s="1929" t="s">
        <v>12</v>
      </c>
      <c r="D11" s="1930"/>
      <c r="E11" s="595" t="s">
        <v>13</v>
      </c>
      <c r="F11" s="344" t="s">
        <v>14</v>
      </c>
      <c r="G11" s="700" t="s">
        <v>256</v>
      </c>
    </row>
    <row r="12" spans="1:27" x14ac:dyDescent="0.25">
      <c r="A12" s="162">
        <v>1</v>
      </c>
      <c r="B12" s="162">
        <v>2</v>
      </c>
      <c r="C12" s="1959">
        <v>3</v>
      </c>
      <c r="D12" s="1960"/>
      <c r="E12" s="232">
        <v>4</v>
      </c>
      <c r="F12" s="231">
        <v>5</v>
      </c>
      <c r="G12" s="417">
        <v>6</v>
      </c>
    </row>
    <row r="13" spans="1:27" x14ac:dyDescent="0.25">
      <c r="A13" s="596" t="s">
        <v>830</v>
      </c>
      <c r="B13" s="317" t="s">
        <v>304</v>
      </c>
      <c r="C13" s="231"/>
      <c r="D13" s="255"/>
      <c r="E13" s="597"/>
      <c r="F13" s="162"/>
      <c r="G13" s="410"/>
    </row>
    <row r="14" spans="1:27" x14ac:dyDescent="0.25">
      <c r="A14" s="596" t="s">
        <v>831</v>
      </c>
      <c r="B14" s="317" t="s">
        <v>84</v>
      </c>
      <c r="C14" s="231"/>
      <c r="D14" s="255"/>
      <c r="E14" s="597"/>
      <c r="F14" s="162"/>
      <c r="G14" s="410"/>
    </row>
    <row r="15" spans="1:27" ht="24" x14ac:dyDescent="0.25">
      <c r="A15" s="596" t="s">
        <v>832</v>
      </c>
      <c r="B15" s="598" t="s">
        <v>307</v>
      </c>
      <c r="C15" s="424"/>
      <c r="D15" s="599"/>
      <c r="E15" s="600"/>
      <c r="F15" s="601"/>
      <c r="G15" s="410"/>
    </row>
    <row r="16" spans="1:27" ht="36" x14ac:dyDescent="0.25">
      <c r="A16" s="596"/>
      <c r="B16" s="449" t="s">
        <v>2244</v>
      </c>
      <c r="C16" s="424">
        <f>35+13+3+2+1+4</f>
        <v>58</v>
      </c>
      <c r="D16" s="599" t="s">
        <v>269</v>
      </c>
      <c r="E16" s="602">
        <v>20000</v>
      </c>
      <c r="F16" s="601">
        <f>C16*E16</f>
        <v>1160000</v>
      </c>
      <c r="G16" s="410"/>
    </row>
    <row r="17" spans="1:23" ht="48" x14ac:dyDescent="0.25">
      <c r="A17" s="449"/>
      <c r="B17" s="449" t="s">
        <v>2245</v>
      </c>
      <c r="C17" s="424">
        <f>35+13+3+2+1+107+4</f>
        <v>165</v>
      </c>
      <c r="D17" s="599" t="s">
        <v>269</v>
      </c>
      <c r="E17" s="602">
        <v>20000</v>
      </c>
      <c r="F17" s="601">
        <f>C17*E17</f>
        <v>3300000</v>
      </c>
      <c r="G17" s="1154"/>
    </row>
    <row r="18" spans="1:23" x14ac:dyDescent="0.25">
      <c r="A18" s="596" t="s">
        <v>833</v>
      </c>
      <c r="B18" s="598" t="s">
        <v>310</v>
      </c>
      <c r="C18" s="424"/>
      <c r="D18" s="599"/>
      <c r="E18" s="602"/>
      <c r="F18" s="601"/>
      <c r="G18" s="410"/>
    </row>
    <row r="19" spans="1:23" x14ac:dyDescent="0.25">
      <c r="A19" s="603" t="s">
        <v>841</v>
      </c>
      <c r="B19" s="604" t="s">
        <v>273</v>
      </c>
      <c r="C19" s="605"/>
      <c r="D19" s="606"/>
      <c r="E19" s="607"/>
      <c r="F19" s="608"/>
      <c r="G19" s="410"/>
    </row>
    <row r="20" spans="1:23" x14ac:dyDescent="0.25">
      <c r="A20" s="603"/>
      <c r="B20" s="596" t="s">
        <v>422</v>
      </c>
      <c r="C20" s="609">
        <v>1</v>
      </c>
      <c r="D20" s="610" t="s">
        <v>90</v>
      </c>
      <c r="E20" s="608">
        <v>50000</v>
      </c>
      <c r="F20" s="608">
        <f>C20*E20</f>
        <v>50000</v>
      </c>
      <c r="G20" s="1154"/>
    </row>
    <row r="21" spans="1:23" ht="24" x14ac:dyDescent="0.25">
      <c r="A21" s="603"/>
      <c r="B21" s="596" t="s">
        <v>275</v>
      </c>
      <c r="C21" s="609">
        <v>5</v>
      </c>
      <c r="D21" s="610" t="s">
        <v>158</v>
      </c>
      <c r="E21" s="608">
        <v>1000</v>
      </c>
      <c r="F21" s="608">
        <f>C21*E21</f>
        <v>5000</v>
      </c>
      <c r="G21" s="1154"/>
    </row>
    <row r="22" spans="1:23" ht="24" x14ac:dyDescent="0.25">
      <c r="A22" s="603"/>
      <c r="B22" s="596" t="s">
        <v>289</v>
      </c>
      <c r="C22" s="609">
        <v>1</v>
      </c>
      <c r="D22" s="610" t="s">
        <v>290</v>
      </c>
      <c r="E22" s="608">
        <v>10000</v>
      </c>
      <c r="F22" s="608">
        <f>C22*E22</f>
        <v>10000</v>
      </c>
      <c r="G22" s="1154"/>
    </row>
    <row r="23" spans="1:23" x14ac:dyDescent="0.25">
      <c r="A23" s="596" t="s">
        <v>834</v>
      </c>
      <c r="B23" s="598" t="s">
        <v>294</v>
      </c>
      <c r="C23" s="424"/>
      <c r="D23" s="599"/>
      <c r="E23" s="600"/>
      <c r="F23" s="601"/>
      <c r="G23" s="1154"/>
    </row>
    <row r="24" spans="1:23" ht="24" x14ac:dyDescent="0.25">
      <c r="A24" s="596" t="s">
        <v>835</v>
      </c>
      <c r="B24" s="598" t="s">
        <v>3503</v>
      </c>
      <c r="C24" s="424">
        <v>33</v>
      </c>
      <c r="D24" s="599" t="s">
        <v>269</v>
      </c>
      <c r="E24" s="601">
        <v>100000</v>
      </c>
      <c r="F24" s="601">
        <f>C24*E24</f>
        <v>3300000</v>
      </c>
      <c r="G24" s="1154"/>
    </row>
    <row r="25" spans="1:23" x14ac:dyDescent="0.25">
      <c r="A25" s="383"/>
      <c r="B25" s="177"/>
      <c r="C25" s="1948"/>
      <c r="D25" s="1950"/>
      <c r="E25" s="179"/>
      <c r="F25" s="324"/>
      <c r="G25" s="205"/>
    </row>
    <row r="26" spans="1:23" x14ac:dyDescent="0.25">
      <c r="A26" s="384"/>
      <c r="B26" s="2141" t="s">
        <v>26</v>
      </c>
      <c r="C26" s="2142"/>
      <c r="D26" s="2142"/>
      <c r="E26" s="2143"/>
      <c r="F26" s="506">
        <f>SUM(F16:F24)</f>
        <v>7825000</v>
      </c>
      <c r="G26" s="410" t="s">
        <v>1220</v>
      </c>
      <c r="K26" s="23">
        <f>F26</f>
        <v>7825000</v>
      </c>
      <c r="L26" s="23"/>
      <c r="W26" s="23"/>
    </row>
    <row r="27" spans="1:23" x14ac:dyDescent="0.25">
      <c r="A27" s="1926" t="s">
        <v>516</v>
      </c>
      <c r="B27" s="1926"/>
      <c r="C27" s="152" t="s">
        <v>27</v>
      </c>
      <c r="D27" s="1926" t="s">
        <v>3654</v>
      </c>
      <c r="E27" s="1926"/>
      <c r="F27" s="1926"/>
      <c r="G27" s="152"/>
    </row>
    <row r="28" spans="1:23" x14ac:dyDescent="0.25">
      <c r="A28" s="1926" t="s">
        <v>28</v>
      </c>
      <c r="B28" s="1926"/>
      <c r="C28" s="152"/>
      <c r="D28" s="1927" t="s">
        <v>3567</v>
      </c>
      <c r="E28" s="1927"/>
      <c r="F28" s="1927"/>
      <c r="G28" s="152"/>
    </row>
    <row r="29" spans="1:23" x14ac:dyDescent="0.25">
      <c r="A29" s="150"/>
      <c r="B29" s="151"/>
      <c r="C29" s="152"/>
      <c r="D29" s="153"/>
      <c r="E29" s="1770"/>
      <c r="F29" s="182"/>
      <c r="G29" s="152"/>
    </row>
    <row r="30" spans="1:23" x14ac:dyDescent="0.25">
      <c r="A30" s="150"/>
      <c r="B30" s="151"/>
      <c r="C30" s="152"/>
      <c r="D30" s="153"/>
      <c r="E30" s="1770"/>
      <c r="F30" s="182"/>
      <c r="G30" s="152"/>
    </row>
    <row r="31" spans="1:23" x14ac:dyDescent="0.25">
      <c r="A31" s="1926"/>
      <c r="B31" s="1926"/>
      <c r="C31" s="152"/>
      <c r="D31" s="153"/>
      <c r="E31" s="1926"/>
      <c r="F31" s="1926"/>
      <c r="G31" s="152"/>
    </row>
    <row r="32" spans="1:23" x14ac:dyDescent="0.25">
      <c r="A32" s="1926" t="s">
        <v>29</v>
      </c>
      <c r="B32" s="1926"/>
      <c r="C32" s="152"/>
      <c r="D32" s="1926" t="s">
        <v>3568</v>
      </c>
      <c r="E32" s="1926"/>
      <c r="F32" s="1926"/>
      <c r="G32" s="152"/>
    </row>
    <row r="34" spans="1:7" x14ac:dyDescent="0.25">
      <c r="A34" s="2140" t="s">
        <v>0</v>
      </c>
      <c r="B34" s="2140"/>
      <c r="C34" s="2140"/>
      <c r="D34" s="2140"/>
      <c r="E34" s="2140"/>
      <c r="F34" s="2140"/>
      <c r="G34" s="2140"/>
    </row>
    <row r="35" spans="1:7" x14ac:dyDescent="0.25">
      <c r="A35" s="2140" t="s">
        <v>1</v>
      </c>
      <c r="B35" s="2140"/>
      <c r="C35" s="2140"/>
      <c r="D35" s="2140"/>
      <c r="E35" s="2140"/>
      <c r="F35" s="2140"/>
      <c r="G35" s="2140"/>
    </row>
    <row r="36" spans="1:7" x14ac:dyDescent="0.25">
      <c r="A36" s="2140" t="s">
        <v>2398</v>
      </c>
      <c r="B36" s="2140"/>
      <c r="C36" s="2140"/>
      <c r="D36" s="2140"/>
      <c r="E36" s="2140"/>
      <c r="F36" s="2140"/>
      <c r="G36" s="2140"/>
    </row>
    <row r="37" spans="1:7" x14ac:dyDescent="0.25">
      <c r="A37" s="148"/>
      <c r="B37" s="148"/>
      <c r="C37" s="148"/>
      <c r="D37" s="148"/>
      <c r="E37" s="148"/>
      <c r="F37" s="148"/>
      <c r="G37" s="148"/>
    </row>
    <row r="38" spans="1:7" x14ac:dyDescent="0.25">
      <c r="A38" s="226" t="s">
        <v>251</v>
      </c>
      <c r="B38" s="226" t="s">
        <v>827</v>
      </c>
      <c r="C38" s="226"/>
      <c r="D38" s="611"/>
      <c r="E38" s="612"/>
      <c r="F38" s="612"/>
      <c r="G38" s="393"/>
    </row>
    <row r="39" spans="1:7" ht="25.5" x14ac:dyDescent="0.25">
      <c r="A39" s="226" t="s">
        <v>252</v>
      </c>
      <c r="B39" s="594" t="s">
        <v>828</v>
      </c>
      <c r="C39" s="226"/>
      <c r="D39" s="611"/>
      <c r="E39" s="154" t="s">
        <v>6</v>
      </c>
      <c r="F39" s="154" t="s">
        <v>62</v>
      </c>
      <c r="G39" s="393"/>
    </row>
    <row r="40" spans="1:7" ht="51" x14ac:dyDescent="0.25">
      <c r="A40" s="228" t="s">
        <v>253</v>
      </c>
      <c r="B40" s="228" t="s">
        <v>836</v>
      </c>
      <c r="C40" s="228"/>
      <c r="D40" s="613"/>
      <c r="E40" s="488" t="s">
        <v>482</v>
      </c>
      <c r="F40" s="488" t="s">
        <v>62</v>
      </c>
      <c r="G40" s="393"/>
    </row>
    <row r="41" spans="1:7" x14ac:dyDescent="0.25">
      <c r="A41" s="614" t="s">
        <v>59</v>
      </c>
      <c r="B41" s="614" t="s">
        <v>60</v>
      </c>
      <c r="C41" s="614"/>
      <c r="D41" s="152"/>
      <c r="E41" s="152"/>
      <c r="F41" s="152"/>
      <c r="G41" s="393"/>
    </row>
    <row r="42" spans="1:7" x14ac:dyDescent="0.25">
      <c r="A42" s="614" t="s">
        <v>61</v>
      </c>
      <c r="B42" s="614" t="s">
        <v>62</v>
      </c>
      <c r="C42" s="614"/>
      <c r="D42" s="1952"/>
      <c r="E42" s="1952"/>
      <c r="F42" s="152"/>
      <c r="G42" s="393"/>
    </row>
    <row r="43" spans="1:7" x14ac:dyDescent="0.25">
      <c r="A43" s="151"/>
      <c r="B43" s="151"/>
      <c r="C43" s="151"/>
      <c r="D43" s="151"/>
      <c r="E43" s="151"/>
      <c r="F43" s="151"/>
      <c r="G43" s="393"/>
    </row>
    <row r="44" spans="1:7" ht="24" x14ac:dyDescent="0.25">
      <c r="A44" s="343" t="s">
        <v>255</v>
      </c>
      <c r="B44" s="343" t="s">
        <v>11</v>
      </c>
      <c r="C44" s="2080" t="s">
        <v>12</v>
      </c>
      <c r="D44" s="2080"/>
      <c r="E44" s="595" t="s">
        <v>13</v>
      </c>
      <c r="F44" s="344" t="s">
        <v>14</v>
      </c>
      <c r="G44" s="700" t="s">
        <v>256</v>
      </c>
    </row>
    <row r="45" spans="1:7" x14ac:dyDescent="0.25">
      <c r="A45" s="162">
        <v>1</v>
      </c>
      <c r="B45" s="162">
        <v>2</v>
      </c>
      <c r="C45" s="1959">
        <v>3</v>
      </c>
      <c r="D45" s="1960"/>
      <c r="E45" s="232">
        <v>4</v>
      </c>
      <c r="F45" s="231">
        <v>5</v>
      </c>
      <c r="G45" s="417">
        <v>6</v>
      </c>
    </row>
    <row r="46" spans="1:7" x14ac:dyDescent="0.25">
      <c r="A46" s="596" t="s">
        <v>830</v>
      </c>
      <c r="B46" s="317" t="s">
        <v>304</v>
      </c>
      <c r="C46" s="231"/>
      <c r="D46" s="255"/>
      <c r="E46" s="597"/>
      <c r="F46" s="162"/>
      <c r="G46" s="410"/>
    </row>
    <row r="47" spans="1:7" x14ac:dyDescent="0.25">
      <c r="A47" s="596" t="s">
        <v>831</v>
      </c>
      <c r="B47" s="317" t="s">
        <v>84</v>
      </c>
      <c r="C47" s="231"/>
      <c r="D47" s="255"/>
      <c r="E47" s="597"/>
      <c r="F47" s="162"/>
      <c r="G47" s="410"/>
    </row>
    <row r="48" spans="1:7" ht="24" x14ac:dyDescent="0.25">
      <c r="A48" s="596" t="s">
        <v>832</v>
      </c>
      <c r="B48" s="598" t="s">
        <v>307</v>
      </c>
      <c r="C48" s="424"/>
      <c r="D48" s="599"/>
      <c r="E48" s="600"/>
      <c r="F48" s="601"/>
      <c r="G48" s="410"/>
    </row>
    <row r="49" spans="1:22" ht="36" x14ac:dyDescent="0.25">
      <c r="A49" s="596"/>
      <c r="B49" s="449" t="s">
        <v>2246</v>
      </c>
      <c r="C49" s="424">
        <v>60</v>
      </c>
      <c r="D49" s="599" t="s">
        <v>269</v>
      </c>
      <c r="E49" s="602">
        <v>20000</v>
      </c>
      <c r="F49" s="601">
        <f>C49*E49</f>
        <v>1200000</v>
      </c>
      <c r="G49" s="410"/>
    </row>
    <row r="50" spans="1:22" ht="48" x14ac:dyDescent="0.25">
      <c r="A50" s="449"/>
      <c r="B50" s="449" t="s">
        <v>2245</v>
      </c>
      <c r="C50" s="424">
        <v>165</v>
      </c>
      <c r="D50" s="599" t="s">
        <v>269</v>
      </c>
      <c r="E50" s="602">
        <v>20000</v>
      </c>
      <c r="F50" s="601">
        <f>C50*E50</f>
        <v>3300000</v>
      </c>
      <c r="G50" s="1154"/>
    </row>
    <row r="51" spans="1:22" x14ac:dyDescent="0.25">
      <c r="A51" s="596" t="s">
        <v>833</v>
      </c>
      <c r="B51" s="598" t="s">
        <v>3555</v>
      </c>
      <c r="C51" s="424"/>
      <c r="D51" s="599"/>
      <c r="E51" s="600"/>
      <c r="F51" s="601"/>
      <c r="G51" s="410"/>
    </row>
    <row r="52" spans="1:22" x14ac:dyDescent="0.25">
      <c r="A52" s="596"/>
      <c r="B52" s="449" t="s">
        <v>3556</v>
      </c>
      <c r="C52" s="424">
        <v>1</v>
      </c>
      <c r="D52" s="599" t="s">
        <v>110</v>
      </c>
      <c r="E52" s="1758">
        <v>255132.1799999997</v>
      </c>
      <c r="F52" s="601">
        <f>E52*C52</f>
        <v>255132.1799999997</v>
      </c>
      <c r="G52" s="410"/>
    </row>
    <row r="53" spans="1:22" x14ac:dyDescent="0.25">
      <c r="A53" s="603" t="s">
        <v>841</v>
      </c>
      <c r="B53" s="604" t="s">
        <v>273</v>
      </c>
      <c r="C53" s="605"/>
      <c r="D53" s="606"/>
      <c r="E53" s="607"/>
      <c r="F53" s="608"/>
      <c r="G53" s="410"/>
    </row>
    <row r="54" spans="1:22" x14ac:dyDescent="0.25">
      <c r="A54" s="603"/>
      <c r="B54" s="596" t="s">
        <v>422</v>
      </c>
      <c r="C54" s="609">
        <v>1</v>
      </c>
      <c r="D54" s="610" t="s">
        <v>90</v>
      </c>
      <c r="E54" s="608">
        <v>50000</v>
      </c>
      <c r="F54" s="608">
        <f>C54*E54</f>
        <v>50000</v>
      </c>
      <c r="G54" s="1154"/>
    </row>
    <row r="55" spans="1:22" ht="24" x14ac:dyDescent="0.25">
      <c r="A55" s="603"/>
      <c r="B55" s="596" t="s">
        <v>275</v>
      </c>
      <c r="C55" s="609">
        <v>5</v>
      </c>
      <c r="D55" s="610" t="s">
        <v>158</v>
      </c>
      <c r="E55" s="608">
        <v>1000</v>
      </c>
      <c r="F55" s="608">
        <f>C55*E55</f>
        <v>5000</v>
      </c>
      <c r="G55" s="1154"/>
    </row>
    <row r="56" spans="1:22" ht="24" x14ac:dyDescent="0.25">
      <c r="A56" s="603"/>
      <c r="B56" s="596" t="s">
        <v>289</v>
      </c>
      <c r="C56" s="609">
        <v>1</v>
      </c>
      <c r="D56" s="610" t="s">
        <v>290</v>
      </c>
      <c r="E56" s="608">
        <v>10000</v>
      </c>
      <c r="F56" s="608">
        <f>C56*E56</f>
        <v>10000</v>
      </c>
      <c r="G56" s="1154"/>
    </row>
    <row r="57" spans="1:22" x14ac:dyDescent="0.25">
      <c r="A57" s="596" t="s">
        <v>834</v>
      </c>
      <c r="B57" s="598" t="s">
        <v>294</v>
      </c>
      <c r="C57" s="424"/>
      <c r="D57" s="599"/>
      <c r="E57" s="600"/>
      <c r="F57" s="601"/>
      <c r="G57" s="1154"/>
    </row>
    <row r="58" spans="1:22" ht="36" x14ac:dyDescent="0.25">
      <c r="A58" s="596" t="s">
        <v>835</v>
      </c>
      <c r="B58" s="598" t="s">
        <v>3504</v>
      </c>
      <c r="C58" s="424">
        <f>33+3+13</f>
        <v>49</v>
      </c>
      <c r="D58" s="599" t="s">
        <v>269</v>
      </c>
      <c r="E58" s="601">
        <v>100000</v>
      </c>
      <c r="F58" s="601">
        <f>C58*E58</f>
        <v>4900000</v>
      </c>
      <c r="G58" s="1154"/>
    </row>
    <row r="59" spans="1:22" x14ac:dyDescent="0.25">
      <c r="A59" s="383"/>
      <c r="B59" s="177"/>
      <c r="C59" s="1948"/>
      <c r="D59" s="1950"/>
      <c r="E59" s="179"/>
      <c r="F59" s="324"/>
      <c r="G59" s="205"/>
    </row>
    <row r="60" spans="1:22" x14ac:dyDescent="0.25">
      <c r="A60" s="384"/>
      <c r="B60" s="2141" t="s">
        <v>26</v>
      </c>
      <c r="C60" s="2142"/>
      <c r="D60" s="2142"/>
      <c r="E60" s="2143"/>
      <c r="F60" s="506">
        <f>SUM(F49:F58)</f>
        <v>9720132.1799999997</v>
      </c>
      <c r="G60" s="410" t="s">
        <v>3540</v>
      </c>
      <c r="U60" s="23"/>
      <c r="V60" s="23">
        <f>F60</f>
        <v>9720132.1799999997</v>
      </c>
    </row>
    <row r="61" spans="1:22" x14ac:dyDescent="0.25">
      <c r="A61" s="1926" t="s">
        <v>516</v>
      </c>
      <c r="B61" s="1926"/>
      <c r="C61" s="152" t="s">
        <v>27</v>
      </c>
      <c r="D61" s="1926" t="s">
        <v>3654</v>
      </c>
      <c r="E61" s="1926"/>
      <c r="F61" s="1926"/>
      <c r="G61" s="152"/>
    </row>
    <row r="62" spans="1:22" x14ac:dyDescent="0.25">
      <c r="A62" s="1926" t="s">
        <v>28</v>
      </c>
      <c r="B62" s="1926"/>
      <c r="C62" s="152"/>
      <c r="D62" s="1927" t="s">
        <v>3567</v>
      </c>
      <c r="E62" s="1927"/>
      <c r="F62" s="1927"/>
      <c r="G62" s="152"/>
    </row>
    <row r="63" spans="1:22" x14ac:dyDescent="0.25">
      <c r="A63" s="150"/>
      <c r="B63" s="151"/>
      <c r="C63" s="152"/>
      <c r="D63" s="153"/>
      <c r="E63" s="1770"/>
      <c r="F63" s="182"/>
      <c r="G63" s="152"/>
    </row>
    <row r="64" spans="1:22" x14ac:dyDescent="0.25">
      <c r="A64" s="150"/>
      <c r="B64" s="151"/>
      <c r="C64" s="152"/>
      <c r="D64" s="153"/>
      <c r="E64" s="1770"/>
      <c r="F64" s="182"/>
      <c r="G64" s="152"/>
    </row>
    <row r="65" spans="1:7" x14ac:dyDescent="0.25">
      <c r="A65" s="1926"/>
      <c r="B65" s="1926"/>
      <c r="C65" s="152"/>
      <c r="D65" s="153"/>
      <c r="E65" s="1926"/>
      <c r="F65" s="1926"/>
      <c r="G65" s="152"/>
    </row>
    <row r="66" spans="1:7" x14ac:dyDescent="0.25">
      <c r="A66" s="1926" t="s">
        <v>29</v>
      </c>
      <c r="B66" s="1926"/>
      <c r="C66" s="152"/>
      <c r="D66" s="1926" t="s">
        <v>3568</v>
      </c>
      <c r="E66" s="1926"/>
      <c r="F66" s="1926"/>
      <c r="G66" s="152"/>
    </row>
    <row r="68" spans="1:7" x14ac:dyDescent="0.25">
      <c r="A68" s="1956" t="s">
        <v>0</v>
      </c>
      <c r="B68" s="1956"/>
      <c r="C68" s="1956"/>
      <c r="D68" s="1956"/>
      <c r="E68" s="1956"/>
      <c r="F68" s="1956"/>
      <c r="G68" s="1956"/>
    </row>
    <row r="69" spans="1:7" x14ac:dyDescent="0.25">
      <c r="A69" s="1956" t="s">
        <v>1</v>
      </c>
      <c r="B69" s="1956"/>
      <c r="C69" s="1956"/>
      <c r="D69" s="1956"/>
      <c r="E69" s="1956"/>
      <c r="F69" s="1956"/>
      <c r="G69" s="1956"/>
    </row>
    <row r="70" spans="1:7" x14ac:dyDescent="0.25">
      <c r="A70" s="1956" t="s">
        <v>2398</v>
      </c>
      <c r="B70" s="1956"/>
      <c r="C70" s="1956"/>
      <c r="D70" s="1956"/>
      <c r="E70" s="1956"/>
      <c r="F70" s="1956"/>
      <c r="G70" s="1956"/>
    </row>
    <row r="71" spans="1:7" x14ac:dyDescent="0.25">
      <c r="A71" s="259"/>
      <c r="B71" s="615"/>
      <c r="C71" s="259"/>
      <c r="D71" s="615"/>
      <c r="E71" s="259"/>
      <c r="F71" s="259"/>
      <c r="G71" s="504"/>
    </row>
    <row r="72" spans="1:7" ht="30" x14ac:dyDescent="0.25">
      <c r="A72" s="563" t="s">
        <v>458</v>
      </c>
      <c r="B72" s="268" t="s">
        <v>827</v>
      </c>
      <c r="C72" s="563"/>
      <c r="D72" s="616"/>
      <c r="E72" s="260"/>
      <c r="F72" s="563"/>
      <c r="G72" s="405"/>
    </row>
    <row r="73" spans="1:7" x14ac:dyDescent="0.25">
      <c r="A73" s="566" t="s">
        <v>837</v>
      </c>
      <c r="B73" s="2144" t="s">
        <v>838</v>
      </c>
      <c r="C73" s="2144"/>
      <c r="D73" s="579"/>
      <c r="E73" s="262" t="s">
        <v>6</v>
      </c>
      <c r="F73" s="262"/>
      <c r="G73" s="405"/>
    </row>
    <row r="74" spans="1:7" ht="60" x14ac:dyDescent="0.25">
      <c r="A74" s="566" t="s">
        <v>839</v>
      </c>
      <c r="B74" s="580" t="s">
        <v>1240</v>
      </c>
      <c r="C74" s="580"/>
      <c r="D74" s="579"/>
      <c r="E74" s="565" t="s">
        <v>9</v>
      </c>
      <c r="F74" s="565"/>
      <c r="G74" s="405"/>
    </row>
    <row r="75" spans="1:7" x14ac:dyDescent="0.25">
      <c r="A75" s="260" t="s">
        <v>59</v>
      </c>
      <c r="B75" s="268" t="s">
        <v>60</v>
      </c>
      <c r="C75" s="260"/>
      <c r="D75" s="268"/>
      <c r="E75" s="260"/>
      <c r="F75" s="260"/>
      <c r="G75" s="405"/>
    </row>
    <row r="76" spans="1:7" x14ac:dyDescent="0.25">
      <c r="A76" s="260" t="s">
        <v>61</v>
      </c>
      <c r="B76" s="268" t="s">
        <v>62</v>
      </c>
      <c r="C76" s="260"/>
      <c r="D76" s="1957"/>
      <c r="E76" s="1957"/>
      <c r="F76" s="260"/>
      <c r="G76" s="405"/>
    </row>
    <row r="77" spans="1:7" ht="30" x14ac:dyDescent="0.25">
      <c r="A77" s="269" t="s">
        <v>255</v>
      </c>
      <c r="B77" s="269" t="s">
        <v>11</v>
      </c>
      <c r="C77" s="1962" t="s">
        <v>12</v>
      </c>
      <c r="D77" s="1962"/>
      <c r="E77" s="270" t="s">
        <v>13</v>
      </c>
      <c r="F77" s="269" t="s">
        <v>14</v>
      </c>
      <c r="G77" s="408" t="s">
        <v>256</v>
      </c>
    </row>
    <row r="78" spans="1:7" x14ac:dyDescent="0.25">
      <c r="A78" s="281">
        <v>1</v>
      </c>
      <c r="B78" s="269">
        <v>2</v>
      </c>
      <c r="C78" s="1965">
        <v>3</v>
      </c>
      <c r="D78" s="1966"/>
      <c r="E78" s="569">
        <v>4</v>
      </c>
      <c r="F78" s="279">
        <v>5</v>
      </c>
      <c r="G78" s="397">
        <v>10</v>
      </c>
    </row>
    <row r="79" spans="1:7" x14ac:dyDescent="0.25">
      <c r="A79" s="617" t="s">
        <v>830</v>
      </c>
      <c r="B79" s="573" t="s">
        <v>462</v>
      </c>
      <c r="C79" s="618"/>
      <c r="D79" s="619"/>
      <c r="E79" s="620"/>
      <c r="F79" s="621"/>
      <c r="G79" s="410"/>
    </row>
    <row r="80" spans="1:7" ht="28.5" x14ac:dyDescent="0.25">
      <c r="A80" s="617" t="s">
        <v>831</v>
      </c>
      <c r="B80" s="573" t="s">
        <v>84</v>
      </c>
      <c r="C80" s="618"/>
      <c r="D80" s="619"/>
      <c r="E80" s="620"/>
      <c r="F80" s="621"/>
      <c r="G80" s="410"/>
    </row>
    <row r="81" spans="1:20" x14ac:dyDescent="0.25">
      <c r="A81" s="617" t="s">
        <v>1241</v>
      </c>
      <c r="B81" s="573" t="s">
        <v>795</v>
      </c>
      <c r="C81" s="618"/>
      <c r="D81" s="619"/>
      <c r="E81" s="620"/>
      <c r="F81" s="621"/>
      <c r="G81" s="410"/>
    </row>
    <row r="82" spans="1:20" x14ac:dyDescent="0.25">
      <c r="A82" s="617"/>
      <c r="B82" s="622" t="s">
        <v>548</v>
      </c>
      <c r="C82" s="271">
        <v>1</v>
      </c>
      <c r="D82" s="277" t="s">
        <v>90</v>
      </c>
      <c r="E82" s="620">
        <v>93000</v>
      </c>
      <c r="F82" s="623">
        <v>93000</v>
      </c>
      <c r="G82" s="410" t="s">
        <v>1220</v>
      </c>
      <c r="K82" s="27">
        <f>F82</f>
        <v>93000</v>
      </c>
    </row>
    <row r="83" spans="1:20" x14ac:dyDescent="0.25">
      <c r="A83" s="617"/>
      <c r="B83" s="622" t="s">
        <v>2247</v>
      </c>
      <c r="C83" s="271">
        <v>1</v>
      </c>
      <c r="D83" s="277" t="s">
        <v>90</v>
      </c>
      <c r="E83" s="620">
        <v>93000</v>
      </c>
      <c r="F83" s="623">
        <v>93000</v>
      </c>
      <c r="G83" s="410" t="s">
        <v>1220</v>
      </c>
      <c r="K83" s="27">
        <f>F83</f>
        <v>93000</v>
      </c>
    </row>
    <row r="84" spans="1:20" ht="57" x14ac:dyDescent="0.25">
      <c r="A84" s="617" t="s">
        <v>1242</v>
      </c>
      <c r="B84" s="573" t="s">
        <v>844</v>
      </c>
      <c r="C84" s="271"/>
      <c r="D84" s="277"/>
      <c r="E84" s="623"/>
      <c r="F84" s="623"/>
      <c r="G84" s="177"/>
    </row>
    <row r="85" spans="1:20" ht="30" x14ac:dyDescent="0.25">
      <c r="A85" s="276"/>
      <c r="B85" s="622" t="s">
        <v>845</v>
      </c>
      <c r="C85" s="271">
        <v>1</v>
      </c>
      <c r="D85" s="277" t="s">
        <v>846</v>
      </c>
      <c r="E85" s="623">
        <v>9000000</v>
      </c>
      <c r="F85" s="623">
        <f>C85*E85</f>
        <v>9000000</v>
      </c>
      <c r="G85" s="410" t="s">
        <v>1220</v>
      </c>
      <c r="K85" s="27">
        <f>F85</f>
        <v>9000000</v>
      </c>
    </row>
    <row r="86" spans="1:20" ht="30" x14ac:dyDescent="0.25">
      <c r="A86" s="276"/>
      <c r="B86" s="622" t="s">
        <v>847</v>
      </c>
      <c r="C86" s="271">
        <v>2</v>
      </c>
      <c r="D86" s="277" t="s">
        <v>848</v>
      </c>
      <c r="E86" s="623">
        <v>3000000</v>
      </c>
      <c r="F86" s="623">
        <f>C86*E86</f>
        <v>6000000</v>
      </c>
      <c r="G86" s="410" t="s">
        <v>1220</v>
      </c>
      <c r="K86" s="27">
        <f>F86</f>
        <v>6000000</v>
      </c>
    </row>
    <row r="87" spans="1:20" x14ac:dyDescent="0.25">
      <c r="A87" s="617" t="s">
        <v>834</v>
      </c>
      <c r="B87" s="573" t="s">
        <v>294</v>
      </c>
      <c r="C87" s="271"/>
      <c r="D87" s="277"/>
      <c r="E87" s="624"/>
      <c r="F87" s="623"/>
      <c r="G87" s="410"/>
    </row>
    <row r="88" spans="1:20" ht="43.5" x14ac:dyDescent="0.25">
      <c r="A88" s="290" t="s">
        <v>1243</v>
      </c>
      <c r="B88" s="311" t="s">
        <v>686</v>
      </c>
      <c r="C88" s="271"/>
      <c r="D88" s="277"/>
      <c r="E88" s="623"/>
      <c r="F88" s="623"/>
      <c r="G88" s="410"/>
    </row>
    <row r="89" spans="1:20" x14ac:dyDescent="0.25">
      <c r="A89" s="290"/>
      <c r="B89" s="290" t="s">
        <v>179</v>
      </c>
      <c r="C89" s="271">
        <v>1</v>
      </c>
      <c r="D89" s="277" t="s">
        <v>709</v>
      </c>
      <c r="E89" s="623">
        <v>300000</v>
      </c>
      <c r="F89" s="623">
        <f>C89*E89</f>
        <v>300000</v>
      </c>
      <c r="G89" s="410" t="s">
        <v>1220</v>
      </c>
      <c r="K89" s="27">
        <f>F89</f>
        <v>300000</v>
      </c>
    </row>
    <row r="90" spans="1:20" x14ac:dyDescent="0.25">
      <c r="A90" s="290"/>
      <c r="B90" s="290" t="s">
        <v>331</v>
      </c>
      <c r="C90" s="271">
        <v>2</v>
      </c>
      <c r="D90" s="277" t="s">
        <v>709</v>
      </c>
      <c r="E90" s="623">
        <v>200000</v>
      </c>
      <c r="F90" s="623">
        <f>C90*E90</f>
        <v>400000</v>
      </c>
      <c r="G90" s="410" t="s">
        <v>1220</v>
      </c>
      <c r="K90" s="27">
        <f>F90</f>
        <v>400000</v>
      </c>
    </row>
    <row r="91" spans="1:20" ht="28.5" x14ac:dyDescent="0.25">
      <c r="A91" s="625" t="s">
        <v>1244</v>
      </c>
      <c r="B91" s="573" t="s">
        <v>333</v>
      </c>
      <c r="C91" s="279"/>
      <c r="D91" s="280"/>
      <c r="E91" s="575"/>
      <c r="F91" s="308"/>
      <c r="G91" s="205"/>
    </row>
    <row r="92" spans="1:20" ht="30" x14ac:dyDescent="0.25">
      <c r="A92" s="622"/>
      <c r="B92" s="622" t="s">
        <v>850</v>
      </c>
      <c r="C92" s="271">
        <v>2555</v>
      </c>
      <c r="D92" s="277" t="s">
        <v>392</v>
      </c>
      <c r="E92" s="624">
        <v>100000</v>
      </c>
      <c r="F92" s="623">
        <f>C92*E92</f>
        <v>255500000</v>
      </c>
      <c r="G92" s="410" t="s">
        <v>1777</v>
      </c>
      <c r="T92" s="27">
        <f>F92</f>
        <v>255500000</v>
      </c>
    </row>
    <row r="93" spans="1:20" x14ac:dyDescent="0.25">
      <c r="A93" s="622" t="s">
        <v>1245</v>
      </c>
      <c r="B93" s="311" t="s">
        <v>206</v>
      </c>
      <c r="C93" s="271"/>
      <c r="D93" s="277"/>
      <c r="E93" s="624"/>
      <c r="F93" s="623"/>
      <c r="G93" s="410"/>
    </row>
    <row r="94" spans="1:20" ht="29.25" x14ac:dyDescent="0.25">
      <c r="A94" s="622" t="s">
        <v>1246</v>
      </c>
      <c r="B94" s="311" t="s">
        <v>208</v>
      </c>
      <c r="C94" s="271"/>
      <c r="D94" s="277"/>
      <c r="E94" s="626"/>
      <c r="F94" s="623"/>
      <c r="G94" s="410"/>
    </row>
    <row r="95" spans="1:20" ht="30" x14ac:dyDescent="0.25">
      <c r="A95" s="622"/>
      <c r="B95" s="627" t="s">
        <v>2248</v>
      </c>
      <c r="C95" s="271">
        <v>1</v>
      </c>
      <c r="D95" s="277" t="s">
        <v>210</v>
      </c>
      <c r="E95" s="628">
        <v>2100000</v>
      </c>
      <c r="F95" s="623">
        <f>C95*E95</f>
        <v>2100000</v>
      </c>
      <c r="G95" s="410" t="s">
        <v>1506</v>
      </c>
      <c r="L95" s="27">
        <f>F95</f>
        <v>2100000</v>
      </c>
    </row>
    <row r="96" spans="1:20" ht="30" x14ac:dyDescent="0.25">
      <c r="A96" s="622"/>
      <c r="B96" s="627" t="s">
        <v>851</v>
      </c>
      <c r="C96" s="271">
        <v>1</v>
      </c>
      <c r="D96" s="277" t="s">
        <v>210</v>
      </c>
      <c r="E96" s="628">
        <v>1500000</v>
      </c>
      <c r="F96" s="623">
        <f>C96*E96</f>
        <v>1500000</v>
      </c>
      <c r="G96" s="410" t="s">
        <v>1506</v>
      </c>
      <c r="L96" s="27">
        <f t="shared" ref="L96:L99" si="1">F96</f>
        <v>1500000</v>
      </c>
    </row>
    <row r="97" spans="1:12" x14ac:dyDescent="0.25">
      <c r="A97" s="622"/>
      <c r="B97" s="627" t="s">
        <v>2249</v>
      </c>
      <c r="C97" s="271">
        <v>1</v>
      </c>
      <c r="D97" s="277" t="s">
        <v>213</v>
      </c>
      <c r="E97" s="628">
        <v>4500000</v>
      </c>
      <c r="F97" s="623">
        <f>C97*E97</f>
        <v>4500000</v>
      </c>
      <c r="G97" s="410" t="s">
        <v>1506</v>
      </c>
      <c r="L97" s="27">
        <f t="shared" si="1"/>
        <v>4500000</v>
      </c>
    </row>
    <row r="98" spans="1:12" s="96" customFormat="1" x14ac:dyDescent="0.25">
      <c r="A98" s="1890"/>
      <c r="B98" s="1891" t="s">
        <v>2686</v>
      </c>
      <c r="C98" s="1892">
        <v>1</v>
      </c>
      <c r="D98" s="1893" t="s">
        <v>213</v>
      </c>
      <c r="E98" s="1894">
        <v>28150000</v>
      </c>
      <c r="F98" s="1895">
        <f>E98*C98</f>
        <v>28150000</v>
      </c>
      <c r="G98" s="1345" t="s">
        <v>1506</v>
      </c>
      <c r="L98" s="1896">
        <f t="shared" si="1"/>
        <v>28150000</v>
      </c>
    </row>
    <row r="99" spans="1:12" x14ac:dyDescent="0.25">
      <c r="A99" s="622"/>
      <c r="B99" s="627" t="s">
        <v>852</v>
      </c>
      <c r="C99" s="271">
        <v>1</v>
      </c>
      <c r="D99" s="277" t="s">
        <v>212</v>
      </c>
      <c r="E99" s="628">
        <v>10000000</v>
      </c>
      <c r="F99" s="623">
        <f>C99*E99</f>
        <v>10000000</v>
      </c>
      <c r="G99" s="410" t="s">
        <v>1506</v>
      </c>
      <c r="L99" s="27">
        <f t="shared" si="1"/>
        <v>10000000</v>
      </c>
    </row>
    <row r="100" spans="1:12" x14ac:dyDescent="0.25">
      <c r="A100" s="287"/>
      <c r="B100" s="290"/>
      <c r="C100" s="301"/>
      <c r="D100" s="619"/>
      <c r="E100" s="574"/>
      <c r="F100" s="629"/>
      <c r="G100" s="410"/>
    </row>
    <row r="101" spans="1:12" x14ac:dyDescent="0.25">
      <c r="A101" s="289"/>
      <c r="B101" s="2133" t="s">
        <v>26</v>
      </c>
      <c r="C101" s="2133"/>
      <c r="D101" s="2133"/>
      <c r="E101" s="2133"/>
      <c r="F101" s="630">
        <f>SUM(F82:F99)</f>
        <v>317636000</v>
      </c>
      <c r="G101" s="1155"/>
    </row>
    <row r="102" spans="1:12" x14ac:dyDescent="0.25">
      <c r="A102" s="1926" t="s">
        <v>516</v>
      </c>
      <c r="B102" s="1926"/>
      <c r="C102" s="152" t="s">
        <v>27</v>
      </c>
      <c r="D102" s="1926" t="s">
        <v>3654</v>
      </c>
      <c r="E102" s="1926"/>
      <c r="F102" s="1926"/>
      <c r="G102" s="152"/>
    </row>
    <row r="103" spans="1:12" x14ac:dyDescent="0.25">
      <c r="A103" s="1926" t="s">
        <v>28</v>
      </c>
      <c r="B103" s="1926"/>
      <c r="C103" s="152"/>
      <c r="D103" s="1927" t="s">
        <v>3567</v>
      </c>
      <c r="E103" s="1927"/>
      <c r="F103" s="1927"/>
      <c r="G103" s="152"/>
    </row>
    <row r="104" spans="1:12" x14ac:dyDescent="0.25">
      <c r="A104" s="150"/>
      <c r="B104" s="151"/>
      <c r="C104" s="152"/>
      <c r="D104" s="153"/>
      <c r="E104" s="1770"/>
      <c r="F104" s="182"/>
      <c r="G104" s="152"/>
    </row>
    <row r="105" spans="1:12" x14ac:dyDescent="0.25">
      <c r="A105" s="150"/>
      <c r="B105" s="151"/>
      <c r="C105" s="152"/>
      <c r="D105" s="153"/>
      <c r="E105" s="1770"/>
      <c r="F105" s="182"/>
      <c r="G105" s="152"/>
    </row>
    <row r="106" spans="1:12" x14ac:dyDescent="0.25">
      <c r="A106" s="1926"/>
      <c r="B106" s="1926"/>
      <c r="C106" s="152"/>
      <c r="D106" s="153"/>
      <c r="E106" s="1926"/>
      <c r="F106" s="1926"/>
      <c r="G106" s="152"/>
    </row>
    <row r="107" spans="1:12" x14ac:dyDescent="0.25">
      <c r="A107" s="1926" t="s">
        <v>29</v>
      </c>
      <c r="B107" s="1926"/>
      <c r="C107" s="152"/>
      <c r="D107" s="1926" t="s">
        <v>3568</v>
      </c>
      <c r="E107" s="1926"/>
      <c r="F107" s="1926"/>
      <c r="G107" s="152"/>
    </row>
    <row r="109" spans="1:12" x14ac:dyDescent="0.25">
      <c r="A109" s="2140" t="s">
        <v>0</v>
      </c>
      <c r="B109" s="2140"/>
      <c r="C109" s="2140"/>
      <c r="D109" s="2140"/>
      <c r="E109" s="2140"/>
      <c r="F109" s="2140"/>
      <c r="G109" s="2140"/>
      <c r="H109" s="997"/>
    </row>
    <row r="110" spans="1:12" x14ac:dyDescent="0.25">
      <c r="A110" s="2140" t="s">
        <v>1</v>
      </c>
      <c r="B110" s="2140"/>
      <c r="C110" s="2140"/>
      <c r="D110" s="2140"/>
      <c r="E110" s="2140"/>
      <c r="F110" s="2140"/>
      <c r="G110" s="2140"/>
      <c r="H110" s="997"/>
    </row>
    <row r="111" spans="1:12" x14ac:dyDescent="0.25">
      <c r="A111" s="2140" t="s">
        <v>2398</v>
      </c>
      <c r="B111" s="2140"/>
      <c r="C111" s="2140"/>
      <c r="D111" s="2140"/>
      <c r="E111" s="2140"/>
      <c r="F111" s="2140"/>
      <c r="G111" s="2140"/>
      <c r="H111" s="997"/>
    </row>
    <row r="112" spans="1:12" x14ac:dyDescent="0.25">
      <c r="A112" s="148"/>
      <c r="B112" s="148"/>
      <c r="C112" s="148"/>
      <c r="D112" s="148"/>
      <c r="E112" s="148"/>
      <c r="F112" s="148"/>
      <c r="G112" s="148"/>
      <c r="H112" s="148"/>
    </row>
    <row r="113" spans="1:8" x14ac:dyDescent="0.25">
      <c r="A113" s="182" t="s">
        <v>458</v>
      </c>
      <c r="B113" s="152" t="s">
        <v>827</v>
      </c>
      <c r="C113" s="182"/>
      <c r="D113" s="182"/>
      <c r="E113" s="154" t="s">
        <v>6</v>
      </c>
      <c r="F113" s="154" t="s">
        <v>62</v>
      </c>
    </row>
    <row r="114" spans="1:8" ht="24.75" x14ac:dyDescent="0.25">
      <c r="A114" s="184" t="s">
        <v>837</v>
      </c>
      <c r="B114" s="151" t="s">
        <v>838</v>
      </c>
      <c r="C114" s="151"/>
      <c r="D114" s="184"/>
      <c r="E114" s="488" t="s">
        <v>482</v>
      </c>
      <c r="F114" s="488" t="s">
        <v>62</v>
      </c>
    </row>
    <row r="115" spans="1:8" ht="72.75" customHeight="1" x14ac:dyDescent="0.25">
      <c r="A115" s="184" t="s">
        <v>839</v>
      </c>
      <c r="B115" s="217" t="s">
        <v>1319</v>
      </c>
      <c r="C115" s="217"/>
      <c r="D115" s="184"/>
      <c r="E115" s="154"/>
      <c r="F115" s="154"/>
    </row>
    <row r="116" spans="1:8" x14ac:dyDescent="0.25">
      <c r="A116" s="152" t="s">
        <v>59</v>
      </c>
      <c r="B116" s="152" t="s">
        <v>60</v>
      </c>
      <c r="C116" s="152"/>
      <c r="D116" s="152"/>
      <c r="E116" s="488"/>
      <c r="F116" s="488" t="s">
        <v>3080</v>
      </c>
    </row>
    <row r="117" spans="1:8" x14ac:dyDescent="0.25">
      <c r="A117" s="152" t="s">
        <v>61</v>
      </c>
      <c r="B117" s="152" t="s">
        <v>432</v>
      </c>
      <c r="C117" s="152"/>
      <c r="D117" s="1952"/>
      <c r="E117" s="1952"/>
      <c r="F117" s="152" t="s">
        <v>3079</v>
      </c>
    </row>
    <row r="118" spans="1:8" ht="30" x14ac:dyDescent="0.25">
      <c r="A118" s="269" t="s">
        <v>255</v>
      </c>
      <c r="B118" s="269" t="s">
        <v>11</v>
      </c>
      <c r="C118" s="1962" t="s">
        <v>12</v>
      </c>
      <c r="D118" s="1962"/>
      <c r="E118" s="270" t="s">
        <v>13</v>
      </c>
      <c r="F118" s="269" t="s">
        <v>14</v>
      </c>
      <c r="G118" s="408" t="s">
        <v>256</v>
      </c>
    </row>
    <row r="119" spans="1:8" x14ac:dyDescent="0.25">
      <c r="A119" s="281">
        <v>1</v>
      </c>
      <c r="B119" s="269">
        <v>2</v>
      </c>
      <c r="C119" s="1965">
        <v>3</v>
      </c>
      <c r="D119" s="1966"/>
      <c r="E119" s="569">
        <v>4</v>
      </c>
      <c r="F119" s="279">
        <v>5</v>
      </c>
      <c r="G119" s="1068">
        <v>10</v>
      </c>
    </row>
    <row r="120" spans="1:8" x14ac:dyDescent="0.25">
      <c r="A120" s="176" t="s">
        <v>1320</v>
      </c>
      <c r="B120" s="386" t="s">
        <v>462</v>
      </c>
      <c r="C120" s="206"/>
      <c r="D120" s="362"/>
      <c r="E120" s="194"/>
      <c r="F120" s="398"/>
      <c r="G120" s="181"/>
      <c r="H120" s="182"/>
    </row>
    <row r="121" spans="1:8" x14ac:dyDescent="0.25">
      <c r="A121" s="176" t="s">
        <v>1321</v>
      </c>
      <c r="B121" s="386" t="s">
        <v>84</v>
      </c>
      <c r="C121" s="206"/>
      <c r="D121" s="362"/>
      <c r="E121" s="194"/>
      <c r="F121" s="398"/>
      <c r="G121" s="181"/>
      <c r="H121" s="182"/>
    </row>
    <row r="122" spans="1:8" ht="24.75" x14ac:dyDescent="0.25">
      <c r="A122" s="176" t="s">
        <v>1322</v>
      </c>
      <c r="B122" s="386" t="s">
        <v>307</v>
      </c>
      <c r="C122" s="178"/>
      <c r="D122" s="362"/>
      <c r="E122" s="179"/>
      <c r="F122" s="398"/>
      <c r="G122" s="163"/>
      <c r="H122" s="182"/>
    </row>
    <row r="123" spans="1:8" x14ac:dyDescent="0.25">
      <c r="A123" s="193"/>
      <c r="B123" s="177" t="s">
        <v>1323</v>
      </c>
      <c r="C123" s="178">
        <v>45</v>
      </c>
      <c r="D123" s="362" t="s">
        <v>269</v>
      </c>
      <c r="E123" s="179">
        <v>20000</v>
      </c>
      <c r="F123" s="398">
        <f>E123*C123</f>
        <v>900000</v>
      </c>
      <c r="G123" s="163"/>
      <c r="H123" s="182"/>
    </row>
    <row r="124" spans="1:8" x14ac:dyDescent="0.25">
      <c r="A124" s="176" t="s">
        <v>1611</v>
      </c>
      <c r="B124" s="177" t="s">
        <v>1572</v>
      </c>
      <c r="C124" s="178"/>
      <c r="D124" s="362"/>
      <c r="E124" s="194"/>
      <c r="F124" s="398"/>
      <c r="G124" s="163"/>
      <c r="H124" s="182"/>
    </row>
    <row r="125" spans="1:8" x14ac:dyDescent="0.25">
      <c r="A125" s="176"/>
      <c r="B125" s="181" t="s">
        <v>1581</v>
      </c>
      <c r="C125" s="178">
        <v>35</v>
      </c>
      <c r="D125" s="207" t="s">
        <v>93</v>
      </c>
      <c r="E125" s="554">
        <v>199000</v>
      </c>
      <c r="F125" s="398">
        <f>E125*C125</f>
        <v>6965000</v>
      </c>
      <c r="G125" s="163"/>
      <c r="H125" s="223"/>
    </row>
    <row r="126" spans="1:8" x14ac:dyDescent="0.25">
      <c r="A126" s="176"/>
      <c r="B126" s="181" t="s">
        <v>1582</v>
      </c>
      <c r="C126" s="178">
        <v>35</v>
      </c>
      <c r="D126" s="207" t="s">
        <v>93</v>
      </c>
      <c r="E126" s="554">
        <v>123000</v>
      </c>
      <c r="F126" s="398">
        <f>E126*C126</f>
        <v>4305000</v>
      </c>
      <c r="G126" s="163"/>
      <c r="H126" s="223"/>
    </row>
    <row r="127" spans="1:8" x14ac:dyDescent="0.25">
      <c r="A127" s="176"/>
      <c r="B127" s="181" t="s">
        <v>745</v>
      </c>
      <c r="C127" s="178">
        <v>35</v>
      </c>
      <c r="D127" s="207" t="s">
        <v>93</v>
      </c>
      <c r="E127" s="554">
        <v>161000</v>
      </c>
      <c r="F127" s="398">
        <f>E127*C127</f>
        <v>5635000</v>
      </c>
      <c r="G127" s="163"/>
      <c r="H127" s="223"/>
    </row>
    <row r="128" spans="1:8" x14ac:dyDescent="0.25">
      <c r="A128" s="176"/>
      <c r="B128" s="181" t="s">
        <v>1583</v>
      </c>
      <c r="C128" s="178">
        <v>35</v>
      </c>
      <c r="D128" s="207" t="s">
        <v>93</v>
      </c>
      <c r="E128" s="554">
        <v>187000</v>
      </c>
      <c r="F128" s="398">
        <f>E128*C128</f>
        <v>6545000</v>
      </c>
      <c r="G128" s="163"/>
      <c r="H128" s="223"/>
    </row>
    <row r="129" spans="1:20" ht="24.75" x14ac:dyDescent="0.25">
      <c r="A129" s="176" t="s">
        <v>1324</v>
      </c>
      <c r="B129" s="386" t="s">
        <v>325</v>
      </c>
      <c r="C129" s="178"/>
      <c r="D129" s="362"/>
      <c r="E129" s="179"/>
      <c r="F129" s="398"/>
      <c r="G129" s="163"/>
      <c r="H129" s="182"/>
    </row>
    <row r="130" spans="1:20" x14ac:dyDescent="0.25">
      <c r="A130" s="193"/>
      <c r="B130" s="177" t="s">
        <v>326</v>
      </c>
      <c r="C130" s="178">
        <v>1</v>
      </c>
      <c r="D130" s="362" t="s">
        <v>93</v>
      </c>
      <c r="E130" s="179">
        <v>90000</v>
      </c>
      <c r="F130" s="398">
        <f>E130*C130</f>
        <v>90000</v>
      </c>
      <c r="G130" s="163"/>
      <c r="H130" s="182"/>
    </row>
    <row r="131" spans="1:20" x14ac:dyDescent="0.25">
      <c r="A131" s="176" t="s">
        <v>1611</v>
      </c>
      <c r="B131" s="386" t="s">
        <v>930</v>
      </c>
      <c r="C131" s="178"/>
      <c r="D131" s="362"/>
      <c r="E131" s="179"/>
      <c r="F131" s="398"/>
      <c r="G131" s="163"/>
      <c r="H131" s="182"/>
    </row>
    <row r="132" spans="1:20" x14ac:dyDescent="0.25">
      <c r="A132" s="193"/>
      <c r="B132" s="177" t="s">
        <v>2250</v>
      </c>
      <c r="C132" s="178">
        <v>6</v>
      </c>
      <c r="D132" s="362" t="s">
        <v>106</v>
      </c>
      <c r="E132" s="179">
        <v>480000</v>
      </c>
      <c r="F132" s="398">
        <f>E132*C132</f>
        <v>2880000</v>
      </c>
      <c r="G132" s="163"/>
      <c r="H132" s="182"/>
    </row>
    <row r="133" spans="1:20" x14ac:dyDescent="0.25">
      <c r="A133" s="193"/>
      <c r="B133" s="177" t="s">
        <v>3115</v>
      </c>
      <c r="C133" s="178">
        <v>20</v>
      </c>
      <c r="D133" s="362" t="s">
        <v>106</v>
      </c>
      <c r="E133" s="179">
        <v>340000</v>
      </c>
      <c r="F133" s="398">
        <f>E133*C133</f>
        <v>6800000</v>
      </c>
      <c r="G133" s="163"/>
      <c r="H133" s="182"/>
    </row>
    <row r="134" spans="1:20" x14ac:dyDescent="0.25">
      <c r="A134" s="176" t="s">
        <v>1325</v>
      </c>
      <c r="B134" s="386" t="s">
        <v>273</v>
      </c>
      <c r="C134" s="178"/>
      <c r="D134" s="362"/>
      <c r="E134" s="179"/>
      <c r="F134" s="398"/>
      <c r="G134" s="163"/>
      <c r="H134" s="182"/>
    </row>
    <row r="135" spans="1:20" x14ac:dyDescent="0.25">
      <c r="A135" s="193"/>
      <c r="B135" s="177" t="s">
        <v>422</v>
      </c>
      <c r="C135" s="178">
        <v>1</v>
      </c>
      <c r="D135" s="432" t="s">
        <v>93</v>
      </c>
      <c r="E135" s="179">
        <v>50000</v>
      </c>
      <c r="F135" s="398">
        <f>E135*C135</f>
        <v>50000</v>
      </c>
      <c r="G135" s="163"/>
      <c r="H135" s="546"/>
    </row>
    <row r="136" spans="1:20" x14ac:dyDescent="0.25">
      <c r="A136" s="176" t="s">
        <v>1326</v>
      </c>
      <c r="B136" s="386" t="s">
        <v>294</v>
      </c>
      <c r="C136" s="178"/>
      <c r="D136" s="362"/>
      <c r="E136" s="194"/>
      <c r="F136" s="398"/>
      <c r="G136" s="163"/>
      <c r="H136" s="182"/>
    </row>
    <row r="137" spans="1:20" ht="24" x14ac:dyDescent="0.25">
      <c r="A137" s="176" t="s">
        <v>1327</v>
      </c>
      <c r="B137" s="631" t="s">
        <v>411</v>
      </c>
      <c r="C137" s="327"/>
      <c r="D137" s="432"/>
      <c r="E137" s="392"/>
      <c r="F137" s="632"/>
      <c r="G137" s="213"/>
      <c r="H137" s="546"/>
    </row>
    <row r="138" spans="1:20" x14ac:dyDescent="0.25">
      <c r="A138" s="176"/>
      <c r="B138" s="177" t="s">
        <v>1612</v>
      </c>
      <c r="C138" s="178">
        <v>2</v>
      </c>
      <c r="D138" s="362" t="s">
        <v>1786</v>
      </c>
      <c r="E138" s="194">
        <v>300000</v>
      </c>
      <c r="F138" s="398">
        <f>E138*C138</f>
        <v>600000</v>
      </c>
      <c r="G138" s="163"/>
      <c r="H138" s="182"/>
    </row>
    <row r="139" spans="1:20" x14ac:dyDescent="0.25">
      <c r="A139" s="176"/>
      <c r="B139" s="631"/>
      <c r="C139" s="327"/>
      <c r="D139" s="432"/>
      <c r="E139" s="392"/>
      <c r="F139" s="632"/>
      <c r="G139" s="213"/>
      <c r="H139" s="546"/>
    </row>
    <row r="140" spans="1:20" x14ac:dyDescent="0.25">
      <c r="A140" s="181"/>
      <c r="B140" s="2139" t="s">
        <v>26</v>
      </c>
      <c r="C140" s="2139"/>
      <c r="D140" s="2139"/>
      <c r="E140" s="2139"/>
      <c r="F140" s="946">
        <f>SUM(F122:F139)</f>
        <v>34770000</v>
      </c>
      <c r="G140" s="651" t="s">
        <v>1506</v>
      </c>
      <c r="H140" s="5"/>
      <c r="L140" s="23">
        <f>F140</f>
        <v>34770000</v>
      </c>
      <c r="T140" s="23"/>
    </row>
    <row r="141" spans="1:20" x14ac:dyDescent="0.25">
      <c r="A141" s="1926" t="s">
        <v>516</v>
      </c>
      <c r="B141" s="1926"/>
      <c r="C141" s="152" t="s">
        <v>27</v>
      </c>
      <c r="D141" s="1926" t="s">
        <v>3654</v>
      </c>
      <c r="E141" s="1926"/>
      <c r="F141" s="1926"/>
      <c r="G141" s="152"/>
    </row>
    <row r="142" spans="1:20" x14ac:dyDescent="0.25">
      <c r="A142" s="1926" t="s">
        <v>28</v>
      </c>
      <c r="B142" s="1926"/>
      <c r="C142" s="152"/>
      <c r="D142" s="1927" t="s">
        <v>3567</v>
      </c>
      <c r="E142" s="1927"/>
      <c r="F142" s="1927"/>
      <c r="G142" s="152"/>
    </row>
    <row r="143" spans="1:20" x14ac:dyDescent="0.25">
      <c r="A143" s="150"/>
      <c r="B143" s="151"/>
      <c r="C143" s="152"/>
      <c r="D143" s="153"/>
      <c r="E143" s="1770"/>
      <c r="F143" s="182"/>
      <c r="G143" s="152"/>
    </row>
    <row r="144" spans="1:20" x14ac:dyDescent="0.25">
      <c r="A144" s="150"/>
      <c r="B144" s="151"/>
      <c r="C144" s="152"/>
      <c r="D144" s="153"/>
      <c r="E144" s="1770"/>
      <c r="F144" s="182"/>
      <c r="G144" s="152"/>
    </row>
    <row r="145" spans="1:7" x14ac:dyDescent="0.25">
      <c r="A145" s="1926"/>
      <c r="B145" s="1926"/>
      <c r="C145" s="152"/>
      <c r="D145" s="153"/>
      <c r="E145" s="1926"/>
      <c r="F145" s="1926"/>
      <c r="G145" s="152"/>
    </row>
    <row r="146" spans="1:7" x14ac:dyDescent="0.25">
      <c r="A146" s="1926" t="s">
        <v>29</v>
      </c>
      <c r="B146" s="1926"/>
      <c r="C146" s="152"/>
      <c r="D146" s="1926" t="s">
        <v>3568</v>
      </c>
      <c r="E146" s="1926"/>
      <c r="F146" s="1926"/>
      <c r="G146" s="152"/>
    </row>
    <row r="148" spans="1:7" x14ac:dyDescent="0.25">
      <c r="A148" s="2084" t="s">
        <v>0</v>
      </c>
      <c r="B148" s="2084"/>
      <c r="C148" s="2084"/>
      <c r="D148" s="2084"/>
      <c r="E148" s="2084"/>
      <c r="F148" s="2084"/>
      <c r="G148" s="2084"/>
    </row>
    <row r="149" spans="1:7" x14ac:dyDescent="0.25">
      <c r="A149" s="2084" t="s">
        <v>1</v>
      </c>
      <c r="B149" s="2084"/>
      <c r="C149" s="2084"/>
      <c r="D149" s="2084"/>
      <c r="E149" s="2084"/>
      <c r="F149" s="2084"/>
      <c r="G149" s="2084"/>
    </row>
    <row r="150" spans="1:7" x14ac:dyDescent="0.25">
      <c r="A150" s="2084" t="s">
        <v>2398</v>
      </c>
      <c r="B150" s="2084"/>
      <c r="C150" s="2084"/>
      <c r="D150" s="2084"/>
      <c r="E150" s="2084"/>
      <c r="F150" s="2084"/>
      <c r="G150" s="2084"/>
    </row>
    <row r="151" spans="1:7" x14ac:dyDescent="0.25">
      <c r="A151" s="653"/>
      <c r="B151" s="654"/>
      <c r="C151" s="653"/>
      <c r="D151" s="653"/>
      <c r="E151" s="653"/>
      <c r="F151" s="653"/>
      <c r="G151" s="1156"/>
    </row>
    <row r="152" spans="1:7" ht="30" x14ac:dyDescent="0.25">
      <c r="A152" s="655" t="s">
        <v>251</v>
      </c>
      <c r="B152" s="656" t="s">
        <v>954</v>
      </c>
      <c r="C152" s="655"/>
      <c r="D152" s="655"/>
      <c r="E152" s="262" t="s">
        <v>6</v>
      </c>
      <c r="F152" s="262"/>
      <c r="G152" s="405"/>
    </row>
    <row r="153" spans="1:7" ht="15" customHeight="1" x14ac:dyDescent="0.25">
      <c r="A153" s="656" t="s">
        <v>252</v>
      </c>
      <c r="B153" s="655" t="s">
        <v>953</v>
      </c>
      <c r="C153" s="655"/>
      <c r="D153" s="656"/>
      <c r="E153" s="657" t="s">
        <v>9</v>
      </c>
      <c r="F153" s="657"/>
      <c r="G153" s="405"/>
    </row>
    <row r="154" spans="1:7" ht="150" x14ac:dyDescent="0.25">
      <c r="A154" s="656" t="s">
        <v>253</v>
      </c>
      <c r="B154" s="656" t="s">
        <v>3506</v>
      </c>
      <c r="C154" s="656"/>
      <c r="D154" s="656"/>
      <c r="E154" s="656"/>
      <c r="F154" s="656"/>
      <c r="G154" s="405"/>
    </row>
    <row r="155" spans="1:7" x14ac:dyDescent="0.25">
      <c r="A155" s="260" t="s">
        <v>59</v>
      </c>
      <c r="B155" s="268" t="s">
        <v>60</v>
      </c>
      <c r="C155" s="260"/>
      <c r="D155" s="260"/>
      <c r="E155" s="260"/>
      <c r="F155" s="260"/>
      <c r="G155" s="393"/>
    </row>
    <row r="156" spans="1:7" x14ac:dyDescent="0.25">
      <c r="A156" s="260" t="s">
        <v>61</v>
      </c>
      <c r="B156" s="268" t="s">
        <v>62</v>
      </c>
      <c r="C156" s="260"/>
      <c r="D156" s="1957"/>
      <c r="E156" s="1957"/>
      <c r="F156" s="260"/>
      <c r="G156" s="405"/>
    </row>
    <row r="157" spans="1:7" ht="30" x14ac:dyDescent="0.25">
      <c r="A157" s="269" t="s">
        <v>951</v>
      </c>
      <c r="B157" s="269" t="s">
        <v>950</v>
      </c>
      <c r="C157" s="1962" t="s">
        <v>12</v>
      </c>
      <c r="D157" s="1962"/>
      <c r="E157" s="270" t="s">
        <v>13</v>
      </c>
      <c r="F157" s="269" t="s">
        <v>14</v>
      </c>
      <c r="G157" s="408" t="s">
        <v>256</v>
      </c>
    </row>
    <row r="158" spans="1:7" x14ac:dyDescent="0.25">
      <c r="A158" s="281">
        <v>1</v>
      </c>
      <c r="B158" s="269">
        <v>2</v>
      </c>
      <c r="C158" s="1965">
        <v>3</v>
      </c>
      <c r="D158" s="1966"/>
      <c r="E158" s="569">
        <v>4</v>
      </c>
      <c r="F158" s="279">
        <v>5</v>
      </c>
      <c r="G158" s="397">
        <v>11</v>
      </c>
    </row>
    <row r="159" spans="1:7" x14ac:dyDescent="0.25">
      <c r="A159" s="658" t="s">
        <v>1294</v>
      </c>
      <c r="B159" s="659" t="s">
        <v>277</v>
      </c>
      <c r="C159" s="234"/>
      <c r="D159" s="235"/>
      <c r="E159" s="236"/>
      <c r="F159" s="236"/>
      <c r="G159" s="410"/>
    </row>
    <row r="160" spans="1:7" x14ac:dyDescent="0.25">
      <c r="A160" s="658" t="s">
        <v>1295</v>
      </c>
      <c r="B160" s="660" t="s">
        <v>84</v>
      </c>
      <c r="C160" s="234"/>
      <c r="D160" s="235"/>
      <c r="E160" s="236"/>
      <c r="F160" s="236"/>
      <c r="G160" s="410"/>
    </row>
    <row r="161" spans="1:20" ht="25.5" x14ac:dyDescent="0.25">
      <c r="A161" s="658" t="s">
        <v>1392</v>
      </c>
      <c r="B161" s="661" t="s">
        <v>679</v>
      </c>
      <c r="C161" s="234"/>
      <c r="D161" s="235"/>
      <c r="E161" s="236"/>
      <c r="F161" s="236"/>
      <c r="G161" s="410"/>
    </row>
    <row r="162" spans="1:20" x14ac:dyDescent="0.25">
      <c r="A162" s="658"/>
      <c r="B162" s="662" t="s">
        <v>1515</v>
      </c>
      <c r="C162" s="234">
        <v>4</v>
      </c>
      <c r="D162" s="235" t="s">
        <v>1516</v>
      </c>
      <c r="E162" s="663">
        <v>39000</v>
      </c>
      <c r="F162" s="664">
        <f>C162*E162</f>
        <v>156000</v>
      </c>
      <c r="G162" s="600" t="s">
        <v>1777</v>
      </c>
      <c r="T162" s="23">
        <f>F162</f>
        <v>156000</v>
      </c>
    </row>
    <row r="163" spans="1:20" x14ac:dyDescent="0.25">
      <c r="A163" s="658"/>
      <c r="B163" s="662" t="s">
        <v>1517</v>
      </c>
      <c r="C163" s="234">
        <v>3</v>
      </c>
      <c r="D163" s="235" t="s">
        <v>1516</v>
      </c>
      <c r="E163" s="663">
        <v>3000</v>
      </c>
      <c r="F163" s="664">
        <f>C163*E163</f>
        <v>9000</v>
      </c>
      <c r="G163" s="600" t="s">
        <v>1777</v>
      </c>
      <c r="T163" s="23">
        <f t="shared" ref="T163:T217" si="2">F163</f>
        <v>9000</v>
      </c>
    </row>
    <row r="164" spans="1:20" ht="25.5" x14ac:dyDescent="0.25">
      <c r="A164" s="658" t="s">
        <v>1296</v>
      </c>
      <c r="B164" s="661" t="s">
        <v>307</v>
      </c>
      <c r="C164" s="234"/>
      <c r="D164" s="235"/>
      <c r="E164" s="665"/>
      <c r="F164" s="664"/>
      <c r="G164" s="415"/>
      <c r="T164" s="23">
        <f t="shared" si="2"/>
        <v>0</v>
      </c>
    </row>
    <row r="165" spans="1:20" x14ac:dyDescent="0.25">
      <c r="A165" s="233"/>
      <c r="B165" s="661" t="s">
        <v>1255</v>
      </c>
      <c r="C165" s="666"/>
      <c r="D165" s="667"/>
      <c r="E165" s="668"/>
      <c r="F165" s="664"/>
      <c r="G165" s="415"/>
      <c r="T165" s="23">
        <f t="shared" si="2"/>
        <v>0</v>
      </c>
    </row>
    <row r="166" spans="1:20" x14ac:dyDescent="0.25">
      <c r="A166" s="669"/>
      <c r="B166" s="670" t="s">
        <v>1255</v>
      </c>
      <c r="C166" s="234">
        <v>30</v>
      </c>
      <c r="D166" s="235" t="s">
        <v>269</v>
      </c>
      <c r="E166" s="671">
        <v>20000</v>
      </c>
      <c r="F166" s="664">
        <f t="shared" ref="F166:F216" si="3">C166*E166</f>
        <v>600000</v>
      </c>
      <c r="G166" s="600" t="s">
        <v>1777</v>
      </c>
      <c r="T166" s="23">
        <f t="shared" si="2"/>
        <v>600000</v>
      </c>
    </row>
    <row r="167" spans="1:20" x14ac:dyDescent="0.25">
      <c r="A167" s="669"/>
      <c r="B167" s="661" t="s">
        <v>1250</v>
      </c>
      <c r="C167" s="234"/>
      <c r="D167" s="235"/>
      <c r="E167" s="671"/>
      <c r="F167" s="664"/>
      <c r="G167" s="415"/>
      <c r="T167" s="23">
        <f t="shared" si="2"/>
        <v>0</v>
      </c>
    </row>
    <row r="168" spans="1:20" ht="38.25" x14ac:dyDescent="0.25">
      <c r="A168" s="669"/>
      <c r="B168" s="662" t="s">
        <v>1518</v>
      </c>
      <c r="C168" s="234">
        <v>245</v>
      </c>
      <c r="D168" s="235" t="s">
        <v>269</v>
      </c>
      <c r="E168" s="671">
        <v>20000</v>
      </c>
      <c r="F168" s="664">
        <f t="shared" si="3"/>
        <v>4900000</v>
      </c>
      <c r="G168" s="600" t="s">
        <v>1777</v>
      </c>
      <c r="T168" s="23">
        <f t="shared" si="2"/>
        <v>4900000</v>
      </c>
    </row>
    <row r="169" spans="1:20" x14ac:dyDescent="0.25">
      <c r="A169" s="658"/>
      <c r="B169" s="661" t="s">
        <v>1519</v>
      </c>
      <c r="C169" s="234"/>
      <c r="D169" s="235"/>
      <c r="E169" s="671"/>
      <c r="F169" s="664"/>
      <c r="G169" s="415"/>
      <c r="T169" s="23">
        <f t="shared" si="2"/>
        <v>0</v>
      </c>
    </row>
    <row r="170" spans="1:20" ht="25.5" x14ac:dyDescent="0.25">
      <c r="A170" s="672"/>
      <c r="B170" s="662" t="s">
        <v>1520</v>
      </c>
      <c r="C170" s="234">
        <v>47</v>
      </c>
      <c r="D170" s="235" t="s">
        <v>269</v>
      </c>
      <c r="E170" s="671">
        <v>20000</v>
      </c>
      <c r="F170" s="664">
        <f t="shared" si="3"/>
        <v>940000</v>
      </c>
      <c r="G170" s="600" t="s">
        <v>1777</v>
      </c>
      <c r="T170" s="23">
        <f t="shared" si="2"/>
        <v>940000</v>
      </c>
    </row>
    <row r="171" spans="1:20" x14ac:dyDescent="0.25">
      <c r="A171" s="669"/>
      <c r="B171" s="661" t="s">
        <v>1521</v>
      </c>
      <c r="C171" s="234"/>
      <c r="D171" s="235"/>
      <c r="E171" s="671"/>
      <c r="F171" s="664"/>
      <c r="G171" s="415"/>
      <c r="T171" s="23">
        <f t="shared" si="2"/>
        <v>0</v>
      </c>
    </row>
    <row r="172" spans="1:20" ht="38.25" x14ac:dyDescent="0.25">
      <c r="A172" s="669"/>
      <c r="B172" s="662" t="s">
        <v>1522</v>
      </c>
      <c r="C172" s="234">
        <v>92</v>
      </c>
      <c r="D172" s="235" t="s">
        <v>269</v>
      </c>
      <c r="E172" s="671">
        <v>20000</v>
      </c>
      <c r="F172" s="664">
        <f t="shared" si="3"/>
        <v>1840000</v>
      </c>
      <c r="G172" s="600" t="s">
        <v>1777</v>
      </c>
      <c r="T172" s="23">
        <f t="shared" si="2"/>
        <v>1840000</v>
      </c>
    </row>
    <row r="173" spans="1:20" ht="25.5" x14ac:dyDescent="0.25">
      <c r="A173" s="658" t="s">
        <v>1297</v>
      </c>
      <c r="B173" s="659" t="s">
        <v>1247</v>
      </c>
      <c r="C173" s="234"/>
      <c r="D173" s="235"/>
      <c r="E173" s="671"/>
      <c r="F173" s="664"/>
      <c r="G173" s="415"/>
      <c r="T173" s="23">
        <f t="shared" si="2"/>
        <v>0</v>
      </c>
    </row>
    <row r="174" spans="1:20" x14ac:dyDescent="0.25">
      <c r="A174" s="669"/>
      <c r="B174" s="670" t="s">
        <v>761</v>
      </c>
      <c r="C174" s="234">
        <v>3</v>
      </c>
      <c r="D174" s="235" t="s">
        <v>106</v>
      </c>
      <c r="E174" s="671">
        <v>90000</v>
      </c>
      <c r="F174" s="664">
        <f t="shared" si="3"/>
        <v>270000</v>
      </c>
      <c r="G174" s="600" t="s">
        <v>1777</v>
      </c>
      <c r="T174" s="23">
        <f t="shared" si="2"/>
        <v>270000</v>
      </c>
    </row>
    <row r="175" spans="1:20" ht="30.75" customHeight="1" x14ac:dyDescent="0.25">
      <c r="A175" s="658" t="s">
        <v>1298</v>
      </c>
      <c r="B175" s="661" t="s">
        <v>273</v>
      </c>
      <c r="C175" s="234"/>
      <c r="D175" s="235"/>
      <c r="E175" s="671"/>
      <c r="F175" s="664"/>
      <c r="G175" s="415"/>
      <c r="T175" s="23">
        <f t="shared" si="2"/>
        <v>0</v>
      </c>
    </row>
    <row r="176" spans="1:20" x14ac:dyDescent="0.25">
      <c r="A176" s="243"/>
      <c r="B176" s="662" t="s">
        <v>422</v>
      </c>
      <c r="C176" s="234">
        <v>2</v>
      </c>
      <c r="D176" s="235" t="s">
        <v>93</v>
      </c>
      <c r="E176" s="671">
        <v>50000</v>
      </c>
      <c r="F176" s="664">
        <f t="shared" si="3"/>
        <v>100000</v>
      </c>
      <c r="G176" s="600" t="s">
        <v>1777</v>
      </c>
      <c r="T176" s="23">
        <f t="shared" si="2"/>
        <v>100000</v>
      </c>
    </row>
    <row r="177" spans="1:20" x14ac:dyDescent="0.25">
      <c r="A177" s="243"/>
      <c r="B177" s="662" t="s">
        <v>275</v>
      </c>
      <c r="C177" s="234">
        <v>5</v>
      </c>
      <c r="D177" s="235" t="s">
        <v>1523</v>
      </c>
      <c r="E177" s="671">
        <v>1000</v>
      </c>
      <c r="F177" s="664">
        <f t="shared" si="3"/>
        <v>5000</v>
      </c>
      <c r="G177" s="600" t="s">
        <v>1777</v>
      </c>
      <c r="T177" s="23">
        <f t="shared" si="2"/>
        <v>5000</v>
      </c>
    </row>
    <row r="178" spans="1:20" x14ac:dyDescent="0.25">
      <c r="A178" s="243"/>
      <c r="B178" s="662" t="s">
        <v>289</v>
      </c>
      <c r="C178" s="234">
        <v>1</v>
      </c>
      <c r="D178" s="235" t="s">
        <v>1516</v>
      </c>
      <c r="E178" s="671">
        <v>10000</v>
      </c>
      <c r="F178" s="664">
        <f t="shared" si="3"/>
        <v>10000</v>
      </c>
      <c r="G178" s="600" t="s">
        <v>1777</v>
      </c>
      <c r="T178" s="23">
        <f t="shared" si="2"/>
        <v>10000</v>
      </c>
    </row>
    <row r="179" spans="1:20" x14ac:dyDescent="0.25">
      <c r="A179" s="246"/>
      <c r="B179" s="662" t="s">
        <v>347</v>
      </c>
      <c r="C179" s="234">
        <v>3</v>
      </c>
      <c r="D179" s="235" t="s">
        <v>106</v>
      </c>
      <c r="E179" s="671">
        <v>15000</v>
      </c>
      <c r="F179" s="664">
        <f t="shared" si="3"/>
        <v>45000</v>
      </c>
      <c r="G179" s="600" t="s">
        <v>1777</v>
      </c>
      <c r="T179" s="23">
        <f t="shared" si="2"/>
        <v>45000</v>
      </c>
    </row>
    <row r="180" spans="1:20" x14ac:dyDescent="0.25">
      <c r="A180" s="658" t="s">
        <v>1299</v>
      </c>
      <c r="B180" s="659" t="s">
        <v>294</v>
      </c>
      <c r="C180" s="234"/>
      <c r="D180" s="235"/>
      <c r="E180" s="671"/>
      <c r="F180" s="664"/>
      <c r="G180" s="415"/>
      <c r="T180" s="23">
        <f t="shared" si="2"/>
        <v>0</v>
      </c>
    </row>
    <row r="181" spans="1:20" ht="25.5" x14ac:dyDescent="0.25">
      <c r="A181" s="658" t="s">
        <v>1300</v>
      </c>
      <c r="B181" s="659" t="s">
        <v>948</v>
      </c>
      <c r="C181" s="234"/>
      <c r="D181" s="235"/>
      <c r="E181" s="671"/>
      <c r="F181" s="664"/>
      <c r="G181" s="415"/>
      <c r="T181" s="23">
        <f t="shared" si="2"/>
        <v>0</v>
      </c>
    </row>
    <row r="182" spans="1:20" x14ac:dyDescent="0.25">
      <c r="A182" s="658"/>
      <c r="B182" s="673" t="s">
        <v>1248</v>
      </c>
      <c r="C182" s="234">
        <v>30</v>
      </c>
      <c r="D182" s="235" t="s">
        <v>392</v>
      </c>
      <c r="E182" s="671">
        <v>300000</v>
      </c>
      <c r="F182" s="664">
        <f t="shared" si="3"/>
        <v>9000000</v>
      </c>
      <c r="G182" s="600" t="s">
        <v>1777</v>
      </c>
      <c r="T182" s="23">
        <f t="shared" si="2"/>
        <v>9000000</v>
      </c>
    </row>
    <row r="183" spans="1:20" x14ac:dyDescent="0.25">
      <c r="A183" s="658"/>
      <c r="B183" s="673" t="s">
        <v>947</v>
      </c>
      <c r="C183" s="234">
        <v>9</v>
      </c>
      <c r="D183" s="235" t="s">
        <v>392</v>
      </c>
      <c r="E183" s="671">
        <v>378000</v>
      </c>
      <c r="F183" s="664">
        <f t="shared" si="3"/>
        <v>3402000</v>
      </c>
      <c r="G183" s="600" t="s">
        <v>1777</v>
      </c>
      <c r="T183" s="23">
        <f t="shared" si="2"/>
        <v>3402000</v>
      </c>
    </row>
    <row r="184" spans="1:20" x14ac:dyDescent="0.25">
      <c r="A184" s="672"/>
      <c r="B184" s="673" t="s">
        <v>946</v>
      </c>
      <c r="C184" s="234">
        <v>1</v>
      </c>
      <c r="D184" s="235" t="s">
        <v>269</v>
      </c>
      <c r="E184" s="671">
        <v>300000</v>
      </c>
      <c r="F184" s="664">
        <f t="shared" si="3"/>
        <v>300000</v>
      </c>
      <c r="G184" s="600" t="s">
        <v>1777</v>
      </c>
      <c r="T184" s="23">
        <f t="shared" si="2"/>
        <v>300000</v>
      </c>
    </row>
    <row r="185" spans="1:20" x14ac:dyDescent="0.25">
      <c r="A185" s="658" t="s">
        <v>1355</v>
      </c>
      <c r="B185" s="661" t="s">
        <v>442</v>
      </c>
      <c r="C185" s="234"/>
      <c r="D185" s="235"/>
      <c r="E185" s="671"/>
      <c r="F185" s="664"/>
      <c r="G185" s="408"/>
      <c r="T185" s="23">
        <f t="shared" si="2"/>
        <v>0</v>
      </c>
    </row>
    <row r="186" spans="1:20" x14ac:dyDescent="0.25">
      <c r="A186" s="658" t="s">
        <v>1356</v>
      </c>
      <c r="B186" s="661" t="s">
        <v>945</v>
      </c>
      <c r="C186" s="234"/>
      <c r="D186" s="235"/>
      <c r="E186" s="671"/>
      <c r="F186" s="664"/>
      <c r="G186" s="408"/>
      <c r="T186" s="23">
        <f t="shared" si="2"/>
        <v>0</v>
      </c>
    </row>
    <row r="187" spans="1:20" x14ac:dyDescent="0.25">
      <c r="A187" s="674"/>
      <c r="B187" s="670" t="s">
        <v>943</v>
      </c>
      <c r="C187" s="234">
        <v>1</v>
      </c>
      <c r="D187" s="235" t="s">
        <v>790</v>
      </c>
      <c r="E187" s="671">
        <v>1000000</v>
      </c>
      <c r="F187" s="664">
        <f t="shared" si="3"/>
        <v>1000000</v>
      </c>
      <c r="G187" s="600" t="s">
        <v>1777</v>
      </c>
      <c r="T187" s="23">
        <f t="shared" si="2"/>
        <v>1000000</v>
      </c>
    </row>
    <row r="188" spans="1:20" ht="25.5" x14ac:dyDescent="0.25">
      <c r="A188" s="674" t="s">
        <v>1357</v>
      </c>
      <c r="B188" s="661" t="s">
        <v>453</v>
      </c>
      <c r="C188" s="244"/>
      <c r="D188" s="241"/>
      <c r="E188" s="675"/>
      <c r="F188" s="664"/>
      <c r="G188" s="408"/>
      <c r="T188" s="23">
        <f t="shared" si="2"/>
        <v>0</v>
      </c>
    </row>
    <row r="189" spans="1:20" ht="25.5" x14ac:dyDescent="0.25">
      <c r="A189" s="674" t="s">
        <v>1358</v>
      </c>
      <c r="B189" s="661" t="s">
        <v>905</v>
      </c>
      <c r="C189" s="244"/>
      <c r="D189" s="241"/>
      <c r="E189" s="675"/>
      <c r="F189" s="664"/>
      <c r="G189" s="408"/>
      <c r="T189" s="23">
        <f t="shared" si="2"/>
        <v>0</v>
      </c>
    </row>
    <row r="190" spans="1:20" ht="24" customHeight="1" x14ac:dyDescent="0.25">
      <c r="A190" s="676"/>
      <c r="B190" s="661" t="s">
        <v>942</v>
      </c>
      <c r="C190" s="244"/>
      <c r="D190" s="241"/>
      <c r="E190" s="675"/>
      <c r="F190" s="664"/>
      <c r="G190" s="408"/>
      <c r="T190" s="23">
        <f t="shared" si="2"/>
        <v>0</v>
      </c>
    </row>
    <row r="191" spans="1:20" x14ac:dyDescent="0.25">
      <c r="A191" s="676"/>
      <c r="B191" s="661" t="s">
        <v>735</v>
      </c>
      <c r="C191" s="244"/>
      <c r="D191" s="241"/>
      <c r="E191" s="675"/>
      <c r="F191" s="664"/>
      <c r="G191" s="408"/>
      <c r="T191" s="23">
        <f t="shared" si="2"/>
        <v>0</v>
      </c>
    </row>
    <row r="192" spans="1:20" x14ac:dyDescent="0.25">
      <c r="A192" s="676"/>
      <c r="B192" s="233" t="s">
        <v>941</v>
      </c>
      <c r="C192" s="244">
        <v>3</v>
      </c>
      <c r="D192" s="241" t="s">
        <v>269</v>
      </c>
      <c r="E192" s="675">
        <v>1500000</v>
      </c>
      <c r="F192" s="664">
        <f t="shared" si="3"/>
        <v>4500000</v>
      </c>
      <c r="G192" s="600" t="s">
        <v>1777</v>
      </c>
      <c r="T192" s="23">
        <f t="shared" si="2"/>
        <v>4500000</v>
      </c>
    </row>
    <row r="193" spans="1:20" x14ac:dyDescent="0.25">
      <c r="A193" s="658"/>
      <c r="B193" s="662" t="s">
        <v>940</v>
      </c>
      <c r="C193" s="666">
        <v>3</v>
      </c>
      <c r="D193" s="667" t="s">
        <v>269</v>
      </c>
      <c r="E193" s="677">
        <v>1000000</v>
      </c>
      <c r="F193" s="664">
        <f t="shared" si="3"/>
        <v>3000000</v>
      </c>
      <c r="G193" s="600" t="s">
        <v>1777</v>
      </c>
      <c r="T193" s="23">
        <f t="shared" si="2"/>
        <v>3000000</v>
      </c>
    </row>
    <row r="194" spans="1:20" x14ac:dyDescent="0.25">
      <c r="A194" s="658"/>
      <c r="B194" s="662" t="s">
        <v>939</v>
      </c>
      <c r="C194" s="234">
        <v>3</v>
      </c>
      <c r="D194" s="235" t="s">
        <v>269</v>
      </c>
      <c r="E194" s="671">
        <v>750000</v>
      </c>
      <c r="F194" s="664">
        <f t="shared" si="3"/>
        <v>2250000</v>
      </c>
      <c r="G194" s="600" t="s">
        <v>1777</v>
      </c>
      <c r="T194" s="23">
        <f t="shared" si="2"/>
        <v>2250000</v>
      </c>
    </row>
    <row r="195" spans="1:20" x14ac:dyDescent="0.25">
      <c r="A195" s="669"/>
      <c r="B195" s="659" t="s">
        <v>938</v>
      </c>
      <c r="C195" s="234"/>
      <c r="D195" s="235"/>
      <c r="E195" s="671"/>
      <c r="F195" s="664"/>
      <c r="G195" s="415"/>
      <c r="T195" s="23">
        <f t="shared" si="2"/>
        <v>0</v>
      </c>
    </row>
    <row r="196" spans="1:20" x14ac:dyDescent="0.25">
      <c r="A196" s="669"/>
      <c r="B196" s="670" t="s">
        <v>1249</v>
      </c>
      <c r="C196" s="234">
        <v>3</v>
      </c>
      <c r="D196" s="235" t="s">
        <v>133</v>
      </c>
      <c r="E196" s="671">
        <v>1200000</v>
      </c>
      <c r="F196" s="664">
        <f t="shared" si="3"/>
        <v>3600000</v>
      </c>
      <c r="G196" s="600" t="s">
        <v>1777</v>
      </c>
      <c r="T196" s="23">
        <f t="shared" si="2"/>
        <v>3600000</v>
      </c>
    </row>
    <row r="197" spans="1:20" x14ac:dyDescent="0.25">
      <c r="A197" s="669"/>
      <c r="B197" s="659" t="s">
        <v>936</v>
      </c>
      <c r="C197" s="234"/>
      <c r="D197" s="235"/>
      <c r="E197" s="671"/>
      <c r="F197" s="664"/>
      <c r="G197" s="415"/>
      <c r="T197" s="23">
        <f t="shared" si="2"/>
        <v>0</v>
      </c>
    </row>
    <row r="198" spans="1:20" x14ac:dyDescent="0.25">
      <c r="A198" s="674"/>
      <c r="B198" s="670" t="s">
        <v>935</v>
      </c>
      <c r="C198" s="234">
        <v>36</v>
      </c>
      <c r="D198" s="235" t="s">
        <v>106</v>
      </c>
      <c r="E198" s="671">
        <v>5000</v>
      </c>
      <c r="F198" s="664">
        <f t="shared" si="3"/>
        <v>180000</v>
      </c>
      <c r="G198" s="600" t="s">
        <v>1777</v>
      </c>
      <c r="T198" s="23">
        <f t="shared" si="2"/>
        <v>180000</v>
      </c>
    </row>
    <row r="199" spans="1:20" ht="25.5" x14ac:dyDescent="0.25">
      <c r="A199" s="669"/>
      <c r="B199" s="670" t="s">
        <v>934</v>
      </c>
      <c r="C199" s="234">
        <v>9</v>
      </c>
      <c r="D199" s="235" t="s">
        <v>106</v>
      </c>
      <c r="E199" s="671">
        <v>5000</v>
      </c>
      <c r="F199" s="664">
        <f t="shared" si="3"/>
        <v>45000</v>
      </c>
      <c r="G199" s="600" t="s">
        <v>1777</v>
      </c>
      <c r="T199" s="23">
        <f t="shared" si="2"/>
        <v>45000</v>
      </c>
    </row>
    <row r="200" spans="1:20" x14ac:dyDescent="0.25">
      <c r="A200" s="669"/>
      <c r="B200" s="670" t="s">
        <v>933</v>
      </c>
      <c r="C200" s="234">
        <v>9</v>
      </c>
      <c r="D200" s="235" t="s">
        <v>106</v>
      </c>
      <c r="E200" s="671">
        <v>5000</v>
      </c>
      <c r="F200" s="664">
        <f t="shared" si="3"/>
        <v>45000</v>
      </c>
      <c r="G200" s="600" t="s">
        <v>1777</v>
      </c>
      <c r="T200" s="23">
        <f t="shared" si="2"/>
        <v>45000</v>
      </c>
    </row>
    <row r="201" spans="1:20" ht="25.5" x14ac:dyDescent="0.25">
      <c r="A201" s="669"/>
      <c r="B201" s="678" t="s">
        <v>932</v>
      </c>
      <c r="C201" s="234"/>
      <c r="D201" s="235"/>
      <c r="E201" s="671"/>
      <c r="F201" s="664"/>
      <c r="G201" s="415"/>
      <c r="T201" s="23">
        <f t="shared" si="2"/>
        <v>0</v>
      </c>
    </row>
    <row r="202" spans="1:20" x14ac:dyDescent="0.25">
      <c r="A202" s="658" t="s">
        <v>1294</v>
      </c>
      <c r="B202" s="679" t="s">
        <v>277</v>
      </c>
      <c r="C202" s="234"/>
      <c r="D202" s="235"/>
      <c r="E202" s="671"/>
      <c r="F202" s="664"/>
      <c r="G202" s="415"/>
      <c r="T202" s="23">
        <f t="shared" si="2"/>
        <v>0</v>
      </c>
    </row>
    <row r="203" spans="1:20" x14ac:dyDescent="0.25">
      <c r="A203" s="680" t="s">
        <v>1295</v>
      </c>
      <c r="B203" s="661" t="s">
        <v>84</v>
      </c>
      <c r="C203" s="234"/>
      <c r="D203" s="235"/>
      <c r="E203" s="671"/>
      <c r="F203" s="664"/>
      <c r="G203" s="415"/>
      <c r="T203" s="23">
        <f t="shared" si="2"/>
        <v>0</v>
      </c>
    </row>
    <row r="204" spans="1:20" ht="25.5" x14ac:dyDescent="0.25">
      <c r="A204" s="669" t="s">
        <v>1296</v>
      </c>
      <c r="B204" s="659" t="s">
        <v>931</v>
      </c>
      <c r="C204" s="234"/>
      <c r="D204" s="235"/>
      <c r="E204" s="671"/>
      <c r="F204" s="664"/>
      <c r="G204" s="415"/>
      <c r="T204" s="23">
        <f t="shared" si="2"/>
        <v>0</v>
      </c>
    </row>
    <row r="205" spans="1:20" s="96" customFormat="1" x14ac:dyDescent="0.25">
      <c r="A205" s="1351"/>
      <c r="B205" s="1354" t="s">
        <v>1250</v>
      </c>
      <c r="C205" s="1342">
        <v>45</v>
      </c>
      <c r="D205" s="1343" t="s">
        <v>269</v>
      </c>
      <c r="E205" s="1352">
        <v>20000</v>
      </c>
      <c r="F205" s="1349">
        <f>C205*E205</f>
        <v>900000</v>
      </c>
      <c r="G205" s="1350" t="s">
        <v>1777</v>
      </c>
      <c r="H205" s="96">
        <f>15*3</f>
        <v>45</v>
      </c>
      <c r="L205" s="923"/>
      <c r="T205" s="23">
        <f>F205</f>
        <v>900000</v>
      </c>
    </row>
    <row r="206" spans="1:20" s="96" customFormat="1" x14ac:dyDescent="0.25">
      <c r="A206" s="1370"/>
      <c r="B206" s="1354" t="s">
        <v>638</v>
      </c>
      <c r="C206" s="1342">
        <v>25</v>
      </c>
      <c r="D206" s="1343" t="s">
        <v>269</v>
      </c>
      <c r="E206" s="1352">
        <v>20000</v>
      </c>
      <c r="F206" s="1349">
        <f t="shared" si="3"/>
        <v>500000</v>
      </c>
      <c r="G206" s="1350" t="s">
        <v>1506</v>
      </c>
      <c r="L206" s="923">
        <f>F206</f>
        <v>500000</v>
      </c>
      <c r="T206" s="23"/>
    </row>
    <row r="207" spans="1:20" x14ac:dyDescent="0.25">
      <c r="A207" s="658" t="s">
        <v>1359</v>
      </c>
      <c r="B207" s="659" t="s">
        <v>930</v>
      </c>
      <c r="C207" s="234"/>
      <c r="D207" s="235"/>
      <c r="E207" s="671"/>
      <c r="F207" s="664"/>
      <c r="G207" s="408"/>
      <c r="T207" s="23">
        <f t="shared" si="2"/>
        <v>0</v>
      </c>
    </row>
    <row r="208" spans="1:20" x14ac:dyDescent="0.25">
      <c r="A208" s="658"/>
      <c r="B208" s="670" t="s">
        <v>1251</v>
      </c>
      <c r="C208" s="234">
        <v>3</v>
      </c>
      <c r="D208" s="235" t="s">
        <v>133</v>
      </c>
      <c r="E208" s="671">
        <v>600000</v>
      </c>
      <c r="F208" s="664">
        <f t="shared" si="3"/>
        <v>1800000</v>
      </c>
      <c r="G208" s="600" t="s">
        <v>1777</v>
      </c>
      <c r="T208" s="23">
        <f t="shared" si="2"/>
        <v>1800000</v>
      </c>
    </row>
    <row r="209" spans="1:20" s="96" customFormat="1" x14ac:dyDescent="0.25">
      <c r="A209" s="1340"/>
      <c r="B209" s="1354" t="s">
        <v>929</v>
      </c>
      <c r="C209" s="1342">
        <v>3</v>
      </c>
      <c r="D209" s="1343" t="s">
        <v>269</v>
      </c>
      <c r="E209" s="1352">
        <v>300000</v>
      </c>
      <c r="F209" s="1349">
        <f t="shared" si="3"/>
        <v>900000</v>
      </c>
      <c r="G209" s="1350" t="s">
        <v>1777</v>
      </c>
      <c r="H209" s="923">
        <f>F208+F209</f>
        <v>2700000</v>
      </c>
      <c r="L209" s="923"/>
      <c r="T209" s="23">
        <f>F209</f>
        <v>900000</v>
      </c>
    </row>
    <row r="210" spans="1:20" x14ac:dyDescent="0.25">
      <c r="A210" s="674" t="s">
        <v>1299</v>
      </c>
      <c r="B210" s="659" t="s">
        <v>294</v>
      </c>
      <c r="C210" s="234"/>
      <c r="D210" s="235"/>
      <c r="E210" s="671"/>
      <c r="F210" s="664"/>
      <c r="G210" s="408"/>
      <c r="T210" s="23">
        <f t="shared" si="2"/>
        <v>0</v>
      </c>
    </row>
    <row r="211" spans="1:20" x14ac:dyDescent="0.25">
      <c r="A211" s="674" t="s">
        <v>1295</v>
      </c>
      <c r="B211" s="659" t="s">
        <v>928</v>
      </c>
      <c r="C211" s="234"/>
      <c r="D211" s="235"/>
      <c r="E211" s="671"/>
      <c r="F211" s="664"/>
      <c r="G211" s="408"/>
      <c r="T211" s="23">
        <f t="shared" si="2"/>
        <v>0</v>
      </c>
    </row>
    <row r="212" spans="1:20" x14ac:dyDescent="0.25">
      <c r="A212" s="681"/>
      <c r="B212" s="670" t="s">
        <v>179</v>
      </c>
      <c r="C212" s="234">
        <v>1</v>
      </c>
      <c r="D212" s="235" t="s">
        <v>444</v>
      </c>
      <c r="E212" s="671">
        <v>300000</v>
      </c>
      <c r="F212" s="664">
        <f t="shared" si="3"/>
        <v>300000</v>
      </c>
      <c r="G212" s="600" t="s">
        <v>1777</v>
      </c>
      <c r="T212" s="23">
        <f t="shared" si="2"/>
        <v>300000</v>
      </c>
    </row>
    <row r="213" spans="1:20" x14ac:dyDescent="0.25">
      <c r="A213" s="682"/>
      <c r="B213" s="670" t="s">
        <v>180</v>
      </c>
      <c r="C213" s="234">
        <v>1</v>
      </c>
      <c r="D213" s="235" t="s">
        <v>444</v>
      </c>
      <c r="E213" s="671">
        <v>250000</v>
      </c>
      <c r="F213" s="664">
        <f t="shared" si="3"/>
        <v>250000</v>
      </c>
      <c r="G213" s="600" t="s">
        <v>1777</v>
      </c>
      <c r="T213" s="23">
        <f t="shared" si="2"/>
        <v>250000</v>
      </c>
    </row>
    <row r="214" spans="1:20" x14ac:dyDescent="0.25">
      <c r="A214" s="674"/>
      <c r="B214" s="670" t="s">
        <v>331</v>
      </c>
      <c r="C214" s="234">
        <v>3</v>
      </c>
      <c r="D214" s="235" t="s">
        <v>444</v>
      </c>
      <c r="E214" s="671">
        <v>200000</v>
      </c>
      <c r="F214" s="664">
        <f t="shared" si="3"/>
        <v>600000</v>
      </c>
      <c r="G214" s="600" t="s">
        <v>1777</v>
      </c>
      <c r="T214" s="23">
        <f t="shared" si="2"/>
        <v>600000</v>
      </c>
    </row>
    <row r="215" spans="1:20" ht="25.5" x14ac:dyDescent="0.25">
      <c r="A215" s="674" t="s">
        <v>1300</v>
      </c>
      <c r="B215" s="661" t="s">
        <v>656</v>
      </c>
      <c r="C215" s="234"/>
      <c r="D215" s="235"/>
      <c r="E215" s="671"/>
      <c r="F215" s="664"/>
      <c r="G215" s="408"/>
      <c r="T215" s="23">
        <f t="shared" si="2"/>
        <v>0</v>
      </c>
    </row>
    <row r="216" spans="1:20" s="96" customFormat="1" x14ac:dyDescent="0.25">
      <c r="A216" s="1340"/>
      <c r="B216" s="1897" t="s">
        <v>1252</v>
      </c>
      <c r="C216" s="1342">
        <v>9</v>
      </c>
      <c r="D216" s="1343" t="s">
        <v>269</v>
      </c>
      <c r="E216" s="1352">
        <v>150000</v>
      </c>
      <c r="F216" s="1349">
        <f t="shared" si="3"/>
        <v>1350000</v>
      </c>
      <c r="G216" s="1350" t="s">
        <v>1506</v>
      </c>
      <c r="L216" s="923">
        <f>F216</f>
        <v>1350000</v>
      </c>
      <c r="T216" s="23"/>
    </row>
    <row r="217" spans="1:20" ht="25.5" x14ac:dyDescent="0.25">
      <c r="A217" s="658" t="s">
        <v>1357</v>
      </c>
      <c r="B217" s="683" t="s">
        <v>453</v>
      </c>
      <c r="C217" s="234"/>
      <c r="D217" s="235"/>
      <c r="E217" s="671"/>
      <c r="F217" s="664"/>
      <c r="G217" s="408"/>
      <c r="T217" s="23">
        <f t="shared" si="2"/>
        <v>0</v>
      </c>
    </row>
    <row r="218" spans="1:20" x14ac:dyDescent="0.25">
      <c r="A218" s="658" t="s">
        <v>1360</v>
      </c>
      <c r="B218" s="239" t="s">
        <v>1253</v>
      </c>
      <c r="C218" s="234">
        <v>3</v>
      </c>
      <c r="D218" s="235" t="s">
        <v>269</v>
      </c>
      <c r="E218" s="684">
        <v>50000</v>
      </c>
      <c r="F218" s="664">
        <f>C218*E218</f>
        <v>150000</v>
      </c>
      <c r="G218" s="600" t="s">
        <v>1777</v>
      </c>
      <c r="T218" s="23">
        <f>F218</f>
        <v>150000</v>
      </c>
    </row>
    <row r="219" spans="1:20" x14ac:dyDescent="0.25">
      <c r="A219" s="680"/>
      <c r="B219" s="685"/>
      <c r="C219" s="234"/>
      <c r="D219" s="235"/>
      <c r="E219" s="686"/>
      <c r="F219" s="687"/>
      <c r="G219" s="415"/>
    </row>
    <row r="220" spans="1:20" x14ac:dyDescent="0.25">
      <c r="A220" s="688"/>
      <c r="B220" s="2081" t="s">
        <v>26</v>
      </c>
      <c r="C220" s="2082"/>
      <c r="D220" s="2082"/>
      <c r="E220" s="2083"/>
      <c r="F220" s="689">
        <f>SUM(F162:F218)</f>
        <v>42947000</v>
      </c>
      <c r="G220" s="600"/>
      <c r="T220" s="23"/>
    </row>
    <row r="221" spans="1:20" x14ac:dyDescent="0.25">
      <c r="A221" s="1926" t="s">
        <v>516</v>
      </c>
      <c r="B221" s="1926"/>
      <c r="C221" s="152" t="s">
        <v>27</v>
      </c>
      <c r="D221" s="1926" t="s">
        <v>3654</v>
      </c>
      <c r="E221" s="1926"/>
      <c r="F221" s="1926"/>
      <c r="G221" s="152"/>
    </row>
    <row r="222" spans="1:20" x14ac:dyDescent="0.25">
      <c r="A222" s="1926" t="s">
        <v>28</v>
      </c>
      <c r="B222" s="1926"/>
      <c r="C222" s="152"/>
      <c r="D222" s="1927" t="s">
        <v>3570</v>
      </c>
      <c r="E222" s="1927"/>
      <c r="F222" s="1927"/>
      <c r="G222" s="152"/>
    </row>
    <row r="223" spans="1:20" x14ac:dyDescent="0.25">
      <c r="A223" s="150"/>
      <c r="B223" s="151"/>
      <c r="C223" s="152"/>
      <c r="D223" s="153"/>
      <c r="E223" s="182"/>
      <c r="F223" s="1208">
        <f>RAK!I695-'Bid 3b'!F220</f>
        <v>0</v>
      </c>
      <c r="G223" s="152"/>
    </row>
    <row r="224" spans="1:20" x14ac:dyDescent="0.25">
      <c r="A224" s="150"/>
      <c r="B224" s="151"/>
      <c r="C224" s="152"/>
      <c r="D224" s="153"/>
      <c r="E224" s="182"/>
      <c r="F224" s="1208"/>
      <c r="G224" s="152"/>
    </row>
    <row r="225" spans="1:7" x14ac:dyDescent="0.25">
      <c r="A225" s="1926"/>
      <c r="B225" s="1926"/>
      <c r="C225" s="152"/>
      <c r="D225" s="153"/>
      <c r="E225" s="2003"/>
      <c r="F225" s="2003"/>
      <c r="G225" s="152"/>
    </row>
    <row r="226" spans="1:7" x14ac:dyDescent="0.25">
      <c r="A226" s="1926" t="s">
        <v>29</v>
      </c>
      <c r="B226" s="1926"/>
      <c r="C226" s="152"/>
      <c r="D226" s="1926" t="s">
        <v>3548</v>
      </c>
      <c r="E226" s="1926"/>
      <c r="F226" s="1926"/>
      <c r="G226" s="152"/>
    </row>
    <row r="227" spans="1:7" x14ac:dyDescent="0.25">
      <c r="A227" s="2087" t="s">
        <v>0</v>
      </c>
      <c r="B227" s="2087"/>
      <c r="C227" s="2087"/>
      <c r="D227" s="2087"/>
      <c r="E227" s="2087"/>
      <c r="F227" s="2087"/>
      <c r="G227" s="2087"/>
    </row>
    <row r="228" spans="1:7" x14ac:dyDescent="0.25">
      <c r="A228" s="2087" t="s">
        <v>1</v>
      </c>
      <c r="B228" s="2087"/>
      <c r="C228" s="2087"/>
      <c r="D228" s="2087"/>
      <c r="E228" s="2087"/>
      <c r="F228" s="2087"/>
      <c r="G228" s="2087"/>
    </row>
    <row r="229" spans="1:7" x14ac:dyDescent="0.25">
      <c r="A229" s="2087" t="s">
        <v>2398</v>
      </c>
      <c r="B229" s="2087"/>
      <c r="C229" s="2087"/>
      <c r="D229" s="2087"/>
      <c r="E229" s="2087"/>
      <c r="F229" s="2087"/>
      <c r="G229" s="2087"/>
    </row>
    <row r="230" spans="1:7" x14ac:dyDescent="0.25">
      <c r="A230" s="1322"/>
      <c r="B230" s="1323"/>
      <c r="C230" s="1322"/>
      <c r="D230" s="1322"/>
      <c r="E230" s="1322"/>
      <c r="F230" s="1322"/>
      <c r="G230" s="1324"/>
    </row>
    <row r="231" spans="1:7" ht="30" x14ac:dyDescent="0.25">
      <c r="A231" s="1325" t="s">
        <v>251</v>
      </c>
      <c r="B231" s="1326" t="s">
        <v>954</v>
      </c>
      <c r="C231" s="1325"/>
      <c r="D231" s="1325"/>
      <c r="E231" s="1327" t="s">
        <v>6</v>
      </c>
      <c r="F231" s="1327"/>
      <c r="G231" s="1328"/>
    </row>
    <row r="232" spans="1:7" ht="15" customHeight="1" x14ac:dyDescent="0.25">
      <c r="A232" s="1326" t="s">
        <v>252</v>
      </c>
      <c r="B232" s="1325" t="s">
        <v>953</v>
      </c>
      <c r="C232" s="1326"/>
      <c r="D232" s="1326"/>
      <c r="E232" s="1329" t="s">
        <v>9</v>
      </c>
      <c r="F232" s="1329"/>
      <c r="G232" s="1328"/>
    </row>
    <row r="233" spans="1:7" ht="90" x14ac:dyDescent="0.25">
      <c r="A233" s="1326" t="s">
        <v>253</v>
      </c>
      <c r="B233" s="1326" t="s">
        <v>2463</v>
      </c>
      <c r="C233" s="1326"/>
      <c r="D233" s="1326"/>
      <c r="E233" s="1326"/>
      <c r="F233" s="1326"/>
      <c r="G233" s="1328"/>
    </row>
    <row r="234" spans="1:7" x14ac:dyDescent="0.25">
      <c r="A234" s="1330" t="s">
        <v>59</v>
      </c>
      <c r="B234" s="1331" t="s">
        <v>60</v>
      </c>
      <c r="C234" s="1330"/>
      <c r="D234" s="1330"/>
      <c r="E234" s="1330"/>
      <c r="F234" s="1330"/>
      <c r="G234" s="1332"/>
    </row>
    <row r="235" spans="1:7" x14ac:dyDescent="0.25">
      <c r="A235" s="1330" t="s">
        <v>61</v>
      </c>
      <c r="B235" s="1331" t="s">
        <v>62</v>
      </c>
      <c r="C235" s="1330"/>
      <c r="D235" s="2088"/>
      <c r="E235" s="2088"/>
      <c r="F235" s="1330"/>
      <c r="G235" s="1328"/>
    </row>
    <row r="236" spans="1:7" ht="30" x14ac:dyDescent="0.25">
      <c r="A236" s="1333" t="s">
        <v>951</v>
      </c>
      <c r="B236" s="1333" t="s">
        <v>950</v>
      </c>
      <c r="C236" s="2089" t="s">
        <v>12</v>
      </c>
      <c r="D236" s="2089"/>
      <c r="E236" s="1334" t="s">
        <v>13</v>
      </c>
      <c r="F236" s="1333" t="s">
        <v>14</v>
      </c>
      <c r="G236" s="1335" t="s">
        <v>256</v>
      </c>
    </row>
    <row r="237" spans="1:7" x14ac:dyDescent="0.25">
      <c r="A237" s="1336">
        <v>1</v>
      </c>
      <c r="B237" s="1333">
        <v>2</v>
      </c>
      <c r="C237" s="2090">
        <v>3</v>
      </c>
      <c r="D237" s="2091"/>
      <c r="E237" s="1338">
        <v>4</v>
      </c>
      <c r="F237" s="1337">
        <v>5</v>
      </c>
      <c r="G237" s="1339">
        <v>11</v>
      </c>
    </row>
    <row r="238" spans="1:7" x14ac:dyDescent="0.25">
      <c r="A238" s="1340" t="s">
        <v>1294</v>
      </c>
      <c r="B238" s="1341" t="s">
        <v>277</v>
      </c>
      <c r="C238" s="1342"/>
      <c r="D238" s="1343"/>
      <c r="E238" s="1344"/>
      <c r="F238" s="1344"/>
      <c r="G238" s="1345"/>
    </row>
    <row r="239" spans="1:7" x14ac:dyDescent="0.25">
      <c r="A239" s="1340" t="s">
        <v>1295</v>
      </c>
      <c r="B239" s="1346" t="s">
        <v>84</v>
      </c>
      <c r="C239" s="1342"/>
      <c r="D239" s="1343"/>
      <c r="E239" s="1344"/>
      <c r="F239" s="1344"/>
      <c r="G239" s="1345"/>
    </row>
    <row r="240" spans="1:7" ht="25.5" x14ac:dyDescent="0.25">
      <c r="A240" s="1340" t="s">
        <v>1296</v>
      </c>
      <c r="B240" s="1347" t="s">
        <v>307</v>
      </c>
      <c r="C240" s="1342"/>
      <c r="D240" s="1343"/>
      <c r="E240" s="1348"/>
      <c r="F240" s="1349"/>
      <c r="G240" s="1350"/>
    </row>
    <row r="241" spans="1:7" x14ac:dyDescent="0.25">
      <c r="A241" s="1363"/>
      <c r="B241" s="1347" t="s">
        <v>1255</v>
      </c>
      <c r="C241" s="1364"/>
      <c r="D241" s="1365"/>
      <c r="E241" s="1366"/>
      <c r="F241" s="1349"/>
      <c r="G241" s="1350"/>
    </row>
    <row r="242" spans="1:7" x14ac:dyDescent="0.25">
      <c r="A242" s="1351"/>
      <c r="B242" s="1354" t="s">
        <v>1255</v>
      </c>
      <c r="C242" s="1342">
        <v>30</v>
      </c>
      <c r="D242" s="1343" t="s">
        <v>269</v>
      </c>
      <c r="E242" s="1352">
        <v>20000</v>
      </c>
      <c r="F242" s="1349">
        <f t="shared" ref="F242" si="4">C242*E242</f>
        <v>600000</v>
      </c>
      <c r="G242" s="1350"/>
    </row>
    <row r="243" spans="1:7" x14ac:dyDescent="0.25">
      <c r="A243" s="1351"/>
      <c r="B243" s="1347" t="s">
        <v>1250</v>
      </c>
      <c r="C243" s="1342"/>
      <c r="D243" s="1343"/>
      <c r="E243" s="1352"/>
      <c r="F243" s="1349"/>
      <c r="G243" s="1350"/>
    </row>
    <row r="244" spans="1:7" ht="38.25" x14ac:dyDescent="0.25">
      <c r="A244" s="1351"/>
      <c r="B244" s="1353" t="s">
        <v>2457</v>
      </c>
      <c r="C244" s="1342">
        <f>47*5</f>
        <v>235</v>
      </c>
      <c r="D244" s="1343" t="s">
        <v>269</v>
      </c>
      <c r="E244" s="1352">
        <v>20000</v>
      </c>
      <c r="F244" s="1349">
        <f t="shared" ref="F244" si="5">C244*E244</f>
        <v>4700000</v>
      </c>
      <c r="G244" s="1350"/>
    </row>
    <row r="245" spans="1:7" x14ac:dyDescent="0.25">
      <c r="A245" s="1340"/>
      <c r="B245" s="1347" t="s">
        <v>1519</v>
      </c>
      <c r="C245" s="1342"/>
      <c r="D245" s="1343"/>
      <c r="E245" s="1352"/>
      <c r="F245" s="1349"/>
      <c r="G245" s="1350"/>
    </row>
    <row r="246" spans="1:7" ht="25.5" x14ac:dyDescent="0.25">
      <c r="A246" s="1369"/>
      <c r="B246" s="1353" t="s">
        <v>2458</v>
      </c>
      <c r="C246" s="1342">
        <v>46</v>
      </c>
      <c r="D246" s="1343" t="s">
        <v>269</v>
      </c>
      <c r="E246" s="1352">
        <v>20000</v>
      </c>
      <c r="F246" s="1349">
        <f t="shared" ref="F246" si="6">C246*E246</f>
        <v>920000</v>
      </c>
      <c r="G246" s="1350"/>
    </row>
    <row r="247" spans="1:7" x14ac:dyDescent="0.25">
      <c r="A247" s="1351"/>
      <c r="B247" s="1347" t="s">
        <v>1521</v>
      </c>
      <c r="C247" s="1342"/>
      <c r="D247" s="1343"/>
      <c r="E247" s="1352"/>
      <c r="F247" s="1349"/>
      <c r="G247" s="1350"/>
    </row>
    <row r="248" spans="1:7" ht="38.25" x14ac:dyDescent="0.25">
      <c r="A248" s="1351"/>
      <c r="B248" s="1353" t="s">
        <v>2459</v>
      </c>
      <c r="C248" s="1342">
        <v>89</v>
      </c>
      <c r="D248" s="1343" t="s">
        <v>269</v>
      </c>
      <c r="E248" s="1352">
        <v>20000</v>
      </c>
      <c r="F248" s="1349">
        <f t="shared" ref="F248" si="7">C248*E248</f>
        <v>1780000</v>
      </c>
      <c r="G248" s="1350"/>
    </row>
    <row r="249" spans="1:7" ht="25.5" x14ac:dyDescent="0.25">
      <c r="A249" s="1340" t="s">
        <v>1297</v>
      </c>
      <c r="B249" s="1341" t="s">
        <v>1247</v>
      </c>
      <c r="C249" s="1342"/>
      <c r="D249" s="1343"/>
      <c r="E249" s="1352"/>
      <c r="F249" s="1349"/>
      <c r="G249" s="1350"/>
    </row>
    <row r="250" spans="1:7" x14ac:dyDescent="0.25">
      <c r="A250" s="1351"/>
      <c r="B250" s="1354" t="s">
        <v>761</v>
      </c>
      <c r="C250" s="1342">
        <v>4</v>
      </c>
      <c r="D250" s="1343" t="s">
        <v>106</v>
      </c>
      <c r="E250" s="1352">
        <v>90000</v>
      </c>
      <c r="F250" s="1349">
        <f t="shared" ref="F250" si="8">C250*E250</f>
        <v>360000</v>
      </c>
      <c r="G250" s="1350"/>
    </row>
    <row r="251" spans="1:7" x14ac:dyDescent="0.25">
      <c r="A251" s="1340" t="s">
        <v>1298</v>
      </c>
      <c r="B251" s="1347" t="s">
        <v>273</v>
      </c>
      <c r="C251" s="1342"/>
      <c r="D251" s="1343"/>
      <c r="E251" s="1352"/>
      <c r="F251" s="1349"/>
      <c r="G251" s="1350"/>
    </row>
    <row r="252" spans="1:7" x14ac:dyDescent="0.25">
      <c r="A252" s="1367"/>
      <c r="B252" s="1353" t="s">
        <v>422</v>
      </c>
      <c r="C252" s="1342">
        <v>2</v>
      </c>
      <c r="D252" s="1343" t="s">
        <v>93</v>
      </c>
      <c r="E252" s="1352">
        <v>50000</v>
      </c>
      <c r="F252" s="1349">
        <f t="shared" ref="F252:F255" si="9">C252*E252</f>
        <v>100000</v>
      </c>
      <c r="G252" s="1350"/>
    </row>
    <row r="253" spans="1:7" x14ac:dyDescent="0.25">
      <c r="A253" s="1367"/>
      <c r="B253" s="1353" t="s">
        <v>275</v>
      </c>
      <c r="C253" s="1342">
        <v>5</v>
      </c>
      <c r="D253" s="1343" t="s">
        <v>1523</v>
      </c>
      <c r="E253" s="1352">
        <v>1000</v>
      </c>
      <c r="F253" s="1349">
        <f t="shared" si="9"/>
        <v>5000</v>
      </c>
      <c r="G253" s="1350"/>
    </row>
    <row r="254" spans="1:7" x14ac:dyDescent="0.25">
      <c r="A254" s="1367"/>
      <c r="B254" s="1353" t="s">
        <v>289</v>
      </c>
      <c r="C254" s="1342">
        <v>1</v>
      </c>
      <c r="D254" s="1343" t="s">
        <v>1516</v>
      </c>
      <c r="E254" s="1352">
        <v>10000</v>
      </c>
      <c r="F254" s="1349">
        <f t="shared" si="9"/>
        <v>10000</v>
      </c>
      <c r="G254" s="1350"/>
    </row>
    <row r="255" spans="1:7" x14ac:dyDescent="0.25">
      <c r="A255" s="1368"/>
      <c r="B255" s="1353" t="s">
        <v>347</v>
      </c>
      <c r="C255" s="1342">
        <v>3</v>
      </c>
      <c r="D255" s="1343" t="s">
        <v>106</v>
      </c>
      <c r="E255" s="1352">
        <v>15000</v>
      </c>
      <c r="F255" s="1349">
        <f t="shared" si="9"/>
        <v>45000</v>
      </c>
      <c r="G255" s="1350"/>
    </row>
    <row r="256" spans="1:7" x14ac:dyDescent="0.25">
      <c r="A256" s="1340" t="s">
        <v>1299</v>
      </c>
      <c r="B256" s="1341" t="s">
        <v>294</v>
      </c>
      <c r="C256" s="1342"/>
      <c r="D256" s="1343"/>
      <c r="E256" s="1352"/>
      <c r="F256" s="1349"/>
      <c r="G256" s="1350"/>
    </row>
    <row r="257" spans="1:7" ht="25.5" x14ac:dyDescent="0.25">
      <c r="A257" s="1340" t="s">
        <v>2599</v>
      </c>
      <c r="B257" s="1341" t="s">
        <v>686</v>
      </c>
      <c r="C257" s="1342"/>
      <c r="D257" s="1343"/>
      <c r="E257" s="1352"/>
      <c r="F257" s="1349"/>
      <c r="G257" s="1350"/>
    </row>
    <row r="258" spans="1:7" x14ac:dyDescent="0.25">
      <c r="A258" s="1340"/>
      <c r="B258" s="1354" t="s">
        <v>179</v>
      </c>
      <c r="C258" s="1342">
        <v>1</v>
      </c>
      <c r="D258" s="1343" t="s">
        <v>269</v>
      </c>
      <c r="E258" s="1352">
        <v>300000</v>
      </c>
      <c r="F258" s="1349">
        <f>E258*C258</f>
        <v>300000</v>
      </c>
      <c r="G258" s="1350"/>
    </row>
    <row r="259" spans="1:7" x14ac:dyDescent="0.25">
      <c r="A259" s="1340"/>
      <c r="B259" s="1354" t="s">
        <v>180</v>
      </c>
      <c r="C259" s="1342">
        <v>1</v>
      </c>
      <c r="D259" s="1343" t="s">
        <v>269</v>
      </c>
      <c r="E259" s="1352">
        <v>250000</v>
      </c>
      <c r="F259" s="1349">
        <f t="shared" ref="F259:F260" si="10">E259*C259</f>
        <v>250000</v>
      </c>
      <c r="G259" s="1350"/>
    </row>
    <row r="260" spans="1:7" x14ac:dyDescent="0.25">
      <c r="A260" s="1340"/>
      <c r="B260" s="1354" t="s">
        <v>331</v>
      </c>
      <c r="C260" s="1342">
        <v>1</v>
      </c>
      <c r="D260" s="1343" t="s">
        <v>269</v>
      </c>
      <c r="E260" s="1352">
        <v>200000</v>
      </c>
      <c r="F260" s="1349">
        <f t="shared" si="10"/>
        <v>200000</v>
      </c>
      <c r="G260" s="1350"/>
    </row>
    <row r="261" spans="1:7" ht="25.5" x14ac:dyDescent="0.25">
      <c r="A261" s="1340" t="s">
        <v>1300</v>
      </c>
      <c r="B261" s="1341" t="s">
        <v>948</v>
      </c>
      <c r="C261" s="1342"/>
      <c r="D261" s="1343"/>
      <c r="E261" s="1352"/>
      <c r="F261" s="1349"/>
      <c r="G261" s="1350"/>
    </row>
    <row r="262" spans="1:7" x14ac:dyDescent="0.25">
      <c r="A262" s="1340"/>
      <c r="B262" s="1355" t="s">
        <v>1248</v>
      </c>
      <c r="C262" s="1342">
        <v>30</v>
      </c>
      <c r="D262" s="1343" t="s">
        <v>392</v>
      </c>
      <c r="E262" s="1352">
        <v>300000</v>
      </c>
      <c r="F262" s="1349">
        <f t="shared" ref="F262:F264" si="11">C262*E262</f>
        <v>9000000</v>
      </c>
      <c r="G262" s="1350"/>
    </row>
    <row r="263" spans="1:7" x14ac:dyDescent="0.25">
      <c r="A263" s="1340"/>
      <c r="B263" s="1355" t="s">
        <v>947</v>
      </c>
      <c r="C263" s="1342">
        <v>9</v>
      </c>
      <c r="D263" s="1343" t="s">
        <v>392</v>
      </c>
      <c r="E263" s="1352">
        <v>300000</v>
      </c>
      <c r="F263" s="1349">
        <f t="shared" si="11"/>
        <v>2700000</v>
      </c>
      <c r="G263" s="1350"/>
    </row>
    <row r="264" spans="1:7" x14ac:dyDescent="0.25">
      <c r="A264" s="1369"/>
      <c r="B264" s="1355" t="s">
        <v>946</v>
      </c>
      <c r="C264" s="1342">
        <v>1</v>
      </c>
      <c r="D264" s="1343" t="s">
        <v>269</v>
      </c>
      <c r="E264" s="1352">
        <v>300000</v>
      </c>
      <c r="F264" s="1349">
        <f t="shared" si="11"/>
        <v>300000</v>
      </c>
      <c r="G264" s="1350"/>
    </row>
    <row r="265" spans="1:7" x14ac:dyDescent="0.25">
      <c r="A265" s="1340" t="s">
        <v>1355</v>
      </c>
      <c r="B265" s="1347" t="s">
        <v>442</v>
      </c>
      <c r="C265" s="1342"/>
      <c r="D265" s="1343"/>
      <c r="E265" s="1352"/>
      <c r="F265" s="1349"/>
      <c r="G265" s="1335"/>
    </row>
    <row r="266" spans="1:7" x14ac:dyDescent="0.25">
      <c r="A266" s="1340" t="s">
        <v>1356</v>
      </c>
      <c r="B266" s="1347" t="s">
        <v>945</v>
      </c>
      <c r="C266" s="1342"/>
      <c r="D266" s="1343"/>
      <c r="E266" s="1352"/>
      <c r="F266" s="1349"/>
      <c r="G266" s="1335"/>
    </row>
    <row r="267" spans="1:7" x14ac:dyDescent="0.25">
      <c r="A267" s="1359"/>
      <c r="B267" s="1354" t="s">
        <v>943</v>
      </c>
      <c r="C267" s="1342">
        <v>1</v>
      </c>
      <c r="D267" s="1343" t="s">
        <v>790</v>
      </c>
      <c r="E267" s="1352">
        <v>1000000</v>
      </c>
      <c r="F267" s="1349">
        <f t="shared" ref="F267" si="12">C267*E267</f>
        <v>1000000</v>
      </c>
      <c r="G267" s="1335"/>
    </row>
    <row r="268" spans="1:7" ht="25.5" x14ac:dyDescent="0.25">
      <c r="A268" s="1359" t="s">
        <v>1357</v>
      </c>
      <c r="B268" s="1347" t="s">
        <v>453</v>
      </c>
      <c r="C268" s="1360"/>
      <c r="D268" s="1361"/>
      <c r="E268" s="1362"/>
      <c r="F268" s="1349"/>
      <c r="G268" s="1335"/>
    </row>
    <row r="269" spans="1:7" ht="25.5" x14ac:dyDescent="0.25">
      <c r="A269" s="1359" t="s">
        <v>1358</v>
      </c>
      <c r="B269" s="1347" t="s">
        <v>905</v>
      </c>
      <c r="C269" s="1360"/>
      <c r="D269" s="1361"/>
      <c r="E269" s="1362"/>
      <c r="F269" s="1349"/>
      <c r="G269" s="1335"/>
    </row>
    <row r="270" spans="1:7" x14ac:dyDescent="0.25">
      <c r="A270" s="1370"/>
      <c r="B270" s="1347" t="s">
        <v>2462</v>
      </c>
      <c r="C270" s="1360"/>
      <c r="D270" s="1361"/>
      <c r="E270" s="1362"/>
      <c r="F270" s="1349"/>
      <c r="G270" s="1335"/>
    </row>
    <row r="271" spans="1:7" x14ac:dyDescent="0.25">
      <c r="A271" s="1370"/>
      <c r="B271" s="1347" t="s">
        <v>735</v>
      </c>
      <c r="C271" s="1360"/>
      <c r="D271" s="1361"/>
      <c r="E271" s="1362"/>
      <c r="F271" s="1349"/>
      <c r="G271" s="1335"/>
    </row>
    <row r="272" spans="1:7" x14ac:dyDescent="0.25">
      <c r="A272" s="1370"/>
      <c r="B272" s="1363" t="s">
        <v>941</v>
      </c>
      <c r="C272" s="1360">
        <v>2</v>
      </c>
      <c r="D272" s="1361" t="s">
        <v>269</v>
      </c>
      <c r="E272" s="1362">
        <v>1000000</v>
      </c>
      <c r="F272" s="1349">
        <f t="shared" ref="F272:F274" si="13">C272*E272</f>
        <v>2000000</v>
      </c>
      <c r="G272" s="1335"/>
    </row>
    <row r="273" spans="1:20" x14ac:dyDescent="0.25">
      <c r="A273" s="1340"/>
      <c r="B273" s="1353" t="s">
        <v>940</v>
      </c>
      <c r="C273" s="1364">
        <v>2</v>
      </c>
      <c r="D273" s="1365" t="s">
        <v>269</v>
      </c>
      <c r="E273" s="1371">
        <v>750000</v>
      </c>
      <c r="F273" s="1349">
        <f t="shared" si="13"/>
        <v>1500000</v>
      </c>
      <c r="G273" s="1350"/>
    </row>
    <row r="274" spans="1:20" x14ac:dyDescent="0.25">
      <c r="A274" s="1340"/>
      <c r="B274" s="1353" t="s">
        <v>939</v>
      </c>
      <c r="C274" s="1342">
        <v>2</v>
      </c>
      <c r="D274" s="1343" t="s">
        <v>269</v>
      </c>
      <c r="E274" s="1352">
        <v>500000</v>
      </c>
      <c r="F274" s="1349">
        <f t="shared" si="13"/>
        <v>1000000</v>
      </c>
      <c r="G274" s="1350"/>
    </row>
    <row r="275" spans="1:20" x14ac:dyDescent="0.25">
      <c r="A275" s="1351"/>
      <c r="B275" s="1341" t="s">
        <v>938</v>
      </c>
      <c r="C275" s="1342"/>
      <c r="D275" s="1343"/>
      <c r="E275" s="1352"/>
      <c r="F275" s="1349"/>
      <c r="G275" s="1350"/>
    </row>
    <row r="276" spans="1:20" x14ac:dyDescent="0.25">
      <c r="A276" s="1351"/>
      <c r="B276" s="1354" t="s">
        <v>1249</v>
      </c>
      <c r="C276" s="1342">
        <v>2</v>
      </c>
      <c r="D276" s="1343" t="s">
        <v>133</v>
      </c>
      <c r="E276" s="1352">
        <v>1200000</v>
      </c>
      <c r="F276" s="1349">
        <f t="shared" ref="F276" si="14">C276*E276</f>
        <v>2400000</v>
      </c>
      <c r="G276" s="1350"/>
    </row>
    <row r="277" spans="1:20" x14ac:dyDescent="0.25">
      <c r="A277" s="1351"/>
      <c r="B277" s="1341" t="s">
        <v>936</v>
      </c>
      <c r="C277" s="1342"/>
      <c r="D277" s="1343"/>
      <c r="E277" s="1352"/>
      <c r="F277" s="1349"/>
      <c r="G277" s="1350"/>
    </row>
    <row r="278" spans="1:20" x14ac:dyDescent="0.25">
      <c r="A278" s="1359"/>
      <c r="B278" s="1354" t="s">
        <v>1034</v>
      </c>
      <c r="C278" s="1342">
        <v>36</v>
      </c>
      <c r="D278" s="1343" t="s">
        <v>106</v>
      </c>
      <c r="E278" s="1352">
        <v>5000</v>
      </c>
      <c r="F278" s="1349">
        <f t="shared" ref="F278:F280" si="15">C278*E278</f>
        <v>180000</v>
      </c>
      <c r="G278" s="1350"/>
    </row>
    <row r="279" spans="1:20" x14ac:dyDescent="0.25">
      <c r="A279" s="1351"/>
      <c r="B279" s="1354" t="s">
        <v>2460</v>
      </c>
      <c r="C279" s="1342">
        <v>9</v>
      </c>
      <c r="D279" s="1343" t="s">
        <v>106</v>
      </c>
      <c r="E279" s="1352">
        <v>5000</v>
      </c>
      <c r="F279" s="1349">
        <f t="shared" si="15"/>
        <v>45000</v>
      </c>
      <c r="G279" s="1350"/>
    </row>
    <row r="280" spans="1:20" x14ac:dyDescent="0.25">
      <c r="A280" s="1351"/>
      <c r="B280" s="1354" t="s">
        <v>2461</v>
      </c>
      <c r="C280" s="1342">
        <v>9</v>
      </c>
      <c r="D280" s="1343" t="s">
        <v>106</v>
      </c>
      <c r="E280" s="1352">
        <v>5000</v>
      </c>
      <c r="F280" s="1349">
        <f t="shared" si="15"/>
        <v>45000</v>
      </c>
      <c r="G280" s="1350"/>
    </row>
    <row r="281" spans="1:20" x14ac:dyDescent="0.25">
      <c r="A281" s="1372"/>
      <c r="B281" s="1373"/>
      <c r="C281" s="1342"/>
      <c r="D281" s="1343"/>
      <c r="E281" s="1374"/>
      <c r="F281" s="1375"/>
      <c r="G281" s="1350"/>
    </row>
    <row r="282" spans="1:20" x14ac:dyDescent="0.25">
      <c r="A282" s="1356"/>
      <c r="B282" s="2092" t="s">
        <v>26</v>
      </c>
      <c r="C282" s="2093"/>
      <c r="D282" s="2093"/>
      <c r="E282" s="2094"/>
      <c r="F282" s="1357">
        <f>SUM(F240:F280)</f>
        <v>29440000</v>
      </c>
      <c r="G282" s="1358"/>
      <c r="T282" s="23"/>
    </row>
    <row r="283" spans="1:20" x14ac:dyDescent="0.25">
      <c r="A283" s="1969" t="s">
        <v>516</v>
      </c>
      <c r="B283" s="1969"/>
      <c r="C283" s="1259" t="s">
        <v>27</v>
      </c>
      <c r="D283" s="1970" t="s">
        <v>1224</v>
      </c>
      <c r="E283" s="1970"/>
      <c r="F283" s="1970"/>
      <c r="G283" s="1259"/>
    </row>
    <row r="284" spans="1:20" x14ac:dyDescent="0.25">
      <c r="A284" s="1969" t="s">
        <v>28</v>
      </c>
      <c r="B284" s="1969"/>
      <c r="C284" s="1259"/>
      <c r="D284" s="1971" t="s">
        <v>2443</v>
      </c>
      <c r="E284" s="1971"/>
      <c r="F284" s="1971"/>
      <c r="G284" s="1259"/>
    </row>
    <row r="285" spans="1:20" x14ac:dyDescent="0.25">
      <c r="A285" s="1261"/>
      <c r="B285" s="1262"/>
      <c r="C285" s="1259"/>
      <c r="D285" s="1260"/>
      <c r="E285" s="948"/>
      <c r="F285" s="948"/>
      <c r="G285" s="1259"/>
    </row>
    <row r="286" spans="1:20" x14ac:dyDescent="0.25">
      <c r="A286" s="1261"/>
      <c r="B286" s="1262"/>
      <c r="C286" s="1259"/>
      <c r="D286" s="1260"/>
      <c r="E286" s="948"/>
      <c r="F286" s="948"/>
      <c r="G286" s="1259"/>
    </row>
    <row r="287" spans="1:20" x14ac:dyDescent="0.25">
      <c r="A287" s="1969"/>
      <c r="B287" s="1969"/>
      <c r="C287" s="1259"/>
      <c r="D287" s="1260"/>
      <c r="E287" s="1969"/>
      <c r="F287" s="1969"/>
      <c r="G287" s="1259"/>
    </row>
    <row r="288" spans="1:20" x14ac:dyDescent="0.25">
      <c r="A288" s="1969" t="s">
        <v>29</v>
      </c>
      <c r="B288" s="1969"/>
      <c r="C288" s="1259"/>
      <c r="D288" s="1969" t="s">
        <v>517</v>
      </c>
      <c r="E288" s="1969"/>
      <c r="F288" s="1969"/>
      <c r="G288" s="1259"/>
    </row>
    <row r="289" spans="1:7" x14ac:dyDescent="0.25">
      <c r="A289" s="2087" t="s">
        <v>0</v>
      </c>
      <c r="B289" s="2087"/>
      <c r="C289" s="2087"/>
      <c r="D289" s="2087"/>
      <c r="E289" s="2087"/>
      <c r="F289" s="2087"/>
      <c r="G289" s="2087"/>
    </row>
    <row r="290" spans="1:7" x14ac:dyDescent="0.25">
      <c r="A290" s="2087" t="s">
        <v>1</v>
      </c>
      <c r="B290" s="2087"/>
      <c r="C290" s="2087"/>
      <c r="D290" s="2087"/>
      <c r="E290" s="2087"/>
      <c r="F290" s="2087"/>
      <c r="G290" s="2087"/>
    </row>
    <row r="291" spans="1:7" x14ac:dyDescent="0.25">
      <c r="A291" s="2087" t="s">
        <v>2398</v>
      </c>
      <c r="B291" s="2087"/>
      <c r="C291" s="2087"/>
      <c r="D291" s="2087"/>
      <c r="E291" s="2087"/>
      <c r="F291" s="2087"/>
      <c r="G291" s="2087"/>
    </row>
    <row r="292" spans="1:7" x14ac:dyDescent="0.25">
      <c r="A292" s="1322"/>
      <c r="B292" s="1323"/>
      <c r="C292" s="1322"/>
      <c r="D292" s="1322"/>
      <c r="E292" s="1322"/>
      <c r="F292" s="1322"/>
      <c r="G292" s="1324"/>
    </row>
    <row r="293" spans="1:7" ht="30" x14ac:dyDescent="0.25">
      <c r="A293" s="1325" t="s">
        <v>251</v>
      </c>
      <c r="B293" s="1326" t="s">
        <v>954</v>
      </c>
      <c r="C293" s="1325"/>
      <c r="D293" s="1325"/>
      <c r="E293" s="1327" t="s">
        <v>6</v>
      </c>
      <c r="F293" s="1327"/>
      <c r="G293" s="1328"/>
    </row>
    <row r="294" spans="1:7" x14ac:dyDescent="0.25">
      <c r="A294" s="1326" t="s">
        <v>252</v>
      </c>
      <c r="B294" s="2138" t="s">
        <v>953</v>
      </c>
      <c r="C294" s="2138"/>
      <c r="D294" s="1326"/>
      <c r="E294" s="1329" t="s">
        <v>9</v>
      </c>
      <c r="F294" s="1329"/>
      <c r="G294" s="1328"/>
    </row>
    <row r="295" spans="1:7" ht="75" x14ac:dyDescent="0.25">
      <c r="A295" s="1326" t="s">
        <v>253</v>
      </c>
      <c r="B295" s="1326" t="s">
        <v>2585</v>
      </c>
      <c r="C295" s="1326"/>
      <c r="D295" s="1326"/>
      <c r="E295" s="1326"/>
      <c r="F295" s="1326"/>
      <c r="G295" s="1328"/>
    </row>
    <row r="296" spans="1:7" x14ac:dyDescent="0.25">
      <c r="A296" s="1330" t="s">
        <v>59</v>
      </c>
      <c r="B296" s="1331" t="s">
        <v>60</v>
      </c>
      <c r="C296" s="1330"/>
      <c r="D296" s="1330"/>
      <c r="E296" s="1330"/>
      <c r="F296" s="1330"/>
      <c r="G296" s="1332"/>
    </row>
    <row r="297" spans="1:7" x14ac:dyDescent="0.25">
      <c r="A297" s="1330" t="s">
        <v>61</v>
      </c>
      <c r="B297" s="1331" t="s">
        <v>62</v>
      </c>
      <c r="C297" s="1330"/>
      <c r="D297" s="2088"/>
      <c r="E297" s="2088"/>
      <c r="F297" s="1330"/>
      <c r="G297" s="1328"/>
    </row>
    <row r="298" spans="1:7" ht="30" x14ac:dyDescent="0.25">
      <c r="A298" s="1333" t="s">
        <v>951</v>
      </c>
      <c r="B298" s="1333" t="s">
        <v>950</v>
      </c>
      <c r="C298" s="2089" t="s">
        <v>12</v>
      </c>
      <c r="D298" s="2089"/>
      <c r="E298" s="1334" t="s">
        <v>13</v>
      </c>
      <c r="F298" s="1333" t="s">
        <v>14</v>
      </c>
      <c r="G298" s="1335" t="s">
        <v>256</v>
      </c>
    </row>
    <row r="299" spans="1:7" x14ac:dyDescent="0.25">
      <c r="A299" s="1336">
        <v>1</v>
      </c>
      <c r="B299" s="1333">
        <v>2</v>
      </c>
      <c r="C299" s="2090">
        <v>3</v>
      </c>
      <c r="D299" s="2091"/>
      <c r="E299" s="1338">
        <v>4</v>
      </c>
      <c r="F299" s="1337">
        <v>5</v>
      </c>
      <c r="G299" s="1339">
        <v>11</v>
      </c>
    </row>
    <row r="300" spans="1:7" x14ac:dyDescent="0.25">
      <c r="A300" s="1340" t="s">
        <v>1294</v>
      </c>
      <c r="B300" s="1341" t="s">
        <v>277</v>
      </c>
      <c r="C300" s="1342"/>
      <c r="D300" s="1343"/>
      <c r="E300" s="1344"/>
      <c r="F300" s="1344"/>
      <c r="G300" s="1345"/>
    </row>
    <row r="301" spans="1:7" x14ac:dyDescent="0.25">
      <c r="A301" s="1340" t="s">
        <v>1295</v>
      </c>
      <c r="B301" s="1346" t="s">
        <v>84</v>
      </c>
      <c r="C301" s="1342"/>
      <c r="D301" s="1343"/>
      <c r="E301" s="1344"/>
      <c r="F301" s="1344"/>
      <c r="G301" s="1345"/>
    </row>
    <row r="302" spans="1:7" ht="25.5" x14ac:dyDescent="0.25">
      <c r="A302" s="1340" t="s">
        <v>1296</v>
      </c>
      <c r="B302" s="1347" t="s">
        <v>307</v>
      </c>
      <c r="C302" s="1342"/>
      <c r="D302" s="1343"/>
      <c r="E302" s="1348"/>
      <c r="F302" s="1349"/>
      <c r="G302" s="1350"/>
    </row>
    <row r="303" spans="1:7" x14ac:dyDescent="0.25">
      <c r="A303" s="1363"/>
      <c r="B303" s="1347" t="s">
        <v>1255</v>
      </c>
      <c r="C303" s="1364"/>
      <c r="D303" s="1365"/>
      <c r="E303" s="1366"/>
      <c r="F303" s="1349"/>
      <c r="G303" s="1350"/>
    </row>
    <row r="304" spans="1:7" ht="51" x14ac:dyDescent="0.25">
      <c r="A304" s="1351"/>
      <c r="B304" s="1354" t="s">
        <v>2586</v>
      </c>
      <c r="C304" s="1342">
        <f>5+12+13+9</f>
        <v>39</v>
      </c>
      <c r="D304" s="1343" t="s">
        <v>269</v>
      </c>
      <c r="E304" s="1352">
        <v>20000</v>
      </c>
      <c r="F304" s="1349">
        <f t="shared" ref="F304" si="16">C304*E304</f>
        <v>780000</v>
      </c>
      <c r="G304" s="1350"/>
    </row>
    <row r="305" spans="1:7" ht="63.75" x14ac:dyDescent="0.25">
      <c r="A305" s="1351"/>
      <c r="B305" s="1354" t="s">
        <v>2587</v>
      </c>
      <c r="C305" s="1342">
        <f>5+12+13+1+2</f>
        <v>33</v>
      </c>
      <c r="D305" s="1343" t="s">
        <v>269</v>
      </c>
      <c r="E305" s="1352">
        <v>20000</v>
      </c>
      <c r="F305" s="1349">
        <f>E305*C305</f>
        <v>660000</v>
      </c>
      <c r="G305" s="1350"/>
    </row>
    <row r="306" spans="1:7" x14ac:dyDescent="0.25">
      <c r="A306" s="1351"/>
      <c r="B306" s="1347" t="s">
        <v>1250</v>
      </c>
      <c r="C306" s="1342"/>
      <c r="D306" s="1343"/>
      <c r="E306" s="1352"/>
      <c r="F306" s="1349"/>
      <c r="G306" s="1350"/>
    </row>
    <row r="307" spans="1:7" ht="25.5" x14ac:dyDescent="0.25">
      <c r="A307" s="1351"/>
      <c r="B307" s="1353" t="s">
        <v>2588</v>
      </c>
      <c r="C307" s="1342">
        <v>8970</v>
      </c>
      <c r="D307" s="1343" t="s">
        <v>269</v>
      </c>
      <c r="E307" s="1352">
        <v>20000</v>
      </c>
      <c r="F307" s="1349">
        <f t="shared" ref="F307" si="17">C307*E307</f>
        <v>179400000</v>
      </c>
      <c r="G307" s="1350"/>
    </row>
    <row r="308" spans="1:7" x14ac:dyDescent="0.25">
      <c r="A308" s="1351"/>
      <c r="B308" s="1347" t="s">
        <v>1521</v>
      </c>
      <c r="C308" s="1342"/>
      <c r="D308" s="1343"/>
      <c r="E308" s="1352"/>
      <c r="F308" s="1349"/>
      <c r="G308" s="1350"/>
    </row>
    <row r="309" spans="1:7" ht="76.5" x14ac:dyDescent="0.25">
      <c r="A309" s="1351"/>
      <c r="B309" s="1353" t="s">
        <v>2589</v>
      </c>
      <c r="C309" s="1342">
        <f>325+29+9+11+13+2+13+3+2</f>
        <v>407</v>
      </c>
      <c r="D309" s="1343" t="s">
        <v>269</v>
      </c>
      <c r="E309" s="1352">
        <v>20000</v>
      </c>
      <c r="F309" s="1349">
        <f t="shared" ref="F309" si="18">C309*E309</f>
        <v>8140000</v>
      </c>
      <c r="G309" s="1350"/>
    </row>
    <row r="310" spans="1:7" ht="25.5" x14ac:dyDescent="0.25">
      <c r="A310" s="1340" t="s">
        <v>1297</v>
      </c>
      <c r="B310" s="1341" t="s">
        <v>1247</v>
      </c>
      <c r="C310" s="1342"/>
      <c r="D310" s="1343"/>
      <c r="E310" s="1352"/>
      <c r="F310" s="1349"/>
      <c r="G310" s="1350"/>
    </row>
    <row r="311" spans="1:7" x14ac:dyDescent="0.25">
      <c r="A311" s="1351"/>
      <c r="B311" s="1354" t="s">
        <v>761</v>
      </c>
      <c r="C311" s="1342">
        <v>1</v>
      </c>
      <c r="D311" s="1343" t="s">
        <v>106</v>
      </c>
      <c r="E311" s="1352">
        <v>90000</v>
      </c>
      <c r="F311" s="1349">
        <f t="shared" ref="F311" si="19">C311*E311</f>
        <v>90000</v>
      </c>
      <c r="G311" s="1350"/>
    </row>
    <row r="312" spans="1:7" x14ac:dyDescent="0.25">
      <c r="A312" s="1351"/>
      <c r="B312" s="1354" t="s">
        <v>2573</v>
      </c>
      <c r="C312" s="1342">
        <v>1</v>
      </c>
      <c r="D312" s="1343" t="s">
        <v>106</v>
      </c>
      <c r="E312" s="1352">
        <v>831000</v>
      </c>
      <c r="F312" s="1349">
        <f>E312*C312</f>
        <v>831000</v>
      </c>
      <c r="G312" s="1350"/>
    </row>
    <row r="313" spans="1:7" x14ac:dyDescent="0.25">
      <c r="A313" s="1340" t="s">
        <v>1298</v>
      </c>
      <c r="B313" s="1347" t="s">
        <v>273</v>
      </c>
      <c r="C313" s="1342"/>
      <c r="D313" s="1343"/>
      <c r="E313" s="1352"/>
      <c r="F313" s="1349"/>
      <c r="G313" s="1350"/>
    </row>
    <row r="314" spans="1:7" x14ac:dyDescent="0.25">
      <c r="A314" s="1367"/>
      <c r="B314" s="1353" t="s">
        <v>422</v>
      </c>
      <c r="C314" s="1342">
        <v>5</v>
      </c>
      <c r="D314" s="1343" t="s">
        <v>93</v>
      </c>
      <c r="E314" s="1352">
        <v>50000</v>
      </c>
      <c r="F314" s="1349">
        <f t="shared" ref="F314:F317" si="20">C314*E314</f>
        <v>250000</v>
      </c>
      <c r="G314" s="1350"/>
    </row>
    <row r="315" spans="1:7" x14ac:dyDescent="0.25">
      <c r="A315" s="1367"/>
      <c r="B315" s="1353" t="s">
        <v>275</v>
      </c>
      <c r="C315" s="1342">
        <v>25</v>
      </c>
      <c r="D315" s="1343" t="s">
        <v>1523</v>
      </c>
      <c r="E315" s="1352">
        <v>1000</v>
      </c>
      <c r="F315" s="1349">
        <f t="shared" si="20"/>
        <v>25000</v>
      </c>
      <c r="G315" s="1350"/>
    </row>
    <row r="316" spans="1:7" x14ac:dyDescent="0.25">
      <c r="A316" s="1367"/>
      <c r="B316" s="1353" t="s">
        <v>289</v>
      </c>
      <c r="C316" s="1342">
        <v>5</v>
      </c>
      <c r="D316" s="1343" t="s">
        <v>1516</v>
      </c>
      <c r="E316" s="1352">
        <v>10000</v>
      </c>
      <c r="F316" s="1349">
        <f t="shared" si="20"/>
        <v>50000</v>
      </c>
      <c r="G316" s="1350"/>
    </row>
    <row r="317" spans="1:7" x14ac:dyDescent="0.25">
      <c r="A317" s="1368"/>
      <c r="B317" s="1353" t="s">
        <v>347</v>
      </c>
      <c r="C317" s="1342">
        <v>3</v>
      </c>
      <c r="D317" s="1343" t="s">
        <v>106</v>
      </c>
      <c r="E317" s="1352">
        <v>15000</v>
      </c>
      <c r="F317" s="1349">
        <f t="shared" si="20"/>
        <v>45000</v>
      </c>
      <c r="G317" s="1350"/>
    </row>
    <row r="318" spans="1:7" x14ac:dyDescent="0.25">
      <c r="A318" s="1340" t="s">
        <v>1299</v>
      </c>
      <c r="B318" s="1341" t="s">
        <v>294</v>
      </c>
      <c r="C318" s="1342"/>
      <c r="D318" s="1343"/>
      <c r="E318" s="1352"/>
      <c r="F318" s="1349"/>
      <c r="G318" s="1350"/>
    </row>
    <row r="319" spans="1:7" ht="25.5" x14ac:dyDescent="0.25">
      <c r="A319" s="1340" t="s">
        <v>2599</v>
      </c>
      <c r="B319" s="1341" t="s">
        <v>484</v>
      </c>
      <c r="C319" s="1342"/>
      <c r="D319" s="1343"/>
      <c r="E319" s="1352"/>
      <c r="F319" s="1349"/>
      <c r="G319" s="1350"/>
    </row>
    <row r="320" spans="1:7" x14ac:dyDescent="0.25">
      <c r="A320" s="1340"/>
      <c r="B320" s="1354" t="s">
        <v>2600</v>
      </c>
      <c r="C320" s="1342">
        <v>1</v>
      </c>
      <c r="D320" s="1343" t="s">
        <v>269</v>
      </c>
      <c r="E320" s="1352">
        <v>300000</v>
      </c>
      <c r="F320" s="1349">
        <f>E320*C320</f>
        <v>300000</v>
      </c>
      <c r="G320" s="1350"/>
    </row>
    <row r="321" spans="1:7" x14ac:dyDescent="0.25">
      <c r="A321" s="1340"/>
      <c r="B321" s="1354" t="s">
        <v>180</v>
      </c>
      <c r="C321" s="1342">
        <v>1</v>
      </c>
      <c r="D321" s="1343" t="s">
        <v>269</v>
      </c>
      <c r="E321" s="1352">
        <v>250000</v>
      </c>
      <c r="F321" s="1349">
        <f t="shared" ref="F321:F322" si="21">E321*C321</f>
        <v>250000</v>
      </c>
      <c r="G321" s="1350"/>
    </row>
    <row r="322" spans="1:7" x14ac:dyDescent="0.25">
      <c r="A322" s="1340"/>
      <c r="B322" s="1354" t="s">
        <v>331</v>
      </c>
      <c r="C322" s="1342">
        <v>3</v>
      </c>
      <c r="D322" s="1343" t="s">
        <v>269</v>
      </c>
      <c r="E322" s="1352">
        <v>200000</v>
      </c>
      <c r="F322" s="1349">
        <f t="shared" si="21"/>
        <v>600000</v>
      </c>
      <c r="G322" s="1350"/>
    </row>
    <row r="323" spans="1:7" ht="25.5" x14ac:dyDescent="0.25">
      <c r="A323" s="1340" t="s">
        <v>1300</v>
      </c>
      <c r="B323" s="1341" t="s">
        <v>948</v>
      </c>
      <c r="C323" s="1342"/>
      <c r="D323" s="1343"/>
      <c r="E323" s="1352"/>
      <c r="F323" s="1349"/>
      <c r="G323" s="1350"/>
    </row>
    <row r="324" spans="1:7" x14ac:dyDescent="0.25">
      <c r="A324" s="1340"/>
      <c r="B324" s="1355" t="s">
        <v>2590</v>
      </c>
      <c r="C324" s="1342">
        <f>13*30</f>
        <v>390</v>
      </c>
      <c r="D324" s="1343" t="s">
        <v>392</v>
      </c>
      <c r="E324" s="1352">
        <v>150000</v>
      </c>
      <c r="F324" s="1349">
        <f t="shared" ref="F324:F326" si="22">C324*E324</f>
        <v>58500000</v>
      </c>
      <c r="G324" s="1350"/>
    </row>
    <row r="325" spans="1:7" x14ac:dyDescent="0.25">
      <c r="A325" s="1340"/>
      <c r="B325" s="1355" t="s">
        <v>2591</v>
      </c>
      <c r="C325" s="1342">
        <v>13</v>
      </c>
      <c r="D325" s="1343" t="s">
        <v>392</v>
      </c>
      <c r="E325" s="1352">
        <v>300000</v>
      </c>
      <c r="F325" s="1349">
        <f t="shared" si="22"/>
        <v>3900000</v>
      </c>
      <c r="G325" s="1350"/>
    </row>
    <row r="326" spans="1:7" x14ac:dyDescent="0.25">
      <c r="A326" s="1369"/>
      <c r="B326" s="1355" t="s">
        <v>946</v>
      </c>
      <c r="C326" s="1342">
        <v>1</v>
      </c>
      <c r="D326" s="1343" t="s">
        <v>269</v>
      </c>
      <c r="E326" s="1352">
        <v>300000</v>
      </c>
      <c r="F326" s="1349">
        <f t="shared" si="22"/>
        <v>300000</v>
      </c>
      <c r="G326" s="1350"/>
    </row>
    <row r="327" spans="1:7" x14ac:dyDescent="0.25">
      <c r="A327" s="1340" t="s">
        <v>2595</v>
      </c>
      <c r="B327" s="1341" t="s">
        <v>333</v>
      </c>
      <c r="C327" s="1342"/>
      <c r="D327" s="1343"/>
      <c r="E327" s="1352"/>
      <c r="F327" s="1349"/>
      <c r="G327" s="1350"/>
    </row>
    <row r="328" spans="1:7" x14ac:dyDescent="0.25">
      <c r="A328" s="1369"/>
      <c r="B328" s="1355" t="s">
        <v>2596</v>
      </c>
      <c r="C328" s="1342">
        <v>22</v>
      </c>
      <c r="D328" s="1343" t="s">
        <v>269</v>
      </c>
      <c r="E328" s="1352">
        <v>100000</v>
      </c>
      <c r="F328" s="1349">
        <f>E328*C328</f>
        <v>2200000</v>
      </c>
      <c r="G328" s="1350"/>
    </row>
    <row r="329" spans="1:7" x14ac:dyDescent="0.25">
      <c r="A329" s="1369"/>
      <c r="B329" s="1355" t="s">
        <v>2597</v>
      </c>
      <c r="C329" s="1342">
        <v>3</v>
      </c>
      <c r="D329" s="1343" t="s">
        <v>269</v>
      </c>
      <c r="E329" s="1352">
        <v>100000</v>
      </c>
      <c r="F329" s="1349">
        <f>E329*C329</f>
        <v>300000</v>
      </c>
      <c r="G329" s="1350"/>
    </row>
    <row r="330" spans="1:7" x14ac:dyDescent="0.25">
      <c r="A330" s="1340" t="s">
        <v>1355</v>
      </c>
      <c r="B330" s="1347" t="s">
        <v>442</v>
      </c>
      <c r="C330" s="1342"/>
      <c r="D330" s="1343"/>
      <c r="E330" s="1352"/>
      <c r="F330" s="1349"/>
      <c r="G330" s="1335"/>
    </row>
    <row r="331" spans="1:7" ht="25.5" x14ac:dyDescent="0.25">
      <c r="A331" s="1340" t="s">
        <v>2593</v>
      </c>
      <c r="B331" s="1347" t="s">
        <v>2594</v>
      </c>
      <c r="C331" s="1342"/>
      <c r="D331" s="1343"/>
      <c r="E331" s="1352"/>
      <c r="F331" s="1349"/>
      <c r="G331" s="1335"/>
    </row>
    <row r="332" spans="1:7" x14ac:dyDescent="0.25">
      <c r="A332" s="1340"/>
      <c r="B332" s="1353" t="s">
        <v>944</v>
      </c>
      <c r="C332" s="1342">
        <v>1</v>
      </c>
      <c r="D332" s="1343" t="s">
        <v>790</v>
      </c>
      <c r="E332" s="1352">
        <v>2000000</v>
      </c>
      <c r="F332" s="1349">
        <f>E332*C332</f>
        <v>2000000</v>
      </c>
      <c r="G332" s="1335"/>
    </row>
    <row r="333" spans="1:7" x14ac:dyDescent="0.25">
      <c r="A333" s="1340" t="s">
        <v>1356</v>
      </c>
      <c r="B333" s="1347" t="s">
        <v>945</v>
      </c>
      <c r="C333" s="1342"/>
      <c r="D333" s="1343"/>
      <c r="E333" s="1352"/>
      <c r="F333" s="1349"/>
      <c r="G333" s="1335"/>
    </row>
    <row r="334" spans="1:7" x14ac:dyDescent="0.25">
      <c r="A334" s="1359"/>
      <c r="B334" s="1354" t="s">
        <v>943</v>
      </c>
      <c r="C334" s="1342">
        <v>1</v>
      </c>
      <c r="D334" s="1343" t="s">
        <v>171</v>
      </c>
      <c r="E334" s="1352">
        <v>5000000</v>
      </c>
      <c r="F334" s="1349">
        <f t="shared" ref="F334" si="23">C334*E334</f>
        <v>5000000</v>
      </c>
      <c r="G334" s="1335"/>
    </row>
    <row r="335" spans="1:7" x14ac:dyDescent="0.25">
      <c r="A335" s="1359"/>
      <c r="B335" s="1354" t="s">
        <v>2592</v>
      </c>
      <c r="C335" s="1342">
        <v>5</v>
      </c>
      <c r="D335" s="1343" t="s">
        <v>110</v>
      </c>
      <c r="E335" s="1352">
        <v>1000000</v>
      </c>
      <c r="F335" s="1349">
        <f>E335*C335</f>
        <v>5000000</v>
      </c>
      <c r="G335" s="1335"/>
    </row>
    <row r="336" spans="1:7" x14ac:dyDescent="0.25">
      <c r="A336" s="1359"/>
      <c r="B336" s="1354" t="s">
        <v>2454</v>
      </c>
      <c r="C336" s="1342">
        <v>1</v>
      </c>
      <c r="D336" s="1343" t="s">
        <v>171</v>
      </c>
      <c r="E336" s="1352">
        <v>2500000</v>
      </c>
      <c r="F336" s="1349">
        <f>E336*C336</f>
        <v>2500000</v>
      </c>
      <c r="G336" s="1335"/>
    </row>
    <row r="337" spans="1:12" x14ac:dyDescent="0.25">
      <c r="A337" s="1359"/>
      <c r="B337" s="1354" t="s">
        <v>1692</v>
      </c>
      <c r="C337" s="1342">
        <v>1</v>
      </c>
      <c r="D337" s="1343" t="s">
        <v>171</v>
      </c>
      <c r="E337" s="1352">
        <v>1800000</v>
      </c>
      <c r="F337" s="1349">
        <f>E337*C337</f>
        <v>1800000</v>
      </c>
      <c r="G337" s="1335"/>
    </row>
    <row r="338" spans="1:12" ht="25.5" x14ac:dyDescent="0.25">
      <c r="A338" s="1359" t="s">
        <v>1357</v>
      </c>
      <c r="B338" s="1347" t="s">
        <v>453</v>
      </c>
      <c r="C338" s="1360"/>
      <c r="D338" s="1361"/>
      <c r="E338" s="1362"/>
      <c r="F338" s="1349"/>
      <c r="G338" s="1335"/>
    </row>
    <row r="339" spans="1:12" ht="25.5" x14ac:dyDescent="0.25">
      <c r="A339" s="1359" t="s">
        <v>1358</v>
      </c>
      <c r="B339" s="1347" t="s">
        <v>905</v>
      </c>
      <c r="C339" s="1360"/>
      <c r="D339" s="1361"/>
      <c r="E339" s="1362"/>
      <c r="F339" s="1349"/>
      <c r="G339" s="1335"/>
    </row>
    <row r="340" spans="1:12" x14ac:dyDescent="0.25">
      <c r="A340" s="1370"/>
      <c r="B340" s="1347" t="s">
        <v>2462</v>
      </c>
      <c r="C340" s="1360"/>
      <c r="D340" s="1361"/>
      <c r="E340" s="1362"/>
      <c r="F340" s="1349"/>
      <c r="G340" s="1335"/>
    </row>
    <row r="341" spans="1:12" x14ac:dyDescent="0.25">
      <c r="A341" s="1370"/>
      <c r="B341" s="1347" t="s">
        <v>735</v>
      </c>
      <c r="C341" s="1360"/>
      <c r="D341" s="1361"/>
      <c r="E341" s="1362"/>
      <c r="F341" s="1349"/>
      <c r="G341" s="1335"/>
    </row>
    <row r="342" spans="1:12" x14ac:dyDescent="0.25">
      <c r="A342" s="1370"/>
      <c r="B342" s="1363" t="s">
        <v>941</v>
      </c>
      <c r="C342" s="1360">
        <v>1</v>
      </c>
      <c r="D342" s="1361" t="s">
        <v>2598</v>
      </c>
      <c r="E342" s="1362">
        <v>10000000</v>
      </c>
      <c r="F342" s="1349">
        <f t="shared" ref="F342:F344" si="24">C342*E342</f>
        <v>10000000</v>
      </c>
      <c r="G342" s="1335"/>
    </row>
    <row r="343" spans="1:12" x14ac:dyDescent="0.25">
      <c r="A343" s="1340"/>
      <c r="B343" s="1353" t="s">
        <v>940</v>
      </c>
      <c r="C343" s="1364">
        <v>1</v>
      </c>
      <c r="D343" s="1365" t="s">
        <v>2598</v>
      </c>
      <c r="E343" s="1371">
        <v>8000000</v>
      </c>
      <c r="F343" s="1349">
        <f t="shared" si="24"/>
        <v>8000000</v>
      </c>
      <c r="G343" s="1350"/>
    </row>
    <row r="344" spans="1:12" x14ac:dyDescent="0.25">
      <c r="A344" s="1340"/>
      <c r="B344" s="1353" t="s">
        <v>939</v>
      </c>
      <c r="C344" s="1342">
        <v>1</v>
      </c>
      <c r="D344" s="1343" t="s">
        <v>2598</v>
      </c>
      <c r="E344" s="1352">
        <v>6000000</v>
      </c>
      <c r="F344" s="1349">
        <f t="shared" si="24"/>
        <v>6000000</v>
      </c>
      <c r="G344" s="1350"/>
    </row>
    <row r="345" spans="1:12" x14ac:dyDescent="0.25">
      <c r="A345" s="1351"/>
      <c r="B345" s="1341" t="s">
        <v>938</v>
      </c>
      <c r="C345" s="1342"/>
      <c r="D345" s="1343"/>
      <c r="E345" s="1352"/>
      <c r="F345" s="1349"/>
      <c r="G345" s="1350"/>
    </row>
    <row r="346" spans="1:12" x14ac:dyDescent="0.25">
      <c r="A346" s="1351"/>
      <c r="B346" s="1354" t="s">
        <v>1249</v>
      </c>
      <c r="C346" s="1342">
        <v>1</v>
      </c>
      <c r="D346" s="1343" t="s">
        <v>133</v>
      </c>
      <c r="E346" s="1352">
        <v>1589000</v>
      </c>
      <c r="F346" s="1349">
        <f t="shared" ref="F346" si="25">C346*E346</f>
        <v>1589000</v>
      </c>
      <c r="G346" s="1350"/>
    </row>
    <row r="347" spans="1:12" x14ac:dyDescent="0.25">
      <c r="A347" s="1372"/>
      <c r="B347" s="1373"/>
      <c r="C347" s="1342"/>
      <c r="D347" s="1343"/>
      <c r="E347" s="1374"/>
      <c r="F347" s="1375"/>
      <c r="G347" s="1350"/>
    </row>
    <row r="348" spans="1:12" x14ac:dyDescent="0.25">
      <c r="A348" s="1356"/>
      <c r="B348" s="2092" t="s">
        <v>26</v>
      </c>
      <c r="C348" s="2093"/>
      <c r="D348" s="2093"/>
      <c r="E348" s="2094"/>
      <c r="F348" s="1357">
        <f>SUM(F302:F346)</f>
        <v>298510000</v>
      </c>
      <c r="G348" s="1358"/>
      <c r="L348" s="23"/>
    </row>
    <row r="349" spans="1:12" x14ac:dyDescent="0.25">
      <c r="A349" s="1969" t="s">
        <v>516</v>
      </c>
      <c r="B349" s="1969"/>
      <c r="C349" s="1259" t="s">
        <v>27</v>
      </c>
      <c r="D349" s="1970" t="s">
        <v>1224</v>
      </c>
      <c r="E349" s="1970"/>
      <c r="F349" s="1970"/>
      <c r="G349" s="1259"/>
    </row>
    <row r="350" spans="1:12" x14ac:dyDescent="0.25">
      <c r="A350" s="1969" t="s">
        <v>28</v>
      </c>
      <c r="B350" s="1969"/>
      <c r="C350" s="1259"/>
      <c r="D350" s="1971" t="s">
        <v>2443</v>
      </c>
      <c r="E350" s="1971"/>
      <c r="F350" s="1971"/>
      <c r="G350" s="1259"/>
    </row>
    <row r="351" spans="1:12" x14ac:dyDescent="0.25">
      <c r="A351" s="1261"/>
      <c r="B351" s="1262"/>
      <c r="C351" s="1259"/>
      <c r="D351" s="1260"/>
      <c r="E351" s="948"/>
      <c r="F351" s="948"/>
      <c r="G351" s="1259"/>
    </row>
    <row r="352" spans="1:12" x14ac:dyDescent="0.25">
      <c r="A352" s="1261"/>
      <c r="B352" s="1262"/>
      <c r="C352" s="1259"/>
      <c r="D352" s="1260"/>
      <c r="E352" s="948"/>
      <c r="F352" s="948"/>
      <c r="G352" s="1259"/>
    </row>
    <row r="353" spans="1:7" x14ac:dyDescent="0.25">
      <c r="A353" s="1969"/>
      <c r="B353" s="1969"/>
      <c r="C353" s="1259"/>
      <c r="D353" s="1260"/>
      <c r="E353" s="1969"/>
      <c r="F353" s="1969"/>
      <c r="G353" s="1259"/>
    </row>
    <row r="354" spans="1:7" x14ac:dyDescent="0.25">
      <c r="A354" s="1969" t="s">
        <v>29</v>
      </c>
      <c r="B354" s="1969"/>
      <c r="C354" s="1259"/>
      <c r="D354" s="1969" t="s">
        <v>517</v>
      </c>
      <c r="E354" s="1969"/>
      <c r="F354" s="1969"/>
      <c r="G354" s="1259"/>
    </row>
    <row r="355" spans="1:7" x14ac:dyDescent="0.25">
      <c r="A355" s="2145" t="s">
        <v>0</v>
      </c>
      <c r="B355" s="2145"/>
      <c r="C355" s="2145"/>
      <c r="D355" s="2145"/>
      <c r="E355" s="2145"/>
      <c r="F355" s="2145"/>
      <c r="G355" s="2145"/>
    </row>
    <row r="356" spans="1:7" x14ac:dyDescent="0.25">
      <c r="A356" s="2145" t="s">
        <v>1</v>
      </c>
      <c r="B356" s="2145"/>
      <c r="C356" s="2145"/>
      <c r="D356" s="2145"/>
      <c r="E356" s="2145"/>
      <c r="F356" s="2145"/>
      <c r="G356" s="2145"/>
    </row>
    <row r="357" spans="1:7" x14ac:dyDescent="0.25">
      <c r="A357" s="2145" t="s">
        <v>2398</v>
      </c>
      <c r="B357" s="2145"/>
      <c r="C357" s="2145"/>
      <c r="D357" s="2145"/>
      <c r="E357" s="2145"/>
      <c r="F357" s="2145"/>
      <c r="G357" s="2145"/>
    </row>
    <row r="358" spans="1:7" x14ac:dyDescent="0.25">
      <c r="A358" s="1491"/>
      <c r="B358" s="1492"/>
      <c r="C358" s="1491"/>
      <c r="D358" s="1491"/>
      <c r="E358" s="1491"/>
      <c r="F358" s="1491"/>
      <c r="G358" s="1493"/>
    </row>
    <row r="359" spans="1:7" ht="30" x14ac:dyDescent="0.25">
      <c r="A359" s="1494" t="s">
        <v>251</v>
      </c>
      <c r="B359" s="1495" t="s">
        <v>954</v>
      </c>
      <c r="C359" s="1494"/>
      <c r="D359" s="1494"/>
      <c r="E359" s="1496" t="s">
        <v>6</v>
      </c>
      <c r="F359" s="1496"/>
      <c r="G359" s="1497"/>
    </row>
    <row r="360" spans="1:7" x14ac:dyDescent="0.25">
      <c r="A360" s="1495" t="s">
        <v>252</v>
      </c>
      <c r="B360" s="2146" t="s">
        <v>953</v>
      </c>
      <c r="C360" s="2146"/>
      <c r="D360" s="1495"/>
      <c r="E360" s="1498" t="s">
        <v>9</v>
      </c>
      <c r="F360" s="1498"/>
      <c r="G360" s="1497"/>
    </row>
    <row r="361" spans="1:7" ht="45" x14ac:dyDescent="0.25">
      <c r="A361" s="1495" t="s">
        <v>253</v>
      </c>
      <c r="B361" s="1495" t="s">
        <v>3091</v>
      </c>
      <c r="C361" s="1495"/>
      <c r="D361" s="1495"/>
      <c r="E361" s="1495"/>
      <c r="F361" s="1495"/>
      <c r="G361" s="1497"/>
    </row>
    <row r="362" spans="1:7" x14ac:dyDescent="0.25">
      <c r="A362" s="1499" t="s">
        <v>59</v>
      </c>
      <c r="B362" s="1500" t="s">
        <v>60</v>
      </c>
      <c r="C362" s="1499"/>
      <c r="D362" s="1499"/>
      <c r="E362" s="1499"/>
      <c r="F362" s="1499"/>
      <c r="G362" s="1501"/>
    </row>
    <row r="363" spans="1:7" x14ac:dyDescent="0.25">
      <c r="A363" s="1499" t="s">
        <v>61</v>
      </c>
      <c r="B363" s="1500" t="s">
        <v>62</v>
      </c>
      <c r="C363" s="1499"/>
      <c r="D363" s="2147"/>
      <c r="E363" s="2147"/>
      <c r="F363" s="1499"/>
      <c r="G363" s="1497"/>
    </row>
    <row r="364" spans="1:7" ht="30" x14ac:dyDescent="0.25">
      <c r="A364" s="1502" t="s">
        <v>951</v>
      </c>
      <c r="B364" s="1502" t="s">
        <v>950</v>
      </c>
      <c r="C364" s="2148" t="s">
        <v>12</v>
      </c>
      <c r="D364" s="2148"/>
      <c r="E364" s="1503" t="s">
        <v>13</v>
      </c>
      <c r="F364" s="1502" t="s">
        <v>14</v>
      </c>
      <c r="G364" s="1504" t="s">
        <v>256</v>
      </c>
    </row>
    <row r="365" spans="1:7" x14ac:dyDescent="0.25">
      <c r="A365" s="1505">
        <v>1</v>
      </c>
      <c r="B365" s="1502">
        <v>2</v>
      </c>
      <c r="C365" s="2149">
        <v>3</v>
      </c>
      <c r="D365" s="2150"/>
      <c r="E365" s="1507">
        <v>4</v>
      </c>
      <c r="F365" s="1506">
        <v>5</v>
      </c>
      <c r="G365" s="1508">
        <v>11</v>
      </c>
    </row>
    <row r="366" spans="1:7" x14ac:dyDescent="0.25">
      <c r="A366" s="1509" t="s">
        <v>2389</v>
      </c>
      <c r="B366" s="1510" t="s">
        <v>277</v>
      </c>
      <c r="C366" s="1511"/>
      <c r="D366" s="1512"/>
      <c r="E366" s="1513"/>
      <c r="F366" s="1513"/>
      <c r="G366" s="1514"/>
    </row>
    <row r="367" spans="1:7" x14ac:dyDescent="0.25">
      <c r="A367" s="1509" t="s">
        <v>2390</v>
      </c>
      <c r="B367" s="1515" t="s">
        <v>84</v>
      </c>
      <c r="C367" s="1511"/>
      <c r="D367" s="1512"/>
      <c r="E367" s="1513"/>
      <c r="F367" s="1513"/>
      <c r="G367" s="1514"/>
    </row>
    <row r="368" spans="1:7" ht="25.5" x14ac:dyDescent="0.25">
      <c r="A368" s="1509" t="s">
        <v>2391</v>
      </c>
      <c r="B368" s="1516" t="s">
        <v>679</v>
      </c>
      <c r="C368" s="1511"/>
      <c r="D368" s="1512"/>
      <c r="E368" s="1513"/>
      <c r="F368" s="1513"/>
      <c r="G368" s="1514"/>
    </row>
    <row r="369" spans="1:7" ht="15.75" x14ac:dyDescent="0.25">
      <c r="A369" s="1517"/>
      <c r="B369" s="1518" t="s">
        <v>1752</v>
      </c>
      <c r="C369" s="1519">
        <v>35</v>
      </c>
      <c r="D369" s="1520" t="s">
        <v>93</v>
      </c>
      <c r="E369" s="1521">
        <v>5000</v>
      </c>
      <c r="F369" s="1521">
        <f t="shared" ref="F369:F370" si="26">C369*E369</f>
        <v>175000</v>
      </c>
      <c r="G369" s="1522"/>
    </row>
    <row r="370" spans="1:7" ht="15.75" x14ac:dyDescent="0.25">
      <c r="A370" s="1517"/>
      <c r="B370" s="1518" t="s">
        <v>105</v>
      </c>
      <c r="C370" s="1519">
        <v>35</v>
      </c>
      <c r="D370" s="1520" t="s">
        <v>93</v>
      </c>
      <c r="E370" s="1521">
        <v>7000</v>
      </c>
      <c r="F370" s="1521">
        <f t="shared" si="26"/>
        <v>245000</v>
      </c>
      <c r="G370" s="1522"/>
    </row>
    <row r="371" spans="1:7" ht="25.5" x14ac:dyDescent="0.25">
      <c r="A371" s="1509" t="s">
        <v>2392</v>
      </c>
      <c r="B371" s="1516" t="s">
        <v>307</v>
      </c>
      <c r="C371" s="1511"/>
      <c r="D371" s="1512"/>
      <c r="E371" s="1523"/>
      <c r="F371" s="1524"/>
      <c r="G371" s="1522"/>
    </row>
    <row r="372" spans="1:7" x14ac:dyDescent="0.25">
      <c r="A372" s="1525"/>
      <c r="B372" s="1516" t="s">
        <v>1250</v>
      </c>
      <c r="C372" s="1511"/>
      <c r="D372" s="1512"/>
      <c r="E372" s="1526"/>
      <c r="F372" s="1524"/>
      <c r="G372" s="1522"/>
    </row>
    <row r="373" spans="1:7" ht="25.5" x14ac:dyDescent="0.25">
      <c r="A373" s="1525"/>
      <c r="B373" s="1527" t="s">
        <v>3092</v>
      </c>
      <c r="C373" s="1511">
        <v>3888</v>
      </c>
      <c r="D373" s="1512" t="s">
        <v>269</v>
      </c>
      <c r="E373" s="1526">
        <v>20000</v>
      </c>
      <c r="F373" s="1524">
        <f t="shared" ref="F373" si="27">C373*E373</f>
        <v>77760000</v>
      </c>
      <c r="G373" s="1522"/>
    </row>
    <row r="374" spans="1:7" ht="25.5" x14ac:dyDescent="0.25">
      <c r="A374" s="1509" t="s">
        <v>2393</v>
      </c>
      <c r="B374" s="1510" t="s">
        <v>1247</v>
      </c>
      <c r="C374" s="1511"/>
      <c r="D374" s="1512"/>
      <c r="E374" s="1526"/>
      <c r="F374" s="1524"/>
      <c r="G374" s="1522"/>
    </row>
    <row r="375" spans="1:7" x14ac:dyDescent="0.25">
      <c r="A375" s="1525"/>
      <c r="B375" s="1528" t="s">
        <v>761</v>
      </c>
      <c r="C375" s="1511">
        <v>12</v>
      </c>
      <c r="D375" s="1512" t="s">
        <v>106</v>
      </c>
      <c r="E375" s="1526">
        <v>90000</v>
      </c>
      <c r="F375" s="1524">
        <f t="shared" ref="F375" si="28">C375*E375</f>
        <v>1080000</v>
      </c>
      <c r="G375" s="1522"/>
    </row>
    <row r="376" spans="1:7" x14ac:dyDescent="0.25">
      <c r="A376" s="1509" t="s">
        <v>2393</v>
      </c>
      <c r="B376" s="1510" t="s">
        <v>2388</v>
      </c>
      <c r="C376" s="1511"/>
      <c r="D376" s="1512"/>
      <c r="E376" s="1526"/>
      <c r="F376" s="1524"/>
      <c r="G376" s="1522"/>
    </row>
    <row r="377" spans="1:7" x14ac:dyDescent="0.25">
      <c r="A377" s="1525"/>
      <c r="B377" s="1528" t="s">
        <v>3093</v>
      </c>
      <c r="C377" s="1511">
        <f>25*12</f>
        <v>300</v>
      </c>
      <c r="D377" s="1512" t="s">
        <v>106</v>
      </c>
      <c r="E377" s="1526">
        <v>150000</v>
      </c>
      <c r="F377" s="1524">
        <f>E377*C377</f>
        <v>45000000</v>
      </c>
      <c r="G377" s="1522"/>
    </row>
    <row r="378" spans="1:7" x14ac:dyDescent="0.25">
      <c r="A378" s="1509" t="s">
        <v>2394</v>
      </c>
      <c r="B378" s="1510" t="s">
        <v>294</v>
      </c>
      <c r="C378" s="1511"/>
      <c r="D378" s="1512"/>
      <c r="E378" s="1526"/>
      <c r="F378" s="1524"/>
      <c r="G378" s="1522"/>
    </row>
    <row r="379" spans="1:7" ht="25.5" x14ac:dyDescent="0.25">
      <c r="A379" s="1509" t="s">
        <v>2395</v>
      </c>
      <c r="B379" s="1510" t="s">
        <v>948</v>
      </c>
      <c r="C379" s="1511"/>
      <c r="D379" s="1512"/>
      <c r="E379" s="1526"/>
      <c r="F379" s="1524"/>
      <c r="G379" s="1522"/>
    </row>
    <row r="380" spans="1:7" ht="25.5" x14ac:dyDescent="0.25">
      <c r="A380" s="1509"/>
      <c r="B380" s="1600" t="s">
        <v>3262</v>
      </c>
      <c r="C380" s="1511">
        <f>2*12*12</f>
        <v>288</v>
      </c>
      <c r="D380" s="1512" t="s">
        <v>392</v>
      </c>
      <c r="E380" s="1526">
        <v>300000</v>
      </c>
      <c r="F380" s="1524">
        <f t="shared" ref="F380" si="29">C380*E380</f>
        <v>86400000</v>
      </c>
      <c r="G380" s="1522"/>
    </row>
    <row r="381" spans="1:7" ht="25.5" x14ac:dyDescent="0.25">
      <c r="A381" s="1601" t="s">
        <v>2396</v>
      </c>
      <c r="B381" s="1516" t="s">
        <v>453</v>
      </c>
      <c r="C381" s="1602"/>
      <c r="D381" s="1603"/>
      <c r="E381" s="1604"/>
      <c r="F381" s="1524"/>
      <c r="G381" s="1504"/>
    </row>
    <row r="382" spans="1:7" ht="38.25" x14ac:dyDescent="0.25">
      <c r="A382" s="1601" t="s">
        <v>2397</v>
      </c>
      <c r="B382" s="1516" t="s">
        <v>2386</v>
      </c>
      <c r="C382" s="1602"/>
      <c r="D382" s="1603"/>
      <c r="E382" s="1604"/>
      <c r="F382" s="1524"/>
      <c r="G382" s="1504"/>
    </row>
    <row r="383" spans="1:7" x14ac:dyDescent="0.25">
      <c r="A383" s="1601"/>
      <c r="B383" s="1527" t="s">
        <v>3094</v>
      </c>
      <c r="C383" s="1602">
        <v>12</v>
      </c>
      <c r="D383" s="1603" t="s">
        <v>110</v>
      </c>
      <c r="E383" s="1604">
        <v>2500000</v>
      </c>
      <c r="F383" s="1524">
        <f>E383*C383</f>
        <v>30000000</v>
      </c>
      <c r="G383" s="1504"/>
    </row>
    <row r="384" spans="1:7" x14ac:dyDescent="0.25">
      <c r="A384" s="1601"/>
      <c r="B384" s="1527" t="s">
        <v>2387</v>
      </c>
      <c r="C384" s="1602">
        <v>12</v>
      </c>
      <c r="D384" s="1603" t="s">
        <v>106</v>
      </c>
      <c r="E384" s="1604">
        <v>500000</v>
      </c>
      <c r="F384" s="1524">
        <f>E384*C384</f>
        <v>6000000</v>
      </c>
      <c r="G384" s="1504"/>
    </row>
    <row r="385" spans="1:21" x14ac:dyDescent="0.25">
      <c r="A385" s="1529"/>
      <c r="B385" s="2151" t="s">
        <v>26</v>
      </c>
      <c r="C385" s="2152"/>
      <c r="D385" s="2152"/>
      <c r="E385" s="2153"/>
      <c r="F385" s="1530">
        <f>SUM(F369:F384)</f>
        <v>246660000</v>
      </c>
      <c r="G385" s="1531" t="s">
        <v>3534</v>
      </c>
      <c r="L385" s="23"/>
      <c r="U385" s="23">
        <f>F385</f>
        <v>246660000</v>
      </c>
    </row>
    <row r="386" spans="1:21" x14ac:dyDescent="0.25">
      <c r="A386" s="1926" t="s">
        <v>516</v>
      </c>
      <c r="B386" s="1926"/>
      <c r="C386" s="152" t="s">
        <v>27</v>
      </c>
      <c r="D386" s="1926" t="s">
        <v>3654</v>
      </c>
      <c r="E386" s="1926"/>
      <c r="F386" s="1926"/>
      <c r="G386" s="152"/>
    </row>
    <row r="387" spans="1:21" x14ac:dyDescent="0.25">
      <c r="A387" s="1926" t="s">
        <v>28</v>
      </c>
      <c r="B387" s="1926"/>
      <c r="C387" s="152"/>
      <c r="D387" s="1927" t="s">
        <v>3570</v>
      </c>
      <c r="E387" s="1927"/>
      <c r="F387" s="1927"/>
      <c r="G387" s="152"/>
    </row>
    <row r="388" spans="1:21" x14ac:dyDescent="0.25">
      <c r="A388" s="150"/>
      <c r="B388" s="151"/>
      <c r="C388" s="152"/>
      <c r="D388" s="153"/>
      <c r="E388" s="182"/>
      <c r="F388" s="1208"/>
      <c r="G388" s="152"/>
    </row>
    <row r="389" spans="1:21" x14ac:dyDescent="0.25">
      <c r="A389" s="150"/>
      <c r="B389" s="151"/>
      <c r="C389" s="152"/>
      <c r="D389" s="153"/>
      <c r="E389" s="182"/>
      <c r="F389" s="1208"/>
      <c r="G389" s="152"/>
    </row>
    <row r="390" spans="1:21" x14ac:dyDescent="0.25">
      <c r="A390" s="1926"/>
      <c r="B390" s="1926"/>
      <c r="C390" s="152"/>
      <c r="D390" s="153"/>
      <c r="E390" s="2003"/>
      <c r="F390" s="2003"/>
      <c r="G390" s="152"/>
    </row>
    <row r="391" spans="1:21" x14ac:dyDescent="0.25">
      <c r="A391" s="1926" t="s">
        <v>29</v>
      </c>
      <c r="B391" s="1926"/>
      <c r="C391" s="152"/>
      <c r="D391" s="1926" t="s">
        <v>3548</v>
      </c>
      <c r="E391" s="1926"/>
      <c r="F391" s="1926"/>
      <c r="G391" s="152"/>
    </row>
    <row r="392" spans="1:21" x14ac:dyDescent="0.25">
      <c r="A392" s="2145" t="s">
        <v>0</v>
      </c>
      <c r="B392" s="2145"/>
      <c r="C392" s="2145"/>
      <c r="D392" s="2145"/>
      <c r="E392" s="2145"/>
      <c r="F392" s="2145"/>
      <c r="G392" s="2145"/>
    </row>
    <row r="393" spans="1:21" x14ac:dyDescent="0.25">
      <c r="A393" s="2145" t="s">
        <v>1</v>
      </c>
      <c r="B393" s="2145"/>
      <c r="C393" s="2145"/>
      <c r="D393" s="2145"/>
      <c r="E393" s="2145"/>
      <c r="F393" s="2145"/>
      <c r="G393" s="2145"/>
    </row>
    <row r="394" spans="1:21" x14ac:dyDescent="0.25">
      <c r="A394" s="2145" t="s">
        <v>2398</v>
      </c>
      <c r="B394" s="2145"/>
      <c r="C394" s="2145"/>
      <c r="D394" s="2145"/>
      <c r="E394" s="2145"/>
      <c r="F394" s="2145"/>
      <c r="G394" s="2145"/>
    </row>
    <row r="395" spans="1:21" x14ac:dyDescent="0.25">
      <c r="A395" s="1491"/>
      <c r="B395" s="1492"/>
      <c r="C395" s="1491"/>
      <c r="D395" s="1491"/>
      <c r="E395" s="1491"/>
      <c r="F395" s="1491"/>
      <c r="G395" s="1493"/>
    </row>
    <row r="396" spans="1:21" ht="30" x14ac:dyDescent="0.25">
      <c r="A396" s="1494" t="s">
        <v>251</v>
      </c>
      <c r="B396" s="1495" t="s">
        <v>954</v>
      </c>
      <c r="C396" s="1494"/>
      <c r="D396" s="1494"/>
      <c r="E396" s="1496" t="s">
        <v>6</v>
      </c>
      <c r="F396" s="1496"/>
      <c r="G396" s="1497"/>
    </row>
    <row r="397" spans="1:21" x14ac:dyDescent="0.25">
      <c r="A397" s="1495" t="s">
        <v>252</v>
      </c>
      <c r="B397" s="2146" t="s">
        <v>953</v>
      </c>
      <c r="C397" s="2146"/>
      <c r="D397" s="1495"/>
      <c r="E397" s="1498" t="s">
        <v>9</v>
      </c>
      <c r="F397" s="1498"/>
      <c r="G397" s="1497"/>
    </row>
    <row r="398" spans="1:21" ht="60" x14ac:dyDescent="0.25">
      <c r="A398" s="1495" t="s">
        <v>253</v>
      </c>
      <c r="B398" s="1495" t="s">
        <v>3395</v>
      </c>
      <c r="C398" s="1495"/>
      <c r="D398" s="1495"/>
      <c r="E398" s="1495"/>
      <c r="F398" s="1495"/>
      <c r="G398" s="1497"/>
    </row>
    <row r="399" spans="1:21" x14ac:dyDescent="0.25">
      <c r="A399" s="1499" t="s">
        <v>59</v>
      </c>
      <c r="B399" s="1500" t="s">
        <v>60</v>
      </c>
      <c r="C399" s="1499"/>
      <c r="D399" s="1499"/>
      <c r="E399" s="1499"/>
      <c r="F399" s="1499"/>
      <c r="G399" s="1501"/>
    </row>
    <row r="400" spans="1:21" x14ac:dyDescent="0.25">
      <c r="A400" s="1499" t="s">
        <v>61</v>
      </c>
      <c r="B400" s="1500" t="s">
        <v>62</v>
      </c>
      <c r="C400" s="1499"/>
      <c r="D400" s="2147"/>
      <c r="E400" s="2147"/>
      <c r="F400" s="1499"/>
      <c r="G400" s="1497"/>
    </row>
    <row r="401" spans="1:21" ht="30" x14ac:dyDescent="0.25">
      <c r="A401" s="1502" t="s">
        <v>951</v>
      </c>
      <c r="B401" s="1502" t="s">
        <v>950</v>
      </c>
      <c r="C401" s="2148" t="s">
        <v>12</v>
      </c>
      <c r="D401" s="2148"/>
      <c r="E401" s="1503" t="s">
        <v>13</v>
      </c>
      <c r="F401" s="1502" t="s">
        <v>14</v>
      </c>
      <c r="G401" s="1504" t="s">
        <v>256</v>
      </c>
    </row>
    <row r="402" spans="1:21" x14ac:dyDescent="0.25">
      <c r="A402" s="1505">
        <v>1</v>
      </c>
      <c r="B402" s="1502">
        <v>2</v>
      </c>
      <c r="C402" s="2149">
        <v>3</v>
      </c>
      <c r="D402" s="2150"/>
      <c r="E402" s="1507">
        <v>4</v>
      </c>
      <c r="F402" s="1506">
        <v>5</v>
      </c>
      <c r="G402" s="1508">
        <v>11</v>
      </c>
    </row>
    <row r="403" spans="1:21" x14ac:dyDescent="0.25">
      <c r="A403" s="1509" t="s">
        <v>2389</v>
      </c>
      <c r="B403" s="1510" t="s">
        <v>277</v>
      </c>
      <c r="C403" s="1511"/>
      <c r="D403" s="1512"/>
      <c r="E403" s="1513"/>
      <c r="F403" s="1513"/>
      <c r="G403" s="1514"/>
    </row>
    <row r="404" spans="1:21" x14ac:dyDescent="0.25">
      <c r="A404" s="1509" t="s">
        <v>2390</v>
      </c>
      <c r="B404" s="1515" t="s">
        <v>84</v>
      </c>
      <c r="C404" s="1511"/>
      <c r="D404" s="1512"/>
      <c r="E404" s="1513"/>
      <c r="F404" s="1513"/>
      <c r="G404" s="1514"/>
    </row>
    <row r="405" spans="1:21" ht="25.5" x14ac:dyDescent="0.25">
      <c r="A405" s="1509" t="s">
        <v>2391</v>
      </c>
      <c r="B405" s="1516" t="s">
        <v>679</v>
      </c>
      <c r="C405" s="1511"/>
      <c r="D405" s="1512"/>
      <c r="E405" s="1513"/>
      <c r="F405" s="1513"/>
      <c r="G405" s="1514"/>
    </row>
    <row r="406" spans="1:21" ht="15.75" x14ac:dyDescent="0.25">
      <c r="A406" s="1517"/>
      <c r="B406" s="1518" t="s">
        <v>1752</v>
      </c>
      <c r="C406" s="1519">
        <v>35</v>
      </c>
      <c r="D406" s="1520" t="s">
        <v>93</v>
      </c>
      <c r="E406" s="1521">
        <v>5000</v>
      </c>
      <c r="F406" s="1521">
        <f t="shared" ref="F406:F407" si="30">C406*E406</f>
        <v>175000</v>
      </c>
      <c r="G406" s="1522"/>
    </row>
    <row r="407" spans="1:21" ht="15.75" x14ac:dyDescent="0.25">
      <c r="A407" s="1517"/>
      <c r="B407" s="1518" t="s">
        <v>105</v>
      </c>
      <c r="C407" s="1519">
        <v>35</v>
      </c>
      <c r="D407" s="1520" t="s">
        <v>93</v>
      </c>
      <c r="E407" s="1521">
        <v>7000</v>
      </c>
      <c r="F407" s="1521">
        <f t="shared" si="30"/>
        <v>245000</v>
      </c>
      <c r="G407" s="1522"/>
    </row>
    <row r="408" spans="1:21" ht="25.5" x14ac:dyDescent="0.25">
      <c r="A408" s="1509" t="s">
        <v>2392</v>
      </c>
      <c r="B408" s="1516" t="s">
        <v>307</v>
      </c>
      <c r="C408" s="1511"/>
      <c r="D408" s="1512"/>
      <c r="E408" s="1523"/>
      <c r="F408" s="1524"/>
      <c r="G408" s="1522"/>
    </row>
    <row r="409" spans="1:21" x14ac:dyDescent="0.25">
      <c r="A409" s="1525"/>
      <c r="B409" s="1516" t="s">
        <v>1250</v>
      </c>
      <c r="C409" s="1511"/>
      <c r="D409" s="1512"/>
      <c r="E409" s="1526"/>
      <c r="F409" s="1524"/>
      <c r="G409" s="1522"/>
    </row>
    <row r="410" spans="1:21" ht="25.5" x14ac:dyDescent="0.25">
      <c r="A410" s="1525"/>
      <c r="B410" s="1527" t="s">
        <v>3396</v>
      </c>
      <c r="C410" s="1511">
        <f>62*25</f>
        <v>1550</v>
      </c>
      <c r="D410" s="1512" t="s">
        <v>269</v>
      </c>
      <c r="E410" s="1526">
        <v>20000</v>
      </c>
      <c r="F410" s="1524">
        <f t="shared" ref="F410" si="31">C410*E410</f>
        <v>31000000</v>
      </c>
      <c r="G410" s="1522"/>
    </row>
    <row r="411" spans="1:21" ht="25.5" x14ac:dyDescent="0.25">
      <c r="A411" s="1509" t="s">
        <v>2393</v>
      </c>
      <c r="B411" s="1510" t="s">
        <v>1247</v>
      </c>
      <c r="C411" s="1511"/>
      <c r="D411" s="1512"/>
      <c r="E411" s="1526"/>
      <c r="F411" s="1524"/>
      <c r="G411" s="1522"/>
    </row>
    <row r="412" spans="1:21" x14ac:dyDescent="0.25">
      <c r="A412" s="1525"/>
      <c r="B412" s="1528" t="s">
        <v>761</v>
      </c>
      <c r="C412" s="1511">
        <v>2</v>
      </c>
      <c r="D412" s="1512" t="s">
        <v>106</v>
      </c>
      <c r="E412" s="1526">
        <v>90000</v>
      </c>
      <c r="F412" s="1524">
        <f t="shared" ref="F412" si="32">C412*E412</f>
        <v>180000</v>
      </c>
      <c r="G412" s="1522"/>
    </row>
    <row r="413" spans="1:21" x14ac:dyDescent="0.25">
      <c r="A413" s="1509" t="s">
        <v>2394</v>
      </c>
      <c r="B413" s="1510" t="s">
        <v>294</v>
      </c>
      <c r="C413" s="1511"/>
      <c r="D413" s="1512"/>
      <c r="E413" s="1526"/>
      <c r="F413" s="1524"/>
      <c r="G413" s="1522"/>
    </row>
    <row r="414" spans="1:21" ht="25.5" x14ac:dyDescent="0.25">
      <c r="A414" s="1509" t="s">
        <v>2395</v>
      </c>
      <c r="B414" s="1510" t="s">
        <v>948</v>
      </c>
      <c r="C414" s="1511"/>
      <c r="D414" s="1512"/>
      <c r="E414" s="1526"/>
      <c r="F414" s="1524"/>
      <c r="G414" s="1522"/>
    </row>
    <row r="415" spans="1:21" x14ac:dyDescent="0.25">
      <c r="A415" s="658"/>
      <c r="B415" s="673" t="s">
        <v>3397</v>
      </c>
      <c r="C415" s="234">
        <v>50</v>
      </c>
      <c r="D415" s="235" t="s">
        <v>392</v>
      </c>
      <c r="E415" s="671">
        <v>300000</v>
      </c>
      <c r="F415" s="664">
        <f t="shared" ref="F415" si="33">C415*E415</f>
        <v>15000000</v>
      </c>
      <c r="G415" s="415"/>
    </row>
    <row r="416" spans="1:21" ht="24" x14ac:dyDescent="0.25">
      <c r="A416" s="1529"/>
      <c r="B416" s="2151" t="s">
        <v>26</v>
      </c>
      <c r="C416" s="2152"/>
      <c r="D416" s="2152"/>
      <c r="E416" s="2153"/>
      <c r="F416" s="1530">
        <f>SUM(F406:F415)</f>
        <v>46600000</v>
      </c>
      <c r="G416" s="1531" t="s">
        <v>1775</v>
      </c>
      <c r="L416" s="23"/>
      <c r="U416" s="23">
        <f>F416</f>
        <v>46600000</v>
      </c>
    </row>
    <row r="417" spans="1:7" x14ac:dyDescent="0.25">
      <c r="A417" s="1926" t="s">
        <v>516</v>
      </c>
      <c r="B417" s="1926"/>
      <c r="C417" s="152" t="s">
        <v>27</v>
      </c>
      <c r="D417" s="1926" t="s">
        <v>3654</v>
      </c>
      <c r="E417" s="1926"/>
      <c r="F417" s="1926"/>
      <c r="G417" s="152"/>
    </row>
    <row r="418" spans="1:7" x14ac:dyDescent="0.25">
      <c r="A418" s="1926" t="s">
        <v>28</v>
      </c>
      <c r="B418" s="1926"/>
      <c r="C418" s="152"/>
      <c r="D418" s="1927" t="s">
        <v>3570</v>
      </c>
      <c r="E418" s="1927"/>
      <c r="F418" s="1927"/>
      <c r="G418" s="152"/>
    </row>
    <row r="419" spans="1:7" x14ac:dyDescent="0.25">
      <c r="A419" s="150"/>
      <c r="B419" s="151"/>
      <c r="C419" s="152"/>
      <c r="D419" s="153"/>
      <c r="E419" s="182"/>
      <c r="F419" s="1208"/>
      <c r="G419" s="152"/>
    </row>
    <row r="420" spans="1:7" x14ac:dyDescent="0.25">
      <c r="A420" s="150"/>
      <c r="B420" s="151"/>
      <c r="C420" s="152"/>
      <c r="D420" s="153"/>
      <c r="E420" s="182"/>
      <c r="F420" s="1208"/>
      <c r="G420" s="152"/>
    </row>
    <row r="421" spans="1:7" x14ac:dyDescent="0.25">
      <c r="A421" s="1926"/>
      <c r="B421" s="1926"/>
      <c r="C421" s="152"/>
      <c r="D421" s="153"/>
      <c r="E421" s="2003"/>
      <c r="F421" s="2003"/>
      <c r="G421" s="152"/>
    </row>
    <row r="422" spans="1:7" x14ac:dyDescent="0.25">
      <c r="A422" s="1926" t="s">
        <v>29</v>
      </c>
      <c r="B422" s="1926"/>
      <c r="C422" s="152"/>
      <c r="D422" s="1926" t="s">
        <v>3548</v>
      </c>
      <c r="E422" s="1926"/>
      <c r="F422" s="1926"/>
      <c r="G422" s="152"/>
    </row>
    <row r="423" spans="1:7" x14ac:dyDescent="0.25">
      <c r="A423" s="2095" t="s">
        <v>0</v>
      </c>
      <c r="B423" s="2095"/>
      <c r="C423" s="2095"/>
      <c r="D423" s="2095"/>
      <c r="E423" s="2095"/>
      <c r="F423" s="2095"/>
      <c r="G423" s="2095"/>
    </row>
    <row r="424" spans="1:7" x14ac:dyDescent="0.25">
      <c r="A424" s="2095" t="s">
        <v>1</v>
      </c>
      <c r="B424" s="2095"/>
      <c r="C424" s="2095"/>
      <c r="D424" s="2095"/>
      <c r="E424" s="2095"/>
      <c r="F424" s="2095"/>
      <c r="G424" s="2095"/>
    </row>
    <row r="425" spans="1:7" x14ac:dyDescent="0.25">
      <c r="A425" s="2095" t="s">
        <v>2398</v>
      </c>
      <c r="B425" s="2095"/>
      <c r="C425" s="2095"/>
      <c r="D425" s="2095"/>
      <c r="E425" s="2095"/>
      <c r="F425" s="2095"/>
      <c r="G425" s="2095"/>
    </row>
    <row r="426" spans="1:7" x14ac:dyDescent="0.25">
      <c r="A426" s="1113"/>
      <c r="B426" s="1114"/>
      <c r="C426" s="1113"/>
      <c r="D426" s="1113"/>
      <c r="E426" s="1113"/>
      <c r="F426" s="1113"/>
      <c r="G426" s="1157"/>
    </row>
    <row r="427" spans="1:7" ht="30" x14ac:dyDescent="0.25">
      <c r="A427" s="1115" t="s">
        <v>251</v>
      </c>
      <c r="B427" s="1116" t="s">
        <v>954</v>
      </c>
      <c r="C427" s="1115"/>
      <c r="D427" s="1115"/>
      <c r="E427" s="1117" t="s">
        <v>6</v>
      </c>
      <c r="F427" s="1117"/>
      <c r="G427" s="1158"/>
    </row>
    <row r="428" spans="1:7" x14ac:dyDescent="0.25">
      <c r="A428" s="1116" t="s">
        <v>252</v>
      </c>
      <c r="B428" s="2096" t="s">
        <v>953</v>
      </c>
      <c r="C428" s="2096"/>
      <c r="D428" s="1116"/>
      <c r="E428" s="1118" t="s">
        <v>9</v>
      </c>
      <c r="F428" s="1118"/>
      <c r="G428" s="1158"/>
    </row>
    <row r="429" spans="1:7" ht="60" x14ac:dyDescent="0.25">
      <c r="A429" s="1116" t="s">
        <v>253</v>
      </c>
      <c r="B429" s="1116" t="s">
        <v>2647</v>
      </c>
      <c r="C429" s="1116"/>
      <c r="D429" s="1116"/>
      <c r="E429" s="1116"/>
      <c r="F429" s="1116"/>
      <c r="G429" s="1158"/>
    </row>
    <row r="430" spans="1:7" x14ac:dyDescent="0.25">
      <c r="A430" s="1119" t="s">
        <v>59</v>
      </c>
      <c r="B430" s="1120" t="s">
        <v>60</v>
      </c>
      <c r="C430" s="1119"/>
      <c r="D430" s="1119"/>
      <c r="E430" s="1119"/>
      <c r="F430" s="1119"/>
      <c r="G430" s="1159"/>
    </row>
    <row r="431" spans="1:7" x14ac:dyDescent="0.25">
      <c r="A431" s="1119" t="s">
        <v>61</v>
      </c>
      <c r="B431" s="1120" t="s">
        <v>62</v>
      </c>
      <c r="C431" s="1119"/>
      <c r="D431" s="2097"/>
      <c r="E431" s="2097"/>
      <c r="F431" s="1119"/>
      <c r="G431" s="1158"/>
    </row>
    <row r="432" spans="1:7" ht="30" x14ac:dyDescent="0.25">
      <c r="A432" s="1121" t="s">
        <v>951</v>
      </c>
      <c r="B432" s="1121" t="s">
        <v>950</v>
      </c>
      <c r="C432" s="2098" t="s">
        <v>12</v>
      </c>
      <c r="D432" s="2098"/>
      <c r="E432" s="1122" t="s">
        <v>13</v>
      </c>
      <c r="F432" s="1121" t="s">
        <v>14</v>
      </c>
      <c r="G432" s="1160" t="s">
        <v>256</v>
      </c>
    </row>
    <row r="433" spans="1:7" x14ac:dyDescent="0.25">
      <c r="A433" s="1123">
        <v>1</v>
      </c>
      <c r="B433" s="1121">
        <v>2</v>
      </c>
      <c r="C433" s="2099">
        <v>3</v>
      </c>
      <c r="D433" s="2100"/>
      <c r="E433" s="1125">
        <v>4</v>
      </c>
      <c r="F433" s="1124">
        <v>5</v>
      </c>
      <c r="G433" s="1161">
        <v>11</v>
      </c>
    </row>
    <row r="434" spans="1:7" x14ac:dyDescent="0.25">
      <c r="A434" s="1126" t="s">
        <v>2389</v>
      </c>
      <c r="B434" s="1127" t="s">
        <v>277</v>
      </c>
      <c r="C434" s="1128"/>
      <c r="D434" s="1129"/>
      <c r="E434" s="1130"/>
      <c r="F434" s="1130"/>
      <c r="G434" s="1162"/>
    </row>
    <row r="435" spans="1:7" x14ac:dyDescent="0.25">
      <c r="A435" s="1126" t="s">
        <v>2390</v>
      </c>
      <c r="B435" s="1131" t="s">
        <v>84</v>
      </c>
      <c r="C435" s="1128"/>
      <c r="D435" s="1129"/>
      <c r="E435" s="1130"/>
      <c r="F435" s="1130"/>
      <c r="G435" s="1162"/>
    </row>
    <row r="436" spans="1:7" ht="25.5" x14ac:dyDescent="0.25">
      <c r="A436" s="1126" t="s">
        <v>2392</v>
      </c>
      <c r="B436" s="1132" t="s">
        <v>307</v>
      </c>
      <c r="C436" s="1128"/>
      <c r="D436" s="1129"/>
      <c r="E436" s="1133"/>
      <c r="F436" s="1134"/>
      <c r="G436" s="1163"/>
    </row>
    <row r="437" spans="1:7" x14ac:dyDescent="0.25">
      <c r="A437" s="1135"/>
      <c r="B437" s="1132" t="s">
        <v>1250</v>
      </c>
      <c r="C437" s="1128"/>
      <c r="D437" s="1129"/>
      <c r="E437" s="1136"/>
      <c r="F437" s="1134"/>
      <c r="G437" s="1163"/>
    </row>
    <row r="438" spans="1:7" ht="25.5" x14ac:dyDescent="0.25">
      <c r="A438" s="1135"/>
      <c r="B438" s="1137" t="s">
        <v>2648</v>
      </c>
      <c r="C438" s="1128">
        <f>29+3+9</f>
        <v>41</v>
      </c>
      <c r="D438" s="1129" t="s">
        <v>269</v>
      </c>
      <c r="E438" s="1136">
        <v>20000</v>
      </c>
      <c r="F438" s="1134">
        <f t="shared" ref="F438" si="34">C438*E438</f>
        <v>820000</v>
      </c>
      <c r="G438" s="1163"/>
    </row>
    <row r="439" spans="1:7" ht="38.25" x14ac:dyDescent="0.25">
      <c r="A439" s="1135"/>
      <c r="B439" s="1137" t="s">
        <v>2649</v>
      </c>
      <c r="C439" s="1128">
        <f>34*3</f>
        <v>102</v>
      </c>
      <c r="D439" s="1129" t="s">
        <v>269</v>
      </c>
      <c r="E439" s="1136">
        <v>20000</v>
      </c>
      <c r="F439" s="1134">
        <f t="shared" ref="F439" si="35">C439*E439</f>
        <v>2040000</v>
      </c>
      <c r="G439" s="1163"/>
    </row>
    <row r="440" spans="1:7" x14ac:dyDescent="0.25">
      <c r="A440" s="1126" t="s">
        <v>2652</v>
      </c>
      <c r="B440" s="1132" t="s">
        <v>930</v>
      </c>
      <c r="C440" s="1128"/>
      <c r="D440" s="1129"/>
      <c r="E440" s="1136"/>
      <c r="F440" s="1134"/>
      <c r="G440" s="1163"/>
    </row>
    <row r="441" spans="1:7" ht="25.5" x14ac:dyDescent="0.25">
      <c r="A441" s="1135"/>
      <c r="B441" s="1137" t="s">
        <v>2653</v>
      </c>
      <c r="C441" s="1128">
        <v>1</v>
      </c>
      <c r="D441" s="1129" t="s">
        <v>213</v>
      </c>
      <c r="E441" s="1136">
        <v>15000000</v>
      </c>
      <c r="F441" s="1134">
        <f>E441*C441</f>
        <v>15000000</v>
      </c>
      <c r="G441" s="1163"/>
    </row>
    <row r="442" spans="1:7" x14ac:dyDescent="0.25">
      <c r="A442" s="1135"/>
      <c r="B442" s="1137"/>
      <c r="C442" s="1128"/>
      <c r="D442" s="1129"/>
      <c r="E442" s="1136"/>
      <c r="F442" s="1134"/>
      <c r="G442" s="1163"/>
    </row>
    <row r="443" spans="1:7" ht="25.5" x14ac:dyDescent="0.25">
      <c r="A443" s="1126" t="s">
        <v>2393</v>
      </c>
      <c r="B443" s="1127" t="s">
        <v>1247</v>
      </c>
      <c r="C443" s="1128"/>
      <c r="D443" s="1129"/>
      <c r="E443" s="1136"/>
      <c r="F443" s="1134"/>
      <c r="G443" s="1163"/>
    </row>
    <row r="444" spans="1:7" x14ac:dyDescent="0.25">
      <c r="A444" s="1135"/>
      <c r="B444" s="1138" t="s">
        <v>761</v>
      </c>
      <c r="C444" s="1128">
        <v>1</v>
      </c>
      <c r="D444" s="1129" t="s">
        <v>106</v>
      </c>
      <c r="E444" s="1136">
        <v>90000</v>
      </c>
      <c r="F444" s="1134">
        <f t="shared" ref="F444" si="36">C444*E444</f>
        <v>90000</v>
      </c>
      <c r="G444" s="1163"/>
    </row>
    <row r="445" spans="1:7" x14ac:dyDescent="0.25">
      <c r="A445" s="1126" t="s">
        <v>2394</v>
      </c>
      <c r="B445" s="1127" t="s">
        <v>294</v>
      </c>
      <c r="C445" s="1128"/>
      <c r="D445" s="1129"/>
      <c r="E445" s="1136"/>
      <c r="F445" s="1134"/>
      <c r="G445" s="1163"/>
    </row>
    <row r="446" spans="1:7" ht="25.5" x14ac:dyDescent="0.25">
      <c r="A446" s="1126" t="s">
        <v>2651</v>
      </c>
      <c r="B446" s="1127" t="s">
        <v>484</v>
      </c>
      <c r="C446" s="1128"/>
      <c r="D446" s="1129"/>
      <c r="E446" s="1136"/>
      <c r="F446" s="1134"/>
      <c r="G446" s="1163"/>
    </row>
    <row r="447" spans="1:7" x14ac:dyDescent="0.25">
      <c r="A447" s="1126"/>
      <c r="B447" s="1138" t="s">
        <v>179</v>
      </c>
      <c r="C447" s="1128">
        <v>1</v>
      </c>
      <c r="D447" s="1129" t="s">
        <v>269</v>
      </c>
      <c r="E447" s="1136">
        <v>300000</v>
      </c>
      <c r="F447" s="1134">
        <f>E447*C447</f>
        <v>300000</v>
      </c>
      <c r="G447" s="1163"/>
    </row>
    <row r="448" spans="1:7" x14ac:dyDescent="0.25">
      <c r="A448" s="1126"/>
      <c r="B448" s="1138" t="s">
        <v>180</v>
      </c>
      <c r="C448" s="1128">
        <v>1</v>
      </c>
      <c r="D448" s="1129" t="s">
        <v>269</v>
      </c>
      <c r="E448" s="1136">
        <v>250000</v>
      </c>
      <c r="F448" s="1134">
        <f t="shared" ref="F448:F449" si="37">E448*C448</f>
        <v>250000</v>
      </c>
      <c r="G448" s="1163"/>
    </row>
    <row r="449" spans="1:7" x14ac:dyDescent="0.25">
      <c r="A449" s="1126"/>
      <c r="B449" s="1138" t="s">
        <v>331</v>
      </c>
      <c r="C449" s="1128">
        <v>1</v>
      </c>
      <c r="D449" s="1129" t="s">
        <v>269</v>
      </c>
      <c r="E449" s="1136">
        <v>200000</v>
      </c>
      <c r="F449" s="1134">
        <f t="shared" si="37"/>
        <v>200000</v>
      </c>
      <c r="G449" s="1163"/>
    </row>
    <row r="450" spans="1:7" ht="25.5" x14ac:dyDescent="0.25">
      <c r="A450" s="1126" t="s">
        <v>2395</v>
      </c>
      <c r="B450" s="1127" t="s">
        <v>948</v>
      </c>
      <c r="C450" s="1128"/>
      <c r="D450" s="1129"/>
      <c r="E450" s="1136"/>
      <c r="F450" s="1134"/>
      <c r="G450" s="1163"/>
    </row>
    <row r="451" spans="1:7" x14ac:dyDescent="0.25">
      <c r="A451" s="1126"/>
      <c r="B451" s="1139" t="s">
        <v>2650</v>
      </c>
      <c r="C451" s="1128">
        <v>4</v>
      </c>
      <c r="D451" s="1129" t="s">
        <v>444</v>
      </c>
      <c r="E451" s="1136">
        <v>900000</v>
      </c>
      <c r="F451" s="1134">
        <f t="shared" ref="F451" si="38">C451*E451</f>
        <v>3600000</v>
      </c>
      <c r="G451" s="1163"/>
    </row>
    <row r="452" spans="1:7" x14ac:dyDescent="0.25">
      <c r="A452" s="1140"/>
      <c r="B452" s="2101" t="s">
        <v>26</v>
      </c>
      <c r="C452" s="2102"/>
      <c r="D452" s="2102"/>
      <c r="E452" s="2103"/>
      <c r="F452" s="1141"/>
      <c r="G452" s="1164"/>
    </row>
    <row r="453" spans="1:7" x14ac:dyDescent="0.25">
      <c r="A453" s="2086" t="s">
        <v>516</v>
      </c>
      <c r="B453" s="2086"/>
      <c r="C453" s="1142" t="s">
        <v>27</v>
      </c>
      <c r="D453" s="2154" t="s">
        <v>1224</v>
      </c>
      <c r="E453" s="2154"/>
      <c r="F453" s="2154"/>
      <c r="G453" s="1142"/>
    </row>
    <row r="454" spans="1:7" x14ac:dyDescent="0.25">
      <c r="A454" s="2086" t="s">
        <v>28</v>
      </c>
      <c r="B454" s="2086"/>
      <c r="C454" s="1142"/>
      <c r="D454" s="2155" t="s">
        <v>2443</v>
      </c>
      <c r="E454" s="2155"/>
      <c r="F454" s="2155"/>
      <c r="G454" s="1142"/>
    </row>
    <row r="455" spans="1:7" x14ac:dyDescent="0.25">
      <c r="A455" s="1145"/>
      <c r="B455" s="1146"/>
      <c r="C455" s="1142"/>
      <c r="D455" s="1144"/>
      <c r="E455" s="1143"/>
      <c r="F455" s="1143"/>
      <c r="G455" s="1142"/>
    </row>
    <row r="456" spans="1:7" x14ac:dyDescent="0.25">
      <c r="A456" s="1145"/>
      <c r="B456" s="1146"/>
      <c r="C456" s="1142"/>
      <c r="D456" s="1144"/>
      <c r="E456" s="1143"/>
      <c r="F456" s="1143"/>
      <c r="G456" s="1142"/>
    </row>
    <row r="457" spans="1:7" x14ac:dyDescent="0.25">
      <c r="A457" s="2086"/>
      <c r="B457" s="2086"/>
      <c r="C457" s="1142"/>
      <c r="D457" s="1144"/>
      <c r="E457" s="2086"/>
      <c r="F457" s="2086"/>
      <c r="G457" s="1142"/>
    </row>
    <row r="458" spans="1:7" x14ac:dyDescent="0.25">
      <c r="A458" s="2086" t="s">
        <v>29</v>
      </c>
      <c r="B458" s="2086"/>
      <c r="C458" s="1142"/>
      <c r="D458" s="2086" t="s">
        <v>517</v>
      </c>
      <c r="E458" s="2086"/>
      <c r="F458" s="2086"/>
      <c r="G458" s="1142"/>
    </row>
    <row r="459" spans="1:7" x14ac:dyDescent="0.25">
      <c r="A459" s="2087" t="s">
        <v>0</v>
      </c>
      <c r="B459" s="2087"/>
      <c r="C459" s="2087"/>
      <c r="D459" s="2087"/>
      <c r="E459" s="2087"/>
      <c r="F459" s="2087"/>
      <c r="G459" s="2087"/>
    </row>
    <row r="460" spans="1:7" x14ac:dyDescent="0.25">
      <c r="A460" s="2087" t="s">
        <v>1</v>
      </c>
      <c r="B460" s="2087"/>
      <c r="C460" s="2087"/>
      <c r="D460" s="2087"/>
      <c r="E460" s="2087"/>
      <c r="F460" s="2087"/>
      <c r="G460" s="2087"/>
    </row>
    <row r="461" spans="1:7" x14ac:dyDescent="0.25">
      <c r="A461" s="2087" t="s">
        <v>2398</v>
      </c>
      <c r="B461" s="2087"/>
      <c r="C461" s="2087"/>
      <c r="D461" s="2087"/>
      <c r="E461" s="2087"/>
      <c r="F461" s="2087"/>
      <c r="G461" s="2087"/>
    </row>
    <row r="462" spans="1:7" x14ac:dyDescent="0.25">
      <c r="A462" s="1322"/>
      <c r="B462" s="1323"/>
      <c r="C462" s="1322"/>
      <c r="D462" s="1322"/>
      <c r="E462" s="1322"/>
      <c r="F462" s="1322"/>
      <c r="G462" s="1324"/>
    </row>
    <row r="463" spans="1:7" ht="30" x14ac:dyDescent="0.25">
      <c r="A463" s="1325" t="s">
        <v>251</v>
      </c>
      <c r="B463" s="1326" t="s">
        <v>954</v>
      </c>
      <c r="C463" s="1325"/>
      <c r="D463" s="1325"/>
      <c r="E463" s="1327" t="s">
        <v>6</v>
      </c>
      <c r="F463" s="1327"/>
      <c r="G463" s="1328"/>
    </row>
    <row r="464" spans="1:7" x14ac:dyDescent="0.25">
      <c r="A464" s="1326" t="s">
        <v>252</v>
      </c>
      <c r="B464" s="2138" t="s">
        <v>953</v>
      </c>
      <c r="C464" s="2138"/>
      <c r="D464" s="1326"/>
      <c r="E464" s="1329" t="s">
        <v>9</v>
      </c>
      <c r="F464" s="1329"/>
      <c r="G464" s="1328"/>
    </row>
    <row r="465" spans="1:21" ht="60" x14ac:dyDescent="0.25">
      <c r="A465" s="1326" t="s">
        <v>253</v>
      </c>
      <c r="B465" s="962" t="s">
        <v>2710</v>
      </c>
      <c r="C465" s="1326" t="s">
        <v>3435</v>
      </c>
      <c r="D465" s="1326"/>
      <c r="E465" s="1326"/>
      <c r="F465" s="1326"/>
      <c r="G465" s="1328"/>
    </row>
    <row r="466" spans="1:21" x14ac:dyDescent="0.25">
      <c r="A466" s="1330" t="s">
        <v>59</v>
      </c>
      <c r="B466" s="1331" t="s">
        <v>60</v>
      </c>
      <c r="C466" s="1330"/>
      <c r="D466" s="1330"/>
      <c r="E466" s="1330"/>
      <c r="F466" s="1330"/>
      <c r="G466" s="1332"/>
    </row>
    <row r="467" spans="1:21" x14ac:dyDescent="0.25">
      <c r="A467" s="1330" t="s">
        <v>61</v>
      </c>
      <c r="B467" s="1331" t="s">
        <v>62</v>
      </c>
      <c r="C467" s="1330"/>
      <c r="D467" s="2088"/>
      <c r="E467" s="2088"/>
      <c r="F467" s="1330"/>
      <c r="G467" s="1328"/>
    </row>
    <row r="468" spans="1:21" ht="30" x14ac:dyDescent="0.25">
      <c r="A468" s="1333" t="s">
        <v>951</v>
      </c>
      <c r="B468" s="1333" t="s">
        <v>950</v>
      </c>
      <c r="C468" s="2089" t="s">
        <v>12</v>
      </c>
      <c r="D468" s="2089"/>
      <c r="E468" s="1334" t="s">
        <v>13</v>
      </c>
      <c r="F468" s="1333" t="s">
        <v>14</v>
      </c>
      <c r="G468" s="1335" t="s">
        <v>256</v>
      </c>
    </row>
    <row r="469" spans="1:21" x14ac:dyDescent="0.25">
      <c r="A469" s="1336">
        <v>1</v>
      </c>
      <c r="B469" s="1333">
        <v>2</v>
      </c>
      <c r="C469" s="2090">
        <v>3</v>
      </c>
      <c r="D469" s="2091"/>
      <c r="E469" s="1338">
        <v>4</v>
      </c>
      <c r="F469" s="1337">
        <v>5</v>
      </c>
      <c r="G469" s="1339">
        <v>11</v>
      </c>
    </row>
    <row r="470" spans="1:21" x14ac:dyDescent="0.25">
      <c r="A470" s="1340" t="s">
        <v>3178</v>
      </c>
      <c r="B470" s="1341" t="s">
        <v>277</v>
      </c>
      <c r="C470" s="1342"/>
      <c r="D470" s="1343"/>
      <c r="E470" s="1344"/>
      <c r="F470" s="1344"/>
      <c r="G470" s="1345"/>
    </row>
    <row r="471" spans="1:21" x14ac:dyDescent="0.25">
      <c r="A471" s="1340" t="s">
        <v>3179</v>
      </c>
      <c r="B471" s="1346" t="s">
        <v>84</v>
      </c>
      <c r="C471" s="1342"/>
      <c r="D471" s="1343"/>
      <c r="E471" s="1344"/>
      <c r="F471" s="1344"/>
      <c r="G471" s="1345"/>
    </row>
    <row r="472" spans="1:21" x14ac:dyDescent="0.25">
      <c r="A472" s="1340" t="s">
        <v>3180</v>
      </c>
      <c r="B472" s="1347" t="s">
        <v>930</v>
      </c>
      <c r="C472" s="1342"/>
      <c r="D472" s="1343"/>
      <c r="E472" s="1352"/>
      <c r="F472" s="1349"/>
      <c r="G472" s="1350"/>
    </row>
    <row r="473" spans="1:21" x14ac:dyDescent="0.25">
      <c r="A473" s="1351"/>
      <c r="B473" s="1353" t="s">
        <v>2711</v>
      </c>
      <c r="C473" s="1342">
        <v>1</v>
      </c>
      <c r="D473" s="1343" t="s">
        <v>106</v>
      </c>
      <c r="E473" s="1352">
        <v>10000000</v>
      </c>
      <c r="F473" s="1349">
        <f>E473*C473</f>
        <v>10000000</v>
      </c>
      <c r="G473" s="1350"/>
    </row>
    <row r="474" spans="1:21" x14ac:dyDescent="0.25">
      <c r="A474" s="1351"/>
      <c r="B474" s="1353"/>
      <c r="C474" s="1342"/>
      <c r="D474" s="1343"/>
      <c r="E474" s="1352"/>
      <c r="F474" s="1349"/>
      <c r="G474" s="1350"/>
    </row>
    <row r="475" spans="1:21" x14ac:dyDescent="0.25">
      <c r="A475" s="1340" t="s">
        <v>3181</v>
      </c>
      <c r="B475" s="1341" t="s">
        <v>294</v>
      </c>
      <c r="C475" s="1342"/>
      <c r="D475" s="1343"/>
      <c r="E475" s="1352"/>
      <c r="F475" s="1349"/>
      <c r="G475" s="1350"/>
    </row>
    <row r="476" spans="1:21" ht="25.5" x14ac:dyDescent="0.25">
      <c r="A476" s="1340" t="s">
        <v>1026</v>
      </c>
      <c r="B476" s="1341" t="s">
        <v>484</v>
      </c>
      <c r="C476" s="1342"/>
      <c r="D476" s="1343"/>
      <c r="E476" s="1352"/>
      <c r="F476" s="1349"/>
      <c r="G476" s="1350"/>
    </row>
    <row r="477" spans="1:21" x14ac:dyDescent="0.25">
      <c r="A477" s="1340"/>
      <c r="B477" s="1354" t="s">
        <v>179</v>
      </c>
      <c r="C477" s="1342">
        <v>1</v>
      </c>
      <c r="D477" s="1343" t="s">
        <v>269</v>
      </c>
      <c r="E477" s="1352">
        <v>300000</v>
      </c>
      <c r="F477" s="1349">
        <f>E477*C477</f>
        <v>300000</v>
      </c>
      <c r="G477" s="1350"/>
    </row>
    <row r="478" spans="1:21" x14ac:dyDescent="0.25">
      <c r="A478" s="1340"/>
      <c r="B478" s="1354" t="s">
        <v>180</v>
      </c>
      <c r="C478" s="1342">
        <v>1</v>
      </c>
      <c r="D478" s="1343" t="s">
        <v>269</v>
      </c>
      <c r="E478" s="1352">
        <v>250000</v>
      </c>
      <c r="F478" s="1349">
        <f t="shared" ref="F478:F479" si="39">E478*C478</f>
        <v>250000</v>
      </c>
      <c r="G478" s="1350"/>
    </row>
    <row r="479" spans="1:21" x14ac:dyDescent="0.25">
      <c r="A479" s="1340"/>
      <c r="B479" s="1354" t="s">
        <v>331</v>
      </c>
      <c r="C479" s="1342">
        <v>1</v>
      </c>
      <c r="D479" s="1343" t="s">
        <v>269</v>
      </c>
      <c r="E479" s="1352">
        <v>200000</v>
      </c>
      <c r="F479" s="1349">
        <f t="shared" si="39"/>
        <v>200000</v>
      </c>
      <c r="G479" s="1350"/>
    </row>
    <row r="480" spans="1:21" x14ac:dyDescent="0.25">
      <c r="A480" s="1356"/>
      <c r="B480" s="2092" t="s">
        <v>26</v>
      </c>
      <c r="C480" s="2093"/>
      <c r="D480" s="2093"/>
      <c r="E480" s="2094"/>
      <c r="F480" s="1357">
        <f>SUM(F472:F479)</f>
        <v>10750000</v>
      </c>
      <c r="G480" s="1358"/>
      <c r="U480" s="23"/>
    </row>
    <row r="481" spans="1:7" x14ac:dyDescent="0.25">
      <c r="A481" s="1969" t="s">
        <v>516</v>
      </c>
      <c r="B481" s="1969"/>
      <c r="C481" s="1259" t="s">
        <v>27</v>
      </c>
      <c r="D481" s="1970" t="s">
        <v>1224</v>
      </c>
      <c r="E481" s="1970"/>
      <c r="F481" s="1970"/>
      <c r="G481" s="1259"/>
    </row>
    <row r="482" spans="1:7" x14ac:dyDescent="0.25">
      <c r="A482" s="1969" t="s">
        <v>28</v>
      </c>
      <c r="B482" s="1969"/>
      <c r="C482" s="1259"/>
      <c r="D482" s="1971" t="s">
        <v>2443</v>
      </c>
      <c r="E482" s="1971"/>
      <c r="F482" s="1971"/>
      <c r="G482" s="1259"/>
    </row>
    <row r="483" spans="1:7" x14ac:dyDescent="0.25">
      <c r="A483" s="1261"/>
      <c r="B483" s="1262"/>
      <c r="C483" s="1259"/>
      <c r="D483" s="1260"/>
      <c r="E483" s="948"/>
      <c r="F483" s="948"/>
      <c r="G483" s="1259"/>
    </row>
    <row r="484" spans="1:7" x14ac:dyDescent="0.25">
      <c r="A484" s="1261"/>
      <c r="B484" s="1262"/>
      <c r="C484" s="1259"/>
      <c r="D484" s="1260"/>
      <c r="E484" s="948"/>
      <c r="F484" s="948"/>
      <c r="G484" s="1259"/>
    </row>
    <row r="485" spans="1:7" x14ac:dyDescent="0.25">
      <c r="A485" s="1969"/>
      <c r="B485" s="1969"/>
      <c r="C485" s="1259"/>
      <c r="D485" s="1260"/>
      <c r="E485" s="1969"/>
      <c r="F485" s="1969"/>
      <c r="G485" s="1259"/>
    </row>
    <row r="486" spans="1:7" x14ac:dyDescent="0.25">
      <c r="A486" s="1969" t="s">
        <v>29</v>
      </c>
      <c r="B486" s="1969"/>
      <c r="C486" s="1259"/>
      <c r="D486" s="1969" t="s">
        <v>517</v>
      </c>
      <c r="E486" s="1969"/>
      <c r="F486" s="1969"/>
      <c r="G486" s="1259"/>
    </row>
    <row r="487" spans="1:7" x14ac:dyDescent="0.25">
      <c r="A487" s="2084" t="s">
        <v>0</v>
      </c>
      <c r="B487" s="2084"/>
      <c r="C487" s="2084"/>
      <c r="D487" s="2084"/>
      <c r="E487" s="2084"/>
      <c r="F487" s="2084"/>
      <c r="G487" s="2084"/>
    </row>
    <row r="488" spans="1:7" x14ac:dyDescent="0.25">
      <c r="A488" s="2084" t="s">
        <v>1</v>
      </c>
      <c r="B488" s="2084"/>
      <c r="C488" s="2084"/>
      <c r="D488" s="2084"/>
      <c r="E488" s="2084"/>
      <c r="F488" s="2084"/>
      <c r="G488" s="2084"/>
    </row>
    <row r="489" spans="1:7" x14ac:dyDescent="0.25">
      <c r="A489" s="2084" t="s">
        <v>2398</v>
      </c>
      <c r="B489" s="2084"/>
      <c r="C489" s="2084"/>
      <c r="D489" s="2084"/>
      <c r="E489" s="2084"/>
      <c r="F489" s="2084"/>
      <c r="G489" s="2084"/>
    </row>
    <row r="490" spans="1:7" x14ac:dyDescent="0.25">
      <c r="A490" s="653"/>
      <c r="B490" s="654"/>
      <c r="C490" s="653"/>
      <c r="D490" s="653"/>
      <c r="E490" s="653"/>
      <c r="F490" s="653"/>
      <c r="G490" s="1156"/>
    </row>
    <row r="491" spans="1:7" ht="30" x14ac:dyDescent="0.25">
      <c r="A491" s="655" t="s">
        <v>251</v>
      </c>
      <c r="B491" s="656" t="s">
        <v>954</v>
      </c>
      <c r="C491" s="655"/>
      <c r="D491" s="655"/>
      <c r="E491" s="262" t="s">
        <v>6</v>
      </c>
      <c r="F491" s="262"/>
      <c r="G491" s="405"/>
    </row>
    <row r="492" spans="1:7" x14ac:dyDescent="0.25">
      <c r="A492" s="656" t="s">
        <v>252</v>
      </c>
      <c r="B492" s="2085" t="s">
        <v>953</v>
      </c>
      <c r="C492" s="2085"/>
      <c r="D492" s="656"/>
      <c r="E492" s="657" t="s">
        <v>9</v>
      </c>
      <c r="F492" s="657"/>
      <c r="G492" s="405"/>
    </row>
    <row r="493" spans="1:7" ht="60" x14ac:dyDescent="0.25">
      <c r="A493" s="656" t="s">
        <v>253</v>
      </c>
      <c r="B493" s="5" t="s">
        <v>3107</v>
      </c>
      <c r="C493" s="656"/>
      <c r="D493" s="656"/>
      <c r="E493" s="656"/>
      <c r="F493" s="656"/>
      <c r="G493" s="405"/>
    </row>
    <row r="494" spans="1:7" x14ac:dyDescent="0.25">
      <c r="A494" s="260" t="s">
        <v>59</v>
      </c>
      <c r="B494" s="268" t="s">
        <v>60</v>
      </c>
      <c r="C494" s="260"/>
      <c r="D494" s="260"/>
      <c r="E494" s="260"/>
      <c r="F494" s="260"/>
      <c r="G494" s="393"/>
    </row>
    <row r="495" spans="1:7" x14ac:dyDescent="0.25">
      <c r="A495" s="260" t="s">
        <v>61</v>
      </c>
      <c r="B495" s="268" t="s">
        <v>62</v>
      </c>
      <c r="C495" s="260"/>
      <c r="D495" s="1957"/>
      <c r="E495" s="1957"/>
      <c r="F495" s="260"/>
      <c r="G495" s="405"/>
    </row>
    <row r="496" spans="1:7" ht="30" x14ac:dyDescent="0.25">
      <c r="A496" s="269" t="s">
        <v>951</v>
      </c>
      <c r="B496" s="269" t="s">
        <v>950</v>
      </c>
      <c r="C496" s="1962" t="s">
        <v>12</v>
      </c>
      <c r="D496" s="1962"/>
      <c r="E496" s="270" t="s">
        <v>13</v>
      </c>
      <c r="F496" s="269" t="s">
        <v>14</v>
      </c>
      <c r="G496" s="408" t="s">
        <v>256</v>
      </c>
    </row>
    <row r="497" spans="1:7" x14ac:dyDescent="0.25">
      <c r="A497" s="281">
        <v>1</v>
      </c>
      <c r="B497" s="269">
        <v>2</v>
      </c>
      <c r="C497" s="1965">
        <v>3</v>
      </c>
      <c r="D497" s="1966"/>
      <c r="E497" s="569">
        <v>4</v>
      </c>
      <c r="F497" s="279">
        <v>5</v>
      </c>
      <c r="G497" s="397">
        <v>11</v>
      </c>
    </row>
    <row r="498" spans="1:7" ht="22.5" customHeight="1" x14ac:dyDescent="0.25">
      <c r="A498" s="658" t="s">
        <v>3178</v>
      </c>
      <c r="B498" s="659" t="s">
        <v>277</v>
      </c>
      <c r="C498" s="234"/>
      <c r="D498" s="235"/>
      <c r="E498" s="236"/>
      <c r="F498" s="236"/>
      <c r="G498" s="410"/>
    </row>
    <row r="499" spans="1:7" ht="33.75" customHeight="1" x14ac:dyDescent="0.25">
      <c r="A499" s="658" t="s">
        <v>3179</v>
      </c>
      <c r="B499" s="660" t="s">
        <v>84</v>
      </c>
      <c r="C499" s="234"/>
      <c r="D499" s="235"/>
      <c r="E499" s="236"/>
      <c r="F499" s="236"/>
      <c r="G499" s="410"/>
    </row>
    <row r="500" spans="1:7" ht="33.75" customHeight="1" x14ac:dyDescent="0.25">
      <c r="A500" s="658" t="s">
        <v>3183</v>
      </c>
      <c r="B500" s="661" t="s">
        <v>307</v>
      </c>
      <c r="C500" s="234"/>
      <c r="D500" s="235"/>
      <c r="E500" s="665"/>
      <c r="F500" s="664"/>
      <c r="G500" s="415"/>
    </row>
    <row r="501" spans="1:7" x14ac:dyDescent="0.25">
      <c r="A501" s="669"/>
      <c r="B501" s="661" t="s">
        <v>1250</v>
      </c>
      <c r="C501" s="234"/>
      <c r="D501" s="235"/>
      <c r="E501" s="671"/>
      <c r="F501" s="664"/>
      <c r="G501" s="415"/>
    </row>
    <row r="502" spans="1:7" ht="37.5" customHeight="1" x14ac:dyDescent="0.25">
      <c r="A502" s="669"/>
      <c r="B502" s="662" t="s">
        <v>3336</v>
      </c>
      <c r="C502" s="234">
        <f>34*31</f>
        <v>1054</v>
      </c>
      <c r="D502" s="235" t="s">
        <v>269</v>
      </c>
      <c r="E502" s="671">
        <v>20000</v>
      </c>
      <c r="F502" s="664">
        <f t="shared" ref="F502" si="40">C502*E502</f>
        <v>21080000</v>
      </c>
      <c r="G502" s="415"/>
    </row>
    <row r="503" spans="1:7" ht="25.5" x14ac:dyDescent="0.25">
      <c r="A503" s="669"/>
      <c r="B503" s="662" t="s">
        <v>3334</v>
      </c>
      <c r="C503" s="234">
        <v>16</v>
      </c>
      <c r="D503" s="235" t="s">
        <v>269</v>
      </c>
      <c r="E503" s="671">
        <v>20000</v>
      </c>
      <c r="F503" s="664">
        <f>E503*C503</f>
        <v>320000</v>
      </c>
      <c r="G503" s="415"/>
    </row>
    <row r="504" spans="1:7" ht="30" x14ac:dyDescent="0.25">
      <c r="A504" s="658" t="s">
        <v>3184</v>
      </c>
      <c r="B504" s="745" t="s">
        <v>3108</v>
      </c>
      <c r="C504" s="234"/>
      <c r="D504" s="235"/>
      <c r="E504" s="671"/>
      <c r="F504" s="664"/>
      <c r="G504" s="415"/>
    </row>
    <row r="505" spans="1:7" x14ac:dyDescent="0.25">
      <c r="A505" s="669"/>
      <c r="B505" s="670" t="s">
        <v>3109</v>
      </c>
      <c r="C505" s="234">
        <v>31</v>
      </c>
      <c r="D505" s="235" t="s">
        <v>106</v>
      </c>
      <c r="E505" s="671">
        <v>326000</v>
      </c>
      <c r="F505" s="664">
        <f t="shared" ref="F505:F506" si="41">C505*E505</f>
        <v>10106000</v>
      </c>
      <c r="G505" s="415"/>
    </row>
    <row r="506" spans="1:7" x14ac:dyDescent="0.25">
      <c r="A506" s="669"/>
      <c r="B506" s="670" t="s">
        <v>3330</v>
      </c>
      <c r="C506" s="234">
        <v>31</v>
      </c>
      <c r="D506" s="235" t="s">
        <v>106</v>
      </c>
      <c r="E506" s="671">
        <v>321000</v>
      </c>
      <c r="F506" s="664">
        <f t="shared" si="41"/>
        <v>9951000</v>
      </c>
      <c r="G506" s="415"/>
    </row>
    <row r="507" spans="1:7" x14ac:dyDescent="0.25">
      <c r="A507" s="658" t="s">
        <v>3181</v>
      </c>
      <c r="B507" s="659" t="s">
        <v>294</v>
      </c>
      <c r="C507" s="234"/>
      <c r="D507" s="235"/>
      <c r="E507" s="671"/>
      <c r="F507" s="664"/>
      <c r="G507" s="415"/>
    </row>
    <row r="508" spans="1:7" ht="25.5" x14ac:dyDescent="0.25">
      <c r="A508" s="658" t="s">
        <v>1026</v>
      </c>
      <c r="B508" s="659" t="s">
        <v>484</v>
      </c>
      <c r="C508" s="234"/>
      <c r="D508" s="235"/>
      <c r="E508" s="671"/>
      <c r="F508" s="664"/>
      <c r="G508" s="415"/>
    </row>
    <row r="509" spans="1:7" x14ac:dyDescent="0.25">
      <c r="A509" s="658"/>
      <c r="B509" s="670" t="s">
        <v>179</v>
      </c>
      <c r="C509" s="234">
        <v>1</v>
      </c>
      <c r="D509" s="235" t="s">
        <v>269</v>
      </c>
      <c r="E509" s="671">
        <v>300000</v>
      </c>
      <c r="F509" s="664">
        <f>E509*C509</f>
        <v>300000</v>
      </c>
      <c r="G509" s="415"/>
    </row>
    <row r="510" spans="1:7" x14ac:dyDescent="0.25">
      <c r="A510" s="658"/>
      <c r="B510" s="670" t="s">
        <v>180</v>
      </c>
      <c r="C510" s="234">
        <v>1</v>
      </c>
      <c r="D510" s="235" t="s">
        <v>269</v>
      </c>
      <c r="E510" s="671">
        <v>250000</v>
      </c>
      <c r="F510" s="664">
        <f t="shared" ref="F510:F511" si="42">E510*C510</f>
        <v>250000</v>
      </c>
      <c r="G510" s="415"/>
    </row>
    <row r="511" spans="1:7" x14ac:dyDescent="0.25">
      <c r="A511" s="658"/>
      <c r="B511" s="670" t="s">
        <v>331</v>
      </c>
      <c r="C511" s="234">
        <v>1</v>
      </c>
      <c r="D511" s="235" t="s">
        <v>269</v>
      </c>
      <c r="E511" s="671">
        <v>200000</v>
      </c>
      <c r="F511" s="664">
        <f t="shared" si="42"/>
        <v>200000</v>
      </c>
      <c r="G511" s="415"/>
    </row>
    <row r="512" spans="1:7" ht="25.5" x14ac:dyDescent="0.25">
      <c r="A512" s="658" t="s">
        <v>3185</v>
      </c>
      <c r="B512" s="659" t="s">
        <v>948</v>
      </c>
      <c r="C512" s="234"/>
      <c r="D512" s="235"/>
      <c r="E512" s="671"/>
      <c r="F512" s="664"/>
      <c r="G512" s="415"/>
    </row>
    <row r="513" spans="1:12" x14ac:dyDescent="0.25">
      <c r="A513" s="658"/>
      <c r="B513" s="670" t="s">
        <v>3331</v>
      </c>
      <c r="C513" s="234">
        <v>31</v>
      </c>
      <c r="D513" s="235" t="s">
        <v>269</v>
      </c>
      <c r="E513" s="671">
        <v>353000</v>
      </c>
      <c r="F513" s="664">
        <f>E513*C513</f>
        <v>10943000</v>
      </c>
      <c r="G513" s="415"/>
    </row>
    <row r="514" spans="1:12" x14ac:dyDescent="0.25">
      <c r="A514" s="658"/>
      <c r="B514" s="670" t="s">
        <v>3329</v>
      </c>
      <c r="C514" s="234">
        <v>16</v>
      </c>
      <c r="D514" s="235" t="s">
        <v>444</v>
      </c>
      <c r="E514" s="671">
        <v>300000</v>
      </c>
      <c r="F514" s="664">
        <f>E514*C514</f>
        <v>4800000</v>
      </c>
      <c r="G514" s="415"/>
    </row>
    <row r="515" spans="1:12" x14ac:dyDescent="0.25">
      <c r="A515" s="658"/>
      <c r="B515" s="673" t="s">
        <v>3335</v>
      </c>
      <c r="C515" s="234">
        <v>30</v>
      </c>
      <c r="D515" s="235" t="s">
        <v>444</v>
      </c>
      <c r="E515" s="671">
        <v>300000</v>
      </c>
      <c r="F515" s="664">
        <f t="shared" ref="F515" si="43">C515*E515</f>
        <v>9000000</v>
      </c>
      <c r="G515" s="415"/>
    </row>
    <row r="516" spans="1:12" x14ac:dyDescent="0.25">
      <c r="A516" s="658" t="s">
        <v>3195</v>
      </c>
      <c r="B516" s="673" t="s">
        <v>3332</v>
      </c>
      <c r="C516" s="236"/>
      <c r="D516" s="236"/>
      <c r="E516" s="671"/>
      <c r="F516" s="664"/>
      <c r="G516" s="415"/>
    </row>
    <row r="517" spans="1:12" x14ac:dyDescent="0.25">
      <c r="A517" s="658" t="s">
        <v>3196</v>
      </c>
      <c r="B517" s="673" t="s">
        <v>3333</v>
      </c>
      <c r="C517" s="236">
        <f>30*32</f>
        <v>960</v>
      </c>
      <c r="D517" s="236" t="s">
        <v>3337</v>
      </c>
      <c r="E517" s="671">
        <v>50000</v>
      </c>
      <c r="F517" s="664">
        <f>E517*C517</f>
        <v>48000000</v>
      </c>
      <c r="G517" s="415"/>
    </row>
    <row r="518" spans="1:12" x14ac:dyDescent="0.25">
      <c r="A518" s="658"/>
      <c r="B518" s="673"/>
      <c r="C518" s="236"/>
      <c r="D518" s="236"/>
      <c r="E518" s="671"/>
      <c r="F518" s="664"/>
      <c r="G518" s="415"/>
    </row>
    <row r="519" spans="1:12" x14ac:dyDescent="0.25">
      <c r="A519" s="688"/>
      <c r="B519" s="2081" t="s">
        <v>26</v>
      </c>
      <c r="C519" s="2082"/>
      <c r="D519" s="2082"/>
      <c r="E519" s="2083"/>
      <c r="F519" s="689">
        <f>SUM(F500:F517)</f>
        <v>114950000</v>
      </c>
      <c r="G519" s="600" t="s">
        <v>1506</v>
      </c>
      <c r="L519" s="23">
        <f>F519</f>
        <v>114950000</v>
      </c>
    </row>
    <row r="520" spans="1:12" x14ac:dyDescent="0.25">
      <c r="A520" s="1926" t="s">
        <v>516</v>
      </c>
      <c r="B520" s="1926"/>
      <c r="C520" s="152" t="s">
        <v>27</v>
      </c>
      <c r="D520" s="1926" t="s">
        <v>3654</v>
      </c>
      <c r="E520" s="1926"/>
      <c r="F520" s="1926"/>
      <c r="G520" s="152"/>
    </row>
    <row r="521" spans="1:12" x14ac:dyDescent="0.25">
      <c r="A521" s="1926" t="s">
        <v>28</v>
      </c>
      <c r="B521" s="1926"/>
      <c r="C521" s="152"/>
      <c r="D521" s="1927" t="s">
        <v>3570</v>
      </c>
      <c r="E521" s="1927"/>
      <c r="F521" s="1927"/>
      <c r="G521" s="152"/>
    </row>
    <row r="522" spans="1:12" x14ac:dyDescent="0.25">
      <c r="A522" s="150"/>
      <c r="B522" s="151"/>
      <c r="C522" s="152"/>
      <c r="D522" s="153"/>
      <c r="E522" s="182"/>
      <c r="F522" s="1208"/>
      <c r="G522" s="152"/>
    </row>
    <row r="523" spans="1:12" x14ac:dyDescent="0.25">
      <c r="A523" s="150"/>
      <c r="B523" s="151"/>
      <c r="C523" s="152"/>
      <c r="D523" s="153"/>
      <c r="E523" s="182"/>
      <c r="F523" s="1208"/>
      <c r="G523" s="152"/>
    </row>
    <row r="524" spans="1:12" x14ac:dyDescent="0.25">
      <c r="A524" s="1926"/>
      <c r="B524" s="1926"/>
      <c r="C524" s="152"/>
      <c r="D524" s="153"/>
      <c r="E524" s="2003"/>
      <c r="F524" s="2003"/>
      <c r="G524" s="152"/>
    </row>
    <row r="525" spans="1:12" x14ac:dyDescent="0.25">
      <c r="A525" s="1926" t="s">
        <v>29</v>
      </c>
      <c r="B525" s="1926"/>
      <c r="C525" s="152"/>
      <c r="D525" s="1926" t="s">
        <v>3548</v>
      </c>
      <c r="E525" s="1926"/>
      <c r="F525" s="1926"/>
      <c r="G525" s="152"/>
    </row>
    <row r="527" spans="1:12" x14ac:dyDescent="0.25">
      <c r="A527" s="2119" t="s">
        <v>0</v>
      </c>
      <c r="B527" s="2119"/>
      <c r="C527" s="2119"/>
      <c r="D527" s="2119"/>
      <c r="E527" s="2119"/>
      <c r="F527" s="2119"/>
      <c r="G527" s="2119"/>
    </row>
    <row r="528" spans="1:12" x14ac:dyDescent="0.25">
      <c r="A528" s="2119" t="s">
        <v>1</v>
      </c>
      <c r="B528" s="2119"/>
      <c r="C528" s="2119"/>
      <c r="D528" s="2119"/>
      <c r="E528" s="2119"/>
      <c r="F528" s="2119"/>
      <c r="G528" s="2119"/>
    </row>
    <row r="529" spans="1:13" x14ac:dyDescent="0.25">
      <c r="A529" s="2119" t="s">
        <v>2398</v>
      </c>
      <c r="B529" s="2119"/>
      <c r="C529" s="2119"/>
      <c r="D529" s="2119"/>
      <c r="E529" s="2119"/>
      <c r="F529" s="2119"/>
      <c r="G529" s="2119"/>
    </row>
    <row r="530" spans="1:13" x14ac:dyDescent="0.25">
      <c r="A530" s="148"/>
      <c r="B530" s="148"/>
      <c r="C530" s="148"/>
      <c r="D530" s="148"/>
      <c r="E530" s="148"/>
      <c r="F530" s="148"/>
      <c r="G530" s="504"/>
    </row>
    <row r="531" spans="1:13" x14ac:dyDescent="0.25">
      <c r="A531" s="226" t="s">
        <v>251</v>
      </c>
      <c r="B531" s="691" t="s">
        <v>873</v>
      </c>
      <c r="C531" s="226"/>
      <c r="D531" s="226"/>
      <c r="E531" s="364"/>
      <c r="F531" s="364"/>
      <c r="G531" s="1165"/>
    </row>
    <row r="532" spans="1:13" x14ac:dyDescent="0.25">
      <c r="A532" s="226" t="s">
        <v>252</v>
      </c>
      <c r="B532" s="2157" t="s">
        <v>872</v>
      </c>
      <c r="C532" s="2157"/>
      <c r="D532" s="226"/>
      <c r="E532" s="154" t="s">
        <v>6</v>
      </c>
      <c r="F532" s="154"/>
      <c r="G532" s="1165"/>
    </row>
    <row r="533" spans="1:13" ht="25.5" x14ac:dyDescent="0.25">
      <c r="A533" s="228" t="s">
        <v>253</v>
      </c>
      <c r="B533" s="692" t="s">
        <v>871</v>
      </c>
      <c r="C533" s="692"/>
      <c r="D533" s="228"/>
      <c r="E533" s="488" t="s">
        <v>9</v>
      </c>
      <c r="F533" s="488"/>
      <c r="G533" s="1165"/>
    </row>
    <row r="534" spans="1:13" x14ac:dyDescent="0.25">
      <c r="A534" s="190" t="s">
        <v>59</v>
      </c>
      <c r="B534" s="190" t="s">
        <v>60</v>
      </c>
      <c r="C534" s="190"/>
      <c r="D534" s="152"/>
      <c r="E534" s="152"/>
      <c r="F534" s="152"/>
      <c r="G534" s="1165"/>
    </row>
    <row r="535" spans="1:13" x14ac:dyDescent="0.25">
      <c r="A535" s="190" t="s">
        <v>61</v>
      </c>
      <c r="B535" s="190" t="s">
        <v>62</v>
      </c>
      <c r="C535" s="190"/>
      <c r="D535" s="1952"/>
      <c r="E535" s="1952"/>
      <c r="F535" s="152"/>
      <c r="G535" s="1165"/>
    </row>
    <row r="536" spans="1:13" x14ac:dyDescent="0.25">
      <c r="A536" s="151"/>
      <c r="B536" s="151"/>
      <c r="C536" s="151"/>
      <c r="D536" s="151"/>
      <c r="E536" s="151"/>
      <c r="F536" s="151"/>
      <c r="G536" s="1165"/>
    </row>
    <row r="537" spans="1:13" ht="24" x14ac:dyDescent="0.25">
      <c r="A537" s="343" t="s">
        <v>255</v>
      </c>
      <c r="B537" s="343" t="s">
        <v>11</v>
      </c>
      <c r="C537" s="2080" t="s">
        <v>12</v>
      </c>
      <c r="D537" s="2080"/>
      <c r="E537" s="595" t="s">
        <v>13</v>
      </c>
      <c r="F537" s="344" t="s">
        <v>14</v>
      </c>
      <c r="G537" s="641" t="s">
        <v>256</v>
      </c>
    </row>
    <row r="538" spans="1:13" x14ac:dyDescent="0.25">
      <c r="A538" s="162">
        <v>1</v>
      </c>
      <c r="B538" s="162">
        <v>2</v>
      </c>
      <c r="C538" s="1959">
        <v>3</v>
      </c>
      <c r="D538" s="1960"/>
      <c r="E538" s="232">
        <v>4</v>
      </c>
      <c r="F538" s="231">
        <v>5</v>
      </c>
      <c r="G538" s="642">
        <v>6</v>
      </c>
    </row>
    <row r="539" spans="1:13" x14ac:dyDescent="0.25">
      <c r="A539" s="346" t="s">
        <v>870</v>
      </c>
      <c r="B539" s="456" t="s">
        <v>683</v>
      </c>
      <c r="C539" s="371"/>
      <c r="D539" s="372"/>
      <c r="E539" s="427"/>
      <c r="F539" s="164"/>
      <c r="G539" s="325"/>
    </row>
    <row r="540" spans="1:13" x14ac:dyDescent="0.25">
      <c r="A540" s="346" t="s">
        <v>869</v>
      </c>
      <c r="B540" s="456" t="s">
        <v>84</v>
      </c>
      <c r="C540" s="371"/>
      <c r="D540" s="372"/>
      <c r="E540" s="427"/>
      <c r="F540" s="164"/>
      <c r="G540" s="325"/>
    </row>
    <row r="541" spans="1:13" ht="24.75" x14ac:dyDescent="0.25">
      <c r="A541" s="346" t="s">
        <v>868</v>
      </c>
      <c r="B541" s="386" t="s">
        <v>307</v>
      </c>
      <c r="C541" s="178"/>
      <c r="D541" s="362"/>
      <c r="E541" s="179"/>
      <c r="F541" s="363"/>
      <c r="G541" s="325"/>
    </row>
    <row r="542" spans="1:13" x14ac:dyDescent="0.25">
      <c r="A542" s="693"/>
      <c r="B542" s="181" t="s">
        <v>1254</v>
      </c>
      <c r="C542" s="169">
        <v>100</v>
      </c>
      <c r="D542" s="170" t="s">
        <v>269</v>
      </c>
      <c r="E542" s="179">
        <v>20000</v>
      </c>
      <c r="F542" s="363">
        <f>C542*E542</f>
        <v>2000000</v>
      </c>
      <c r="G542" s="325" t="s">
        <v>2177</v>
      </c>
      <c r="M542" s="23">
        <f>F542</f>
        <v>2000000</v>
      </c>
    </row>
    <row r="543" spans="1:13" ht="36" customHeight="1" x14ac:dyDescent="0.25">
      <c r="A543" s="346" t="s">
        <v>867</v>
      </c>
      <c r="B543" s="386" t="s">
        <v>866</v>
      </c>
      <c r="C543" s="169"/>
      <c r="D543" s="170"/>
      <c r="E543" s="179"/>
      <c r="F543" s="363"/>
      <c r="G543" s="325"/>
    </row>
    <row r="544" spans="1:13" x14ac:dyDescent="0.25">
      <c r="A544" s="186"/>
      <c r="B544" s="319" t="s">
        <v>865</v>
      </c>
      <c r="C544" s="169">
        <v>15</v>
      </c>
      <c r="D544" s="170" t="s">
        <v>849</v>
      </c>
      <c r="E544" s="562">
        <v>50000</v>
      </c>
      <c r="F544" s="363">
        <f t="shared" ref="F544:F557" si="44">C544*E544</f>
        <v>750000</v>
      </c>
      <c r="G544" s="651" t="s">
        <v>2177</v>
      </c>
      <c r="M544" s="23">
        <f>F544</f>
        <v>750000</v>
      </c>
    </row>
    <row r="545" spans="1:25" x14ac:dyDescent="0.25">
      <c r="A545" s="186"/>
      <c r="B545" s="319" t="s">
        <v>275</v>
      </c>
      <c r="C545" s="169">
        <v>100</v>
      </c>
      <c r="D545" s="170" t="s">
        <v>158</v>
      </c>
      <c r="E545" s="562">
        <v>2000</v>
      </c>
      <c r="F545" s="363">
        <f t="shared" si="44"/>
        <v>200000</v>
      </c>
      <c r="G545" s="651" t="s">
        <v>2177</v>
      </c>
      <c r="M545" s="23">
        <f t="shared" ref="M545:M555" si="45">F545</f>
        <v>200000</v>
      </c>
    </row>
    <row r="546" spans="1:25" x14ac:dyDescent="0.25">
      <c r="A546" s="186"/>
      <c r="B546" s="319" t="s">
        <v>289</v>
      </c>
      <c r="C546" s="169">
        <v>4</v>
      </c>
      <c r="D546" s="170" t="s">
        <v>290</v>
      </c>
      <c r="E546" s="562">
        <v>10000</v>
      </c>
      <c r="F546" s="363">
        <f t="shared" si="44"/>
        <v>40000</v>
      </c>
      <c r="G546" s="651" t="s">
        <v>2177</v>
      </c>
      <c r="J546" s="23"/>
      <c r="M546" s="23">
        <f t="shared" si="45"/>
        <v>40000</v>
      </c>
    </row>
    <row r="547" spans="1:25" x14ac:dyDescent="0.25">
      <c r="A547" s="186"/>
      <c r="B547" s="319" t="s">
        <v>864</v>
      </c>
      <c r="C547" s="169">
        <v>1</v>
      </c>
      <c r="D547" s="170" t="s">
        <v>849</v>
      </c>
      <c r="E547" s="562">
        <v>150000</v>
      </c>
      <c r="F547" s="363">
        <f t="shared" si="44"/>
        <v>150000</v>
      </c>
      <c r="G547" s="651" t="s">
        <v>2177</v>
      </c>
      <c r="M547" s="23">
        <f t="shared" si="45"/>
        <v>150000</v>
      </c>
    </row>
    <row r="548" spans="1:25" x14ac:dyDescent="0.25">
      <c r="A548" s="186"/>
      <c r="B548" s="319" t="s">
        <v>863</v>
      </c>
      <c r="C548" s="169">
        <v>1</v>
      </c>
      <c r="D548" s="170" t="s">
        <v>849</v>
      </c>
      <c r="E548" s="562">
        <v>150000</v>
      </c>
      <c r="F548" s="363">
        <f t="shared" si="44"/>
        <v>150000</v>
      </c>
      <c r="G548" s="651" t="s">
        <v>2177</v>
      </c>
      <c r="M548" s="23">
        <f t="shared" si="45"/>
        <v>150000</v>
      </c>
    </row>
    <row r="549" spans="1:25" x14ac:dyDescent="0.25">
      <c r="A549" s="186"/>
      <c r="B549" s="319" t="s">
        <v>862</v>
      </c>
      <c r="C549" s="169">
        <v>1</v>
      </c>
      <c r="D549" s="170" t="s">
        <v>849</v>
      </c>
      <c r="E549" s="562">
        <v>150000</v>
      </c>
      <c r="F549" s="363">
        <f t="shared" si="44"/>
        <v>150000</v>
      </c>
      <c r="G549" s="651" t="s">
        <v>2177</v>
      </c>
      <c r="M549" s="23">
        <f t="shared" si="45"/>
        <v>150000</v>
      </c>
    </row>
    <row r="550" spans="1:25" x14ac:dyDescent="0.25">
      <c r="A550" s="186"/>
      <c r="B550" s="319" t="s">
        <v>861</v>
      </c>
      <c r="C550" s="169">
        <v>1</v>
      </c>
      <c r="D550" s="170" t="s">
        <v>849</v>
      </c>
      <c r="E550" s="562">
        <v>150000</v>
      </c>
      <c r="F550" s="363">
        <f t="shared" si="44"/>
        <v>150000</v>
      </c>
      <c r="G550" s="651" t="s">
        <v>2177</v>
      </c>
      <c r="M550" s="23">
        <f t="shared" si="45"/>
        <v>150000</v>
      </c>
    </row>
    <row r="551" spans="1:25" x14ac:dyDescent="0.25">
      <c r="A551" s="186"/>
      <c r="B551" s="319" t="s">
        <v>860</v>
      </c>
      <c r="C551" s="169">
        <v>1</v>
      </c>
      <c r="D551" s="170" t="s">
        <v>849</v>
      </c>
      <c r="E551" s="562">
        <v>2750000</v>
      </c>
      <c r="F551" s="363">
        <f t="shared" si="44"/>
        <v>2750000</v>
      </c>
      <c r="G551" s="651" t="s">
        <v>2177</v>
      </c>
      <c r="M551" s="23">
        <f t="shared" si="45"/>
        <v>2750000</v>
      </c>
    </row>
    <row r="552" spans="1:25" x14ac:dyDescent="0.25">
      <c r="A552" s="186"/>
      <c r="B552" s="319" t="s">
        <v>1512</v>
      </c>
      <c r="C552" s="169">
        <v>2</v>
      </c>
      <c r="D552" s="170" t="s">
        <v>849</v>
      </c>
      <c r="E552" s="562">
        <v>200000</v>
      </c>
      <c r="F552" s="363">
        <f t="shared" si="44"/>
        <v>400000</v>
      </c>
      <c r="G552" s="651" t="s">
        <v>2177</v>
      </c>
      <c r="M552" s="23">
        <f t="shared" si="45"/>
        <v>400000</v>
      </c>
    </row>
    <row r="553" spans="1:25" x14ac:dyDescent="0.25">
      <c r="A553" s="186"/>
      <c r="B553" s="319" t="s">
        <v>859</v>
      </c>
      <c r="C553" s="169">
        <v>2</v>
      </c>
      <c r="D553" s="170" t="s">
        <v>858</v>
      </c>
      <c r="E553" s="562">
        <v>50000</v>
      </c>
      <c r="F553" s="363">
        <f t="shared" si="44"/>
        <v>100000</v>
      </c>
      <c r="G553" s="651" t="s">
        <v>2177</v>
      </c>
      <c r="M553" s="23">
        <f t="shared" si="45"/>
        <v>100000</v>
      </c>
    </row>
    <row r="554" spans="1:25" x14ac:dyDescent="0.25">
      <c r="A554" s="186"/>
      <c r="B554" s="319" t="s">
        <v>857</v>
      </c>
      <c r="C554" s="169">
        <v>10</v>
      </c>
      <c r="D554" s="170" t="s">
        <v>849</v>
      </c>
      <c r="E554" s="194">
        <v>25000</v>
      </c>
      <c r="F554" s="363">
        <f t="shared" si="44"/>
        <v>250000</v>
      </c>
      <c r="G554" s="651" t="s">
        <v>2177</v>
      </c>
      <c r="M554" s="23">
        <f t="shared" si="45"/>
        <v>250000</v>
      </c>
    </row>
    <row r="555" spans="1:25" x14ac:dyDescent="0.25">
      <c r="A555" s="186"/>
      <c r="B555" s="319" t="s">
        <v>856</v>
      </c>
      <c r="C555" s="169">
        <v>1</v>
      </c>
      <c r="D555" s="170" t="s">
        <v>90</v>
      </c>
      <c r="E555" s="194">
        <v>250000</v>
      </c>
      <c r="F555" s="363">
        <f t="shared" si="44"/>
        <v>250000</v>
      </c>
      <c r="G555" s="651" t="s">
        <v>2177</v>
      </c>
      <c r="M555" s="23">
        <f t="shared" si="45"/>
        <v>250000</v>
      </c>
    </row>
    <row r="556" spans="1:25" ht="36.75" x14ac:dyDescent="0.25">
      <c r="A556" s="186"/>
      <c r="B556" s="319" t="s">
        <v>3343</v>
      </c>
      <c r="C556" s="169">
        <v>1</v>
      </c>
      <c r="D556" s="170" t="s">
        <v>606</v>
      </c>
      <c r="E556" s="194">
        <v>120000</v>
      </c>
      <c r="F556" s="363">
        <f t="shared" si="44"/>
        <v>120000</v>
      </c>
      <c r="G556" s="651" t="s">
        <v>3344</v>
      </c>
      <c r="Y556" s="23">
        <f>F556</f>
        <v>120000</v>
      </c>
    </row>
    <row r="557" spans="1:25" x14ac:dyDescent="0.25">
      <c r="A557" s="186"/>
      <c r="B557" s="319" t="s">
        <v>855</v>
      </c>
      <c r="C557" s="169">
        <v>1</v>
      </c>
      <c r="D557" s="170" t="s">
        <v>849</v>
      </c>
      <c r="E557" s="194">
        <v>1100000</v>
      </c>
      <c r="F557" s="363">
        <f t="shared" si="44"/>
        <v>1100000</v>
      </c>
      <c r="G557" s="651" t="s">
        <v>2177</v>
      </c>
      <c r="M557" s="23">
        <f>F557</f>
        <v>1100000</v>
      </c>
    </row>
    <row r="558" spans="1:25" x14ac:dyDescent="0.25">
      <c r="A558" s="1"/>
      <c r="B558" s="694"/>
      <c r="C558" s="561"/>
      <c r="D558" s="561"/>
      <c r="E558" s="200"/>
      <c r="F558" s="363"/>
      <c r="G558" s="651"/>
    </row>
    <row r="559" spans="1:25" x14ac:dyDescent="0.25">
      <c r="A559" s="1"/>
      <c r="B559" s="2156" t="s">
        <v>26</v>
      </c>
      <c r="C559" s="2156"/>
      <c r="D559" s="2156"/>
      <c r="E559" s="2156"/>
      <c r="F559" s="695">
        <f>SUM(F542:F557)</f>
        <v>8560000</v>
      </c>
      <c r="G559" s="651"/>
      <c r="M559" s="23"/>
    </row>
    <row r="560" spans="1:25" x14ac:dyDescent="0.25">
      <c r="A560" s="1926" t="s">
        <v>516</v>
      </c>
      <c r="B560" s="1926"/>
      <c r="C560" s="152" t="s">
        <v>27</v>
      </c>
      <c r="D560" s="1926" t="s">
        <v>3654</v>
      </c>
      <c r="E560" s="1926"/>
      <c r="F560" s="1926"/>
      <c r="G560" s="152"/>
    </row>
    <row r="561" spans="1:7" x14ac:dyDescent="0.25">
      <c r="A561" s="1926" t="s">
        <v>28</v>
      </c>
      <c r="B561" s="1926"/>
      <c r="C561" s="152"/>
      <c r="D561" s="1927" t="s">
        <v>3570</v>
      </c>
      <c r="E561" s="1927"/>
      <c r="F561" s="1927"/>
      <c r="G561" s="152"/>
    </row>
    <row r="562" spans="1:7" x14ac:dyDescent="0.25">
      <c r="A562" s="150"/>
      <c r="B562" s="151"/>
      <c r="C562" s="152"/>
      <c r="D562" s="153"/>
      <c r="E562" s="182"/>
      <c r="F562" s="1208"/>
      <c r="G562" s="152"/>
    </row>
    <row r="563" spans="1:7" x14ac:dyDescent="0.25">
      <c r="A563" s="150"/>
      <c r="B563" s="151"/>
      <c r="C563" s="152"/>
      <c r="D563" s="153"/>
      <c r="E563" s="182"/>
      <c r="F563" s="1208"/>
      <c r="G563" s="152"/>
    </row>
    <row r="564" spans="1:7" x14ac:dyDescent="0.25">
      <c r="A564" s="1926"/>
      <c r="B564" s="1926"/>
      <c r="C564" s="152"/>
      <c r="D564" s="153"/>
      <c r="E564" s="2003"/>
      <c r="F564" s="2003"/>
      <c r="G564" s="152"/>
    </row>
    <row r="565" spans="1:7" x14ac:dyDescent="0.25">
      <c r="A565" s="1926" t="s">
        <v>29</v>
      </c>
      <c r="B565" s="1926"/>
      <c r="C565" s="152"/>
      <c r="D565" s="1926" t="s">
        <v>3548</v>
      </c>
      <c r="E565" s="1926"/>
      <c r="F565" s="1926"/>
      <c r="G565" s="152"/>
    </row>
    <row r="566" spans="1:7" x14ac:dyDescent="0.25">
      <c r="A566" s="2119" t="s">
        <v>0</v>
      </c>
      <c r="B566" s="2119"/>
      <c r="C566" s="2119"/>
      <c r="D566" s="2119"/>
      <c r="E566" s="2119"/>
      <c r="F566" s="2119"/>
      <c r="G566" s="2119"/>
    </row>
    <row r="567" spans="1:7" x14ac:dyDescent="0.25">
      <c r="A567" s="2119" t="s">
        <v>1</v>
      </c>
      <c r="B567" s="2119"/>
      <c r="C567" s="2119"/>
      <c r="D567" s="2119"/>
      <c r="E567" s="2119"/>
      <c r="F567" s="2119"/>
      <c r="G567" s="2119"/>
    </row>
    <row r="568" spans="1:7" x14ac:dyDescent="0.25">
      <c r="A568" s="2119" t="s">
        <v>2398</v>
      </c>
      <c r="B568" s="2119"/>
      <c r="C568" s="2119"/>
      <c r="D568" s="2119"/>
      <c r="E568" s="2119"/>
      <c r="F568" s="2119"/>
      <c r="G568" s="2119"/>
    </row>
    <row r="569" spans="1:7" x14ac:dyDescent="0.25">
      <c r="A569" s="637"/>
      <c r="B569" s="637"/>
      <c r="C569" s="637"/>
      <c r="D569" s="637"/>
      <c r="E569" s="637"/>
      <c r="F569" s="637"/>
      <c r="G569" s="637"/>
    </row>
    <row r="570" spans="1:7" x14ac:dyDescent="0.25">
      <c r="A570" s="696" t="s">
        <v>251</v>
      </c>
      <c r="B570" s="696" t="s">
        <v>883</v>
      </c>
      <c r="C570" s="696"/>
      <c r="D570" s="696"/>
      <c r="E570" s="697"/>
      <c r="F570" s="697"/>
      <c r="G570" s="1166"/>
    </row>
    <row r="571" spans="1:7" x14ac:dyDescent="0.25">
      <c r="A571" s="696" t="s">
        <v>252</v>
      </c>
      <c r="B571" s="698" t="s">
        <v>882</v>
      </c>
      <c r="C571" s="696"/>
      <c r="D571" s="696"/>
      <c r="E571" s="507" t="s">
        <v>6</v>
      </c>
      <c r="F571" s="507" t="s">
        <v>62</v>
      </c>
      <c r="G571" s="1166"/>
    </row>
    <row r="572" spans="1:7" ht="25.5" x14ac:dyDescent="0.25">
      <c r="A572" s="698" t="s">
        <v>253</v>
      </c>
      <c r="B572" s="698" t="s">
        <v>881</v>
      </c>
      <c r="C572" s="698"/>
      <c r="D572" s="698"/>
      <c r="E572" s="508" t="s">
        <v>482</v>
      </c>
      <c r="F572" s="508" t="s">
        <v>62</v>
      </c>
      <c r="G572" s="1166"/>
    </row>
    <row r="573" spans="1:7" x14ac:dyDescent="0.25">
      <c r="A573" s="699" t="s">
        <v>59</v>
      </c>
      <c r="B573" s="699" t="s">
        <v>60</v>
      </c>
      <c r="C573" s="699"/>
      <c r="D573" s="640"/>
      <c r="E573" s="640"/>
      <c r="F573" s="640"/>
      <c r="G573" s="1166"/>
    </row>
    <row r="574" spans="1:7" x14ac:dyDescent="0.25">
      <c r="A574" s="699" t="s">
        <v>61</v>
      </c>
      <c r="B574" s="699" t="s">
        <v>62</v>
      </c>
      <c r="C574" s="699"/>
      <c r="D574" s="2136"/>
      <c r="E574" s="2136"/>
      <c r="F574" s="640"/>
      <c r="G574" s="1166"/>
    </row>
    <row r="575" spans="1:7" x14ac:dyDescent="0.25">
      <c r="A575" s="151"/>
      <c r="B575" s="151"/>
      <c r="C575" s="151"/>
      <c r="D575" s="151"/>
      <c r="E575" s="151"/>
      <c r="F575" s="151"/>
    </row>
    <row r="576" spans="1:7" ht="24" x14ac:dyDescent="0.25">
      <c r="A576" s="343" t="s">
        <v>255</v>
      </c>
      <c r="B576" s="343" t="s">
        <v>11</v>
      </c>
      <c r="C576" s="2080" t="s">
        <v>12</v>
      </c>
      <c r="D576" s="2080"/>
      <c r="E576" s="595" t="s">
        <v>13</v>
      </c>
      <c r="F576" s="344" t="s">
        <v>14</v>
      </c>
      <c r="G576" s="700" t="s">
        <v>256</v>
      </c>
    </row>
    <row r="577" spans="1:13" x14ac:dyDescent="0.25">
      <c r="A577" s="162">
        <v>1</v>
      </c>
      <c r="B577" s="162">
        <v>2</v>
      </c>
      <c r="C577" s="1959">
        <v>3</v>
      </c>
      <c r="D577" s="1960"/>
      <c r="E577" s="232">
        <v>4</v>
      </c>
      <c r="F577" s="231">
        <v>5</v>
      </c>
      <c r="G577" s="1167">
        <v>6</v>
      </c>
    </row>
    <row r="578" spans="1:13" x14ac:dyDescent="0.25">
      <c r="A578" s="176"/>
      <c r="B578" s="456" t="s">
        <v>880</v>
      </c>
      <c r="C578" s="371"/>
      <c r="D578" s="372"/>
      <c r="E578" s="165"/>
      <c r="F578" s="164"/>
      <c r="G578" s="186"/>
    </row>
    <row r="579" spans="1:13" x14ac:dyDescent="0.25">
      <c r="A579" s="346" t="s">
        <v>870</v>
      </c>
      <c r="B579" s="456" t="s">
        <v>683</v>
      </c>
      <c r="C579" s="371"/>
      <c r="D579" s="372"/>
      <c r="E579" s="165"/>
      <c r="F579" s="164"/>
      <c r="G579" s="186"/>
    </row>
    <row r="580" spans="1:13" x14ac:dyDescent="0.25">
      <c r="A580" s="186" t="s">
        <v>869</v>
      </c>
      <c r="B580" s="456" t="s">
        <v>84</v>
      </c>
      <c r="C580" s="178"/>
      <c r="D580" s="362"/>
      <c r="E580" s="179"/>
      <c r="F580" s="363"/>
      <c r="G580" s="186"/>
    </row>
    <row r="581" spans="1:13" x14ac:dyDescent="0.25">
      <c r="A581" s="186" t="s">
        <v>867</v>
      </c>
      <c r="B581" s="480" t="s">
        <v>866</v>
      </c>
      <c r="C581" s="178"/>
      <c r="D581" s="362"/>
      <c r="E581" s="179"/>
      <c r="F581" s="363"/>
      <c r="G581" s="186"/>
    </row>
    <row r="582" spans="1:13" ht="24.75" x14ac:dyDescent="0.25">
      <c r="A582" s="181"/>
      <c r="B582" s="177" t="s">
        <v>879</v>
      </c>
      <c r="C582" s="169">
        <v>46</v>
      </c>
      <c r="D582" s="170" t="s">
        <v>849</v>
      </c>
      <c r="E582" s="701">
        <v>50000</v>
      </c>
      <c r="F582" s="701">
        <f>C582*E582</f>
        <v>2300000</v>
      </c>
      <c r="G582" s="186"/>
    </row>
    <row r="583" spans="1:13" x14ac:dyDescent="0.25">
      <c r="A583" s="181"/>
      <c r="B583" s="177" t="s">
        <v>878</v>
      </c>
      <c r="C583" s="169">
        <v>12</v>
      </c>
      <c r="D583" s="170" t="s">
        <v>849</v>
      </c>
      <c r="E583" s="701">
        <v>50000</v>
      </c>
      <c r="F583" s="701">
        <f>C583*E583</f>
        <v>600000</v>
      </c>
      <c r="G583" s="186"/>
    </row>
    <row r="584" spans="1:13" x14ac:dyDescent="0.25">
      <c r="A584" s="181"/>
      <c r="B584" s="181" t="s">
        <v>877</v>
      </c>
      <c r="C584" s="169">
        <v>1</v>
      </c>
      <c r="D584" s="170" t="s">
        <v>849</v>
      </c>
      <c r="E584" s="701">
        <v>500000</v>
      </c>
      <c r="F584" s="701">
        <f t="shared" ref="F584:F589" si="46">C584*E584</f>
        <v>500000</v>
      </c>
      <c r="G584" s="186"/>
    </row>
    <row r="585" spans="1:13" x14ac:dyDescent="0.25">
      <c r="A585" s="181"/>
      <c r="B585" s="181" t="s">
        <v>876</v>
      </c>
      <c r="C585" s="169">
        <v>1</v>
      </c>
      <c r="D585" s="170" t="s">
        <v>849</v>
      </c>
      <c r="E585" s="701">
        <v>250000</v>
      </c>
      <c r="F585" s="701">
        <f t="shared" si="46"/>
        <v>250000</v>
      </c>
      <c r="G585" s="186"/>
    </row>
    <row r="586" spans="1:13" x14ac:dyDescent="0.25">
      <c r="A586" s="181"/>
      <c r="B586" s="181" t="s">
        <v>875</v>
      </c>
      <c r="C586" s="169">
        <v>1</v>
      </c>
      <c r="D586" s="170" t="s">
        <v>849</v>
      </c>
      <c r="E586" s="701">
        <v>250000</v>
      </c>
      <c r="F586" s="701">
        <f t="shared" si="46"/>
        <v>250000</v>
      </c>
      <c r="G586" s="186"/>
    </row>
    <row r="587" spans="1:13" x14ac:dyDescent="0.25">
      <c r="A587" s="181"/>
      <c r="B587" s="181" t="s">
        <v>1513</v>
      </c>
      <c r="C587" s="169">
        <v>1</v>
      </c>
      <c r="D587" s="170" t="s">
        <v>849</v>
      </c>
      <c r="E587" s="701">
        <v>800000</v>
      </c>
      <c r="F587" s="701">
        <f t="shared" si="46"/>
        <v>800000</v>
      </c>
      <c r="G587" s="186"/>
    </row>
    <row r="588" spans="1:13" x14ac:dyDescent="0.25">
      <c r="A588" s="181"/>
      <c r="B588" s="181" t="s">
        <v>1514</v>
      </c>
      <c r="C588" s="169">
        <v>1</v>
      </c>
      <c r="D588" s="170" t="s">
        <v>849</v>
      </c>
      <c r="E588" s="701">
        <v>800000</v>
      </c>
      <c r="F588" s="701">
        <f t="shared" si="46"/>
        <v>800000</v>
      </c>
      <c r="G588" s="186"/>
    </row>
    <row r="589" spans="1:13" x14ac:dyDescent="0.25">
      <c r="A589" s="181"/>
      <c r="B589" s="181" t="s">
        <v>874</v>
      </c>
      <c r="C589" s="178">
        <v>2</v>
      </c>
      <c r="D589" s="207" t="s">
        <v>849</v>
      </c>
      <c r="E589" s="195">
        <v>100000</v>
      </c>
      <c r="F589" s="701">
        <f t="shared" si="46"/>
        <v>200000</v>
      </c>
      <c r="G589" s="186"/>
    </row>
    <row r="590" spans="1:13" x14ac:dyDescent="0.25">
      <c r="A590" s="181"/>
      <c r="B590" s="181"/>
      <c r="C590" s="172"/>
      <c r="D590" s="702"/>
      <c r="E590" s="703"/>
      <c r="F590" s="195"/>
      <c r="G590" s="186"/>
    </row>
    <row r="591" spans="1:13" x14ac:dyDescent="0.25">
      <c r="A591" s="181"/>
      <c r="B591" s="2074" t="s">
        <v>26</v>
      </c>
      <c r="C591" s="2075"/>
      <c r="D591" s="2075"/>
      <c r="E591" s="2075"/>
      <c r="F591" s="506">
        <f>SUM(F582:F589)</f>
        <v>5700000</v>
      </c>
      <c r="G591" s="186" t="s">
        <v>2177</v>
      </c>
      <c r="M591" s="23">
        <f>F591</f>
        <v>5700000</v>
      </c>
    </row>
    <row r="592" spans="1:13" x14ac:dyDescent="0.25">
      <c r="A592" s="1926" t="s">
        <v>516</v>
      </c>
      <c r="B592" s="1926"/>
      <c r="C592" s="152" t="s">
        <v>27</v>
      </c>
      <c r="D592" s="1926" t="s">
        <v>3654</v>
      </c>
      <c r="E592" s="1926"/>
      <c r="F592" s="1926"/>
      <c r="G592" s="152"/>
    </row>
    <row r="593" spans="1:7" x14ac:dyDescent="0.25">
      <c r="A593" s="1926" t="s">
        <v>28</v>
      </c>
      <c r="B593" s="1926"/>
      <c r="C593" s="152"/>
      <c r="D593" s="1927" t="s">
        <v>3570</v>
      </c>
      <c r="E593" s="1927"/>
      <c r="F593" s="1927"/>
      <c r="G593" s="152"/>
    </row>
    <row r="594" spans="1:7" x14ac:dyDescent="0.25">
      <c r="A594" s="150"/>
      <c r="B594" s="151"/>
      <c r="C594" s="152"/>
      <c r="D594" s="153"/>
      <c r="E594" s="182"/>
      <c r="F594" s="1208"/>
      <c r="G594" s="152"/>
    </row>
    <row r="595" spans="1:7" x14ac:dyDescent="0.25">
      <c r="A595" s="150"/>
      <c r="B595" s="151"/>
      <c r="C595" s="152"/>
      <c r="D595" s="153"/>
      <c r="E595" s="182"/>
      <c r="F595" s="1208"/>
      <c r="G595" s="152"/>
    </row>
    <row r="596" spans="1:7" x14ac:dyDescent="0.25">
      <c r="A596" s="1926"/>
      <c r="B596" s="1926"/>
      <c r="C596" s="152"/>
      <c r="D596" s="153"/>
      <c r="E596" s="2003"/>
      <c r="F596" s="2003"/>
      <c r="G596" s="152"/>
    </row>
    <row r="597" spans="1:7" x14ac:dyDescent="0.25">
      <c r="A597" s="1926" t="s">
        <v>29</v>
      </c>
      <c r="B597" s="1926"/>
      <c r="C597" s="152"/>
      <c r="D597" s="1926" t="s">
        <v>3548</v>
      </c>
      <c r="E597" s="1926"/>
      <c r="F597" s="1926"/>
      <c r="G597" s="152"/>
    </row>
    <row r="598" spans="1:7" x14ac:dyDescent="0.25">
      <c r="A598" s="2137" t="s">
        <v>0</v>
      </c>
      <c r="B598" s="2137"/>
      <c r="C598" s="2137"/>
      <c r="D598" s="2137"/>
      <c r="E598" s="2137"/>
      <c r="F598" s="2137"/>
      <c r="G598" s="2137"/>
    </row>
    <row r="599" spans="1:7" x14ac:dyDescent="0.25">
      <c r="A599" s="2137" t="s">
        <v>1</v>
      </c>
      <c r="B599" s="2137"/>
      <c r="C599" s="2137"/>
      <c r="D599" s="2137"/>
      <c r="E599" s="2137"/>
      <c r="F599" s="2137"/>
      <c r="G599" s="2137"/>
    </row>
    <row r="600" spans="1:7" x14ac:dyDescent="0.25">
      <c r="A600" s="2137" t="s">
        <v>2398</v>
      </c>
      <c r="B600" s="2137"/>
      <c r="C600" s="2137"/>
      <c r="D600" s="2137"/>
      <c r="E600" s="2137"/>
      <c r="F600" s="2137"/>
      <c r="G600" s="2137"/>
    </row>
    <row r="601" spans="1:7" x14ac:dyDescent="0.25">
      <c r="A601" s="704"/>
      <c r="B601" s="704"/>
      <c r="C601" s="704"/>
      <c r="D601" s="704"/>
      <c r="E601" s="704"/>
      <c r="F601" s="704"/>
      <c r="G601" s="638"/>
    </row>
    <row r="602" spans="1:7" x14ac:dyDescent="0.25">
      <c r="A602" s="655" t="s">
        <v>251</v>
      </c>
      <c r="B602" s="655" t="s">
        <v>883</v>
      </c>
      <c r="C602" s="655"/>
      <c r="D602" s="655"/>
      <c r="E602" s="705"/>
      <c r="F602" s="705"/>
      <c r="G602" s="335"/>
    </row>
    <row r="603" spans="1:7" x14ac:dyDescent="0.25">
      <c r="A603" s="655" t="s">
        <v>252</v>
      </c>
      <c r="B603" s="655" t="s">
        <v>882</v>
      </c>
      <c r="C603" s="655"/>
      <c r="D603" s="655"/>
      <c r="E603" s="183" t="s">
        <v>6</v>
      </c>
      <c r="F603" s="183" t="s">
        <v>62</v>
      </c>
      <c r="G603" s="335"/>
    </row>
    <row r="604" spans="1:7" ht="30" x14ac:dyDescent="0.25">
      <c r="A604" s="655" t="s">
        <v>253</v>
      </c>
      <c r="B604" s="706" t="s">
        <v>1555</v>
      </c>
      <c r="C604" s="706"/>
      <c r="D604" s="655"/>
      <c r="E604" s="565" t="s">
        <v>482</v>
      </c>
      <c r="F604" s="565" t="s">
        <v>62</v>
      </c>
      <c r="G604" s="335"/>
    </row>
    <row r="605" spans="1:7" x14ac:dyDescent="0.25">
      <c r="A605" s="260" t="s">
        <v>59</v>
      </c>
      <c r="B605" s="260" t="s">
        <v>60</v>
      </c>
      <c r="C605" s="260"/>
      <c r="D605" s="260"/>
      <c r="E605" s="260"/>
      <c r="F605" s="260"/>
      <c r="G605" s="1168"/>
    </row>
    <row r="606" spans="1:7" x14ac:dyDescent="0.25">
      <c r="A606" s="260" t="s">
        <v>61</v>
      </c>
      <c r="B606" s="260" t="s">
        <v>62</v>
      </c>
      <c r="C606" s="260"/>
      <c r="D606" s="1957"/>
      <c r="E606" s="1957"/>
      <c r="F606" s="260"/>
      <c r="G606" s="1168"/>
    </row>
    <row r="607" spans="1:7" ht="28.5" x14ac:dyDescent="0.25">
      <c r="A607" s="708" t="s">
        <v>255</v>
      </c>
      <c r="B607" s="708" t="s">
        <v>11</v>
      </c>
      <c r="C607" s="2133" t="s">
        <v>12</v>
      </c>
      <c r="D607" s="2133"/>
      <c r="E607" s="709" t="s">
        <v>13</v>
      </c>
      <c r="F607" s="710" t="s">
        <v>14</v>
      </c>
      <c r="G607" s="641" t="s">
        <v>256</v>
      </c>
    </row>
    <row r="608" spans="1:7" x14ac:dyDescent="0.25">
      <c r="A608" s="269">
        <v>1</v>
      </c>
      <c r="B608" s="269">
        <v>2</v>
      </c>
      <c r="C608" s="1963">
        <v>3</v>
      </c>
      <c r="D608" s="1964"/>
      <c r="E608" s="273">
        <v>4</v>
      </c>
      <c r="F608" s="271">
        <v>5</v>
      </c>
      <c r="G608" s="979">
        <v>6</v>
      </c>
    </row>
    <row r="609" spans="1:21" x14ac:dyDescent="0.25">
      <c r="A609" s="176"/>
      <c r="B609" s="456" t="s">
        <v>880</v>
      </c>
      <c r="C609" s="371"/>
      <c r="D609" s="372"/>
      <c r="E609" s="165"/>
      <c r="F609" s="297"/>
      <c r="G609" s="186"/>
    </row>
    <row r="610" spans="1:21" x14ac:dyDescent="0.25">
      <c r="A610" s="346" t="s">
        <v>870</v>
      </c>
      <c r="B610" s="456" t="s">
        <v>683</v>
      </c>
      <c r="C610" s="371"/>
      <c r="D610" s="372"/>
      <c r="E610" s="165"/>
      <c r="F610" s="297"/>
      <c r="G610" s="186"/>
    </row>
    <row r="611" spans="1:21" x14ac:dyDescent="0.25">
      <c r="A611" s="186" t="s">
        <v>869</v>
      </c>
      <c r="B611" s="456" t="s">
        <v>84</v>
      </c>
      <c r="C611" s="178"/>
      <c r="D611" s="362"/>
      <c r="E611" s="179"/>
      <c r="F611" s="590"/>
      <c r="G611" s="186"/>
    </row>
    <row r="612" spans="1:21" x14ac:dyDescent="0.25">
      <c r="A612" s="186" t="s">
        <v>868</v>
      </c>
      <c r="B612" s="456" t="s">
        <v>689</v>
      </c>
      <c r="C612" s="178"/>
      <c r="D612" s="362"/>
      <c r="E612" s="179"/>
      <c r="F612" s="590"/>
      <c r="G612" s="186"/>
    </row>
    <row r="613" spans="1:21" x14ac:dyDescent="0.25">
      <c r="A613" s="186"/>
      <c r="B613" s="346" t="s">
        <v>1556</v>
      </c>
      <c r="C613" s="169">
        <v>100</v>
      </c>
      <c r="D613" s="170" t="s">
        <v>381</v>
      </c>
      <c r="E613" s="179">
        <v>75000</v>
      </c>
      <c r="F613" s="712">
        <f>C613*E613</f>
        <v>7500000</v>
      </c>
      <c r="G613" s="186"/>
    </row>
    <row r="614" spans="1:21" x14ac:dyDescent="0.25">
      <c r="A614" s="186" t="s">
        <v>867</v>
      </c>
      <c r="B614" s="480" t="s">
        <v>866</v>
      </c>
      <c r="C614" s="178"/>
      <c r="D614" s="362"/>
      <c r="E614" s="179"/>
      <c r="F614" s="712"/>
      <c r="G614" s="186"/>
    </row>
    <row r="615" spans="1:21" x14ac:dyDescent="0.25">
      <c r="A615" s="181"/>
      <c r="B615" s="181" t="s">
        <v>1557</v>
      </c>
      <c r="C615" s="169">
        <v>2</v>
      </c>
      <c r="D615" s="170" t="s">
        <v>849</v>
      </c>
      <c r="E615" s="701">
        <v>9000000</v>
      </c>
      <c r="F615" s="712">
        <f>C615*E615</f>
        <v>18000000</v>
      </c>
      <c r="G615" s="186"/>
    </row>
    <row r="616" spans="1:21" x14ac:dyDescent="0.25">
      <c r="A616" s="186" t="s">
        <v>1558</v>
      </c>
      <c r="B616" s="480" t="s">
        <v>442</v>
      </c>
      <c r="C616" s="174"/>
      <c r="D616" s="175"/>
      <c r="E616" s="713"/>
      <c r="F616" s="712"/>
      <c r="G616" s="186"/>
    </row>
    <row r="617" spans="1:21" ht="24.75" x14ac:dyDescent="0.25">
      <c r="A617" s="186" t="s">
        <v>1559</v>
      </c>
      <c r="B617" s="386" t="s">
        <v>1308</v>
      </c>
      <c r="C617" s="174"/>
      <c r="D617" s="175"/>
      <c r="E617" s="713"/>
      <c r="F617" s="712"/>
      <c r="G617" s="186"/>
    </row>
    <row r="618" spans="1:21" x14ac:dyDescent="0.25">
      <c r="A618" s="181"/>
      <c r="B618" s="181" t="s">
        <v>3542</v>
      </c>
      <c r="C618" s="174">
        <v>4</v>
      </c>
      <c r="D618" s="175" t="s">
        <v>220</v>
      </c>
      <c r="E618" s="713">
        <v>400000</v>
      </c>
      <c r="F618" s="712">
        <f>C618*E618</f>
        <v>1600000</v>
      </c>
      <c r="G618" s="186"/>
    </row>
    <row r="619" spans="1:21" x14ac:dyDescent="0.25">
      <c r="A619" s="181"/>
      <c r="B619" s="181" t="s">
        <v>3543</v>
      </c>
      <c r="C619" s="174">
        <v>6</v>
      </c>
      <c r="D619" s="175" t="s">
        <v>220</v>
      </c>
      <c r="E619" s="713">
        <v>100000</v>
      </c>
      <c r="F619" s="712">
        <f>C619*E619</f>
        <v>600000</v>
      </c>
      <c r="G619" s="186"/>
    </row>
    <row r="620" spans="1:21" x14ac:dyDescent="0.25">
      <c r="A620" s="181"/>
      <c r="B620" s="181"/>
      <c r="C620" s="174"/>
      <c r="D620" s="175"/>
      <c r="E620" s="713"/>
      <c r="F620" s="712"/>
      <c r="G620" s="186"/>
    </row>
    <row r="621" spans="1:21" ht="33" customHeight="1" x14ac:dyDescent="0.25">
      <c r="A621" s="287"/>
      <c r="B621" s="2134" t="s">
        <v>26</v>
      </c>
      <c r="C621" s="2135"/>
      <c r="D621" s="2135"/>
      <c r="E621" s="2135"/>
      <c r="F621" s="714">
        <f>SUM(F613:F619)</f>
        <v>27700000</v>
      </c>
      <c r="G621" s="408" t="s">
        <v>1775</v>
      </c>
      <c r="U621" s="23">
        <f>F621</f>
        <v>27700000</v>
      </c>
    </row>
    <row r="622" spans="1:21" x14ac:dyDescent="0.25">
      <c r="A622" s="1926" t="s">
        <v>516</v>
      </c>
      <c r="B622" s="1926"/>
      <c r="C622" s="152" t="s">
        <v>27</v>
      </c>
      <c r="D622" s="1926" t="s">
        <v>3654</v>
      </c>
      <c r="E622" s="1926"/>
      <c r="F622" s="1926"/>
      <c r="G622" s="152"/>
    </row>
    <row r="623" spans="1:21" x14ac:dyDescent="0.25">
      <c r="A623" s="1926" t="s">
        <v>28</v>
      </c>
      <c r="B623" s="1926"/>
      <c r="C623" s="152"/>
      <c r="D623" s="1927" t="s">
        <v>3570</v>
      </c>
      <c r="E623" s="1927"/>
      <c r="F623" s="1927"/>
      <c r="G623" s="152"/>
    </row>
    <row r="624" spans="1:21" x14ac:dyDescent="0.25">
      <c r="A624" s="150"/>
      <c r="B624" s="151"/>
      <c r="C624" s="152"/>
      <c r="D624" s="153"/>
      <c r="E624" s="182"/>
      <c r="F624" s="1208"/>
      <c r="G624" s="152"/>
    </row>
    <row r="625" spans="1:7" x14ac:dyDescent="0.25">
      <c r="A625" s="150"/>
      <c r="B625" s="151"/>
      <c r="C625" s="152"/>
      <c r="D625" s="153"/>
      <c r="E625" s="182"/>
      <c r="F625" s="1208"/>
      <c r="G625" s="152"/>
    </row>
    <row r="626" spans="1:7" x14ac:dyDescent="0.25">
      <c r="A626" s="1926"/>
      <c r="B626" s="1926"/>
      <c r="C626" s="152"/>
      <c r="D626" s="153"/>
      <c r="E626" s="2003"/>
      <c r="F626" s="2003"/>
      <c r="G626" s="152"/>
    </row>
    <row r="627" spans="1:7" x14ac:dyDescent="0.25">
      <c r="A627" s="1926" t="s">
        <v>29</v>
      </c>
      <c r="B627" s="1926"/>
      <c r="C627" s="152"/>
      <c r="D627" s="1926" t="s">
        <v>3548</v>
      </c>
      <c r="E627" s="1926"/>
      <c r="F627" s="1926"/>
      <c r="G627" s="152"/>
    </row>
    <row r="628" spans="1:7" x14ac:dyDescent="0.25">
      <c r="A628" s="1947" t="s">
        <v>0</v>
      </c>
      <c r="B628" s="1947"/>
      <c r="C628" s="1947"/>
      <c r="D628" s="1947"/>
      <c r="E628" s="1947"/>
      <c r="F628" s="1947"/>
      <c r="G628" s="504"/>
    </row>
    <row r="629" spans="1:7" x14ac:dyDescent="0.25">
      <c r="A629" s="1947" t="s">
        <v>1</v>
      </c>
      <c r="B629" s="1947"/>
      <c r="C629" s="1947"/>
      <c r="D629" s="1947"/>
      <c r="E629" s="1947"/>
      <c r="F629" s="1947"/>
      <c r="G629" s="504"/>
    </row>
    <row r="630" spans="1:7" x14ac:dyDescent="0.25">
      <c r="A630" s="1947" t="s">
        <v>2398</v>
      </c>
      <c r="B630" s="1947"/>
      <c r="C630" s="1947"/>
      <c r="D630" s="1947"/>
      <c r="E630" s="1947"/>
      <c r="F630" s="1947"/>
      <c r="G630" s="504"/>
    </row>
    <row r="631" spans="1:7" x14ac:dyDescent="0.25">
      <c r="A631" s="148"/>
      <c r="B631" s="148"/>
      <c r="C631" s="148"/>
      <c r="D631" s="148"/>
      <c r="E631" s="149"/>
      <c r="F631" s="149"/>
      <c r="G631" s="381"/>
    </row>
    <row r="632" spans="1:7" x14ac:dyDescent="0.25">
      <c r="A632" s="149" t="s">
        <v>458</v>
      </c>
      <c r="B632" s="149" t="s">
        <v>873</v>
      </c>
      <c r="C632" s="149"/>
      <c r="D632" s="149"/>
      <c r="E632" s="154" t="s">
        <v>6</v>
      </c>
      <c r="F632" s="154"/>
      <c r="G632" s="715"/>
    </row>
    <row r="633" spans="1:7" x14ac:dyDescent="0.25">
      <c r="A633" s="716" t="s">
        <v>459</v>
      </c>
      <c r="B633" s="460" t="s">
        <v>872</v>
      </c>
      <c r="C633" s="149"/>
      <c r="D633" s="149"/>
      <c r="E633" s="488" t="s">
        <v>884</v>
      </c>
      <c r="F633" s="149"/>
      <c r="G633" s="381"/>
    </row>
    <row r="634" spans="1:7" ht="24" x14ac:dyDescent="0.25">
      <c r="A634" s="716" t="s">
        <v>460</v>
      </c>
      <c r="B634" s="460" t="s">
        <v>885</v>
      </c>
      <c r="C634" s="149"/>
      <c r="D634" s="149"/>
      <c r="E634" s="149"/>
      <c r="F634" s="149"/>
      <c r="G634" s="381"/>
    </row>
    <row r="635" spans="1:7" x14ac:dyDescent="0.25">
      <c r="A635" s="149" t="s">
        <v>886</v>
      </c>
      <c r="B635" s="149" t="s">
        <v>60</v>
      </c>
      <c r="C635" s="149"/>
      <c r="D635" s="149"/>
      <c r="E635" s="149"/>
      <c r="F635" s="149"/>
      <c r="G635" s="381"/>
    </row>
    <row r="636" spans="1:7" x14ac:dyDescent="0.25">
      <c r="A636" s="2036" t="s">
        <v>470</v>
      </c>
      <c r="B636" s="2036"/>
      <c r="C636" s="149"/>
      <c r="D636" s="340"/>
      <c r="E636" s="489"/>
      <c r="F636" s="149"/>
      <c r="G636" s="381"/>
    </row>
    <row r="637" spans="1:7" ht="24" x14ac:dyDescent="0.25">
      <c r="A637" s="162" t="s">
        <v>30</v>
      </c>
      <c r="B637" s="162" t="s">
        <v>11</v>
      </c>
      <c r="C637" s="1959" t="s">
        <v>12</v>
      </c>
      <c r="D637" s="1960"/>
      <c r="E637" s="230" t="s">
        <v>13</v>
      </c>
      <c r="F637" s="231" t="s">
        <v>14</v>
      </c>
      <c r="G637" s="408" t="s">
        <v>34</v>
      </c>
    </row>
    <row r="638" spans="1:7" x14ac:dyDescent="0.25">
      <c r="A638" s="161">
        <v>1</v>
      </c>
      <c r="B638" s="161">
        <v>2</v>
      </c>
      <c r="C638" s="1931">
        <v>3</v>
      </c>
      <c r="D638" s="1932"/>
      <c r="E638" s="2">
        <v>4</v>
      </c>
      <c r="F638" s="169">
        <v>5</v>
      </c>
      <c r="G638" s="397">
        <v>6</v>
      </c>
    </row>
    <row r="639" spans="1:7" x14ac:dyDescent="0.25">
      <c r="A639" s="346" t="s">
        <v>887</v>
      </c>
      <c r="B639" s="559" t="s">
        <v>277</v>
      </c>
      <c r="C639" s="169"/>
      <c r="D639" s="170"/>
      <c r="E639" s="2"/>
      <c r="F639" s="169"/>
      <c r="G639" s="397"/>
    </row>
    <row r="640" spans="1:7" ht="24" x14ac:dyDescent="0.25">
      <c r="A640" s="346" t="s">
        <v>888</v>
      </c>
      <c r="B640" s="558" t="s">
        <v>453</v>
      </c>
      <c r="C640" s="371"/>
      <c r="D640" s="372"/>
      <c r="E640" s="165"/>
      <c r="F640" s="164"/>
      <c r="G640" s="325"/>
    </row>
    <row r="641" spans="1:27" ht="36.75" customHeight="1" x14ac:dyDescent="0.25">
      <c r="A641" s="346" t="s">
        <v>889</v>
      </c>
      <c r="B641" s="350" t="s">
        <v>890</v>
      </c>
      <c r="C641" s="371"/>
      <c r="D641" s="372"/>
      <c r="E641" s="165"/>
      <c r="F641" s="164"/>
      <c r="G641" s="325"/>
    </row>
    <row r="642" spans="1:27" x14ac:dyDescent="0.25">
      <c r="A642" s="219"/>
      <c r="B642" s="181" t="s">
        <v>891</v>
      </c>
      <c r="C642" s="169">
        <v>3</v>
      </c>
      <c r="D642" s="170" t="s">
        <v>892</v>
      </c>
      <c r="E642" s="215">
        <v>15000000</v>
      </c>
      <c r="F642" s="215">
        <f>E642*C642</f>
        <v>45000000</v>
      </c>
      <c r="G642" s="325"/>
    </row>
    <row r="643" spans="1:27" x14ac:dyDescent="0.25">
      <c r="A643" s="693"/>
      <c r="B643" s="181"/>
      <c r="C643" s="178"/>
      <c r="D643" s="362"/>
      <c r="E643" s="179"/>
      <c r="F643" s="363"/>
      <c r="G643" s="325"/>
    </row>
    <row r="644" spans="1:27" x14ac:dyDescent="0.25">
      <c r="A644" s="2130" t="s">
        <v>26</v>
      </c>
      <c r="B644" s="2131"/>
      <c r="C644" s="2131"/>
      <c r="D644" s="2131"/>
      <c r="E644" s="2132"/>
      <c r="F644" s="517">
        <f>SUM(F642:F643)</f>
        <v>45000000</v>
      </c>
      <c r="G644" s="173" t="s">
        <v>3313</v>
      </c>
      <c r="AA644" s="23">
        <f>F644</f>
        <v>45000000</v>
      </c>
    </row>
    <row r="645" spans="1:27" x14ac:dyDescent="0.25">
      <c r="A645" s="1926" t="s">
        <v>516</v>
      </c>
      <c r="B645" s="1926"/>
      <c r="C645" s="152" t="s">
        <v>27</v>
      </c>
      <c r="D645" s="1926" t="s">
        <v>3654</v>
      </c>
      <c r="E645" s="1926"/>
      <c r="F645" s="1926"/>
      <c r="G645" s="152"/>
    </row>
    <row r="646" spans="1:27" x14ac:dyDescent="0.25">
      <c r="A646" s="1926" t="s">
        <v>28</v>
      </c>
      <c r="B646" s="1926"/>
      <c r="C646" s="152"/>
      <c r="D646" s="1927" t="s">
        <v>3570</v>
      </c>
      <c r="E646" s="1927"/>
      <c r="F646" s="1927"/>
      <c r="G646" s="152"/>
    </row>
    <row r="647" spans="1:27" x14ac:dyDescent="0.25">
      <c r="A647" s="150"/>
      <c r="B647" s="151"/>
      <c r="C647" s="152"/>
      <c r="D647" s="153"/>
      <c r="E647" s="182"/>
      <c r="F647" s="1208"/>
      <c r="G647" s="152"/>
    </row>
    <row r="648" spans="1:27" x14ac:dyDescent="0.25">
      <c r="A648" s="150"/>
      <c r="B648" s="151"/>
      <c r="C648" s="152"/>
      <c r="D648" s="153"/>
      <c r="E648" s="182"/>
      <c r="F648" s="1208"/>
      <c r="G648" s="152"/>
    </row>
    <row r="649" spans="1:27" x14ac:dyDescent="0.25">
      <c r="A649" s="1926"/>
      <c r="B649" s="1926"/>
      <c r="C649" s="152"/>
      <c r="D649" s="153"/>
      <c r="E649" s="2003"/>
      <c r="F649" s="2003"/>
      <c r="G649" s="152"/>
    </row>
    <row r="650" spans="1:27" x14ac:dyDescent="0.25">
      <c r="A650" s="1926" t="s">
        <v>29</v>
      </c>
      <c r="B650" s="1926"/>
      <c r="C650" s="152"/>
      <c r="D650" s="1926" t="s">
        <v>3548</v>
      </c>
      <c r="E650" s="1926"/>
      <c r="F650" s="1926"/>
      <c r="G650" s="152"/>
    </row>
    <row r="651" spans="1:27" x14ac:dyDescent="0.25">
      <c r="A651" s="1947" t="s">
        <v>0</v>
      </c>
      <c r="B651" s="1947"/>
      <c r="C651" s="1947"/>
      <c r="D651" s="1947"/>
      <c r="E651" s="1947"/>
      <c r="F651" s="1947"/>
      <c r="G651" s="504"/>
    </row>
    <row r="652" spans="1:27" x14ac:dyDescent="0.25">
      <c r="A652" s="1947" t="s">
        <v>1</v>
      </c>
      <c r="B652" s="1947"/>
      <c r="C652" s="1947"/>
      <c r="D652" s="1947"/>
      <c r="E652" s="1947"/>
      <c r="F652" s="1947"/>
      <c r="G652" s="504"/>
    </row>
    <row r="653" spans="1:27" x14ac:dyDescent="0.25">
      <c r="A653" s="1947" t="s">
        <v>2398</v>
      </c>
      <c r="B653" s="1947"/>
      <c r="C653" s="1947"/>
      <c r="D653" s="1947"/>
      <c r="E653" s="1947"/>
      <c r="F653" s="1947"/>
      <c r="G653" s="504"/>
    </row>
    <row r="654" spans="1:27" x14ac:dyDescent="0.25">
      <c r="A654" s="148"/>
      <c r="B654" s="148"/>
      <c r="C654" s="148"/>
      <c r="D654" s="148"/>
      <c r="E654" s="149"/>
      <c r="F654" s="149"/>
      <c r="G654" s="381"/>
    </row>
    <row r="655" spans="1:27" x14ac:dyDescent="0.25">
      <c r="A655" s="149" t="s">
        <v>458</v>
      </c>
      <c r="B655" s="149" t="s">
        <v>873</v>
      </c>
      <c r="C655" s="149"/>
      <c r="D655" s="149"/>
      <c r="E655" s="154" t="s">
        <v>6</v>
      </c>
      <c r="F655" s="154"/>
      <c r="G655" s="715"/>
    </row>
    <row r="656" spans="1:27" x14ac:dyDescent="0.25">
      <c r="A656" s="716" t="s">
        <v>459</v>
      </c>
      <c r="B656" s="460" t="s">
        <v>872</v>
      </c>
      <c r="C656" s="149"/>
      <c r="D656" s="149"/>
      <c r="E656" s="488" t="s">
        <v>884</v>
      </c>
      <c r="F656" s="149"/>
      <c r="G656" s="381"/>
    </row>
    <row r="657" spans="1:14" ht="24" x14ac:dyDescent="0.25">
      <c r="A657" s="716" t="s">
        <v>460</v>
      </c>
      <c r="B657" s="460" t="s">
        <v>893</v>
      </c>
      <c r="C657" s="460"/>
      <c r="D657" s="460"/>
      <c r="E657" s="149"/>
      <c r="F657" s="149"/>
      <c r="G657" s="381"/>
    </row>
    <row r="658" spans="1:14" x14ac:dyDescent="0.25">
      <c r="A658" s="149" t="s">
        <v>886</v>
      </c>
      <c r="B658" s="149" t="s">
        <v>60</v>
      </c>
      <c r="C658" s="149"/>
      <c r="D658" s="149"/>
      <c r="E658" s="149"/>
      <c r="F658" s="149"/>
      <c r="G658" s="381"/>
    </row>
    <row r="659" spans="1:14" x14ac:dyDescent="0.25">
      <c r="A659" s="149" t="s">
        <v>61</v>
      </c>
      <c r="B659" s="149" t="s">
        <v>62</v>
      </c>
      <c r="C659" s="149"/>
      <c r="D659" s="340"/>
      <c r="E659" s="489"/>
      <c r="F659" s="149"/>
      <c r="G659" s="381"/>
    </row>
    <row r="660" spans="1:14" ht="24" x14ac:dyDescent="0.25">
      <c r="A660" s="162" t="s">
        <v>30</v>
      </c>
      <c r="B660" s="162" t="s">
        <v>11</v>
      </c>
      <c r="C660" s="1959" t="s">
        <v>12</v>
      </c>
      <c r="D660" s="1960"/>
      <c r="E660" s="230" t="s">
        <v>13</v>
      </c>
      <c r="F660" s="231" t="s">
        <v>14</v>
      </c>
      <c r="G660" s="408" t="s">
        <v>34</v>
      </c>
    </row>
    <row r="661" spans="1:14" x14ac:dyDescent="0.25">
      <c r="A661" s="161">
        <v>1</v>
      </c>
      <c r="B661" s="161">
        <v>2</v>
      </c>
      <c r="C661" s="1931">
        <v>3</v>
      </c>
      <c r="D661" s="1932"/>
      <c r="E661" s="2">
        <v>4</v>
      </c>
      <c r="F661" s="169">
        <v>5</v>
      </c>
      <c r="G661" s="397">
        <v>6</v>
      </c>
    </row>
    <row r="662" spans="1:14" x14ac:dyDescent="0.25">
      <c r="A662" s="346" t="s">
        <v>3399</v>
      </c>
      <c r="B662" s="559" t="s">
        <v>462</v>
      </c>
      <c r="C662" s="169"/>
      <c r="D662" s="170"/>
      <c r="E662" s="2"/>
      <c r="F662" s="169"/>
      <c r="G662" s="397"/>
    </row>
    <row r="663" spans="1:14" ht="24" x14ac:dyDescent="0.25">
      <c r="A663" s="346" t="s">
        <v>894</v>
      </c>
      <c r="B663" s="558" t="s">
        <v>453</v>
      </c>
      <c r="C663" s="371"/>
      <c r="D663" s="372"/>
      <c r="E663" s="165"/>
      <c r="F663" s="164"/>
      <c r="G663" s="325"/>
    </row>
    <row r="664" spans="1:14" ht="33.75" customHeight="1" x14ac:dyDescent="0.25">
      <c r="A664" s="346" t="s">
        <v>895</v>
      </c>
      <c r="B664" s="530" t="s">
        <v>890</v>
      </c>
      <c r="C664" s="371"/>
      <c r="D664" s="372"/>
      <c r="E664" s="165"/>
      <c r="F664" s="164"/>
      <c r="G664" s="325"/>
    </row>
    <row r="665" spans="1:14" ht="36" x14ac:dyDescent="0.25">
      <c r="A665" s="219"/>
      <c r="B665" s="201" t="s">
        <v>896</v>
      </c>
      <c r="C665" s="717">
        <v>7</v>
      </c>
      <c r="D665" s="255" t="s">
        <v>897</v>
      </c>
      <c r="E665" s="701">
        <v>200000000</v>
      </c>
      <c r="F665" s="718">
        <f>C665*E665</f>
        <v>1400000000</v>
      </c>
      <c r="G665" s="325"/>
    </row>
    <row r="666" spans="1:14" ht="24" x14ac:dyDescent="0.25">
      <c r="A666" s="219"/>
      <c r="B666" s="201" t="s">
        <v>898</v>
      </c>
      <c r="C666" s="169">
        <v>21</v>
      </c>
      <c r="D666" s="255" t="s">
        <v>899</v>
      </c>
      <c r="E666" s="701">
        <v>30000000</v>
      </c>
      <c r="F666" s="701">
        <f>C666*E666</f>
        <v>630000000</v>
      </c>
      <c r="G666" s="325"/>
    </row>
    <row r="667" spans="1:14" x14ac:dyDescent="0.25">
      <c r="A667" s="693"/>
      <c r="B667" s="181"/>
      <c r="C667" s="178"/>
      <c r="D667" s="362"/>
      <c r="E667" s="179"/>
      <c r="F667" s="363"/>
      <c r="G667" s="325"/>
    </row>
    <row r="668" spans="1:14" x14ac:dyDescent="0.25">
      <c r="A668" s="2130" t="s">
        <v>26</v>
      </c>
      <c r="B668" s="2131"/>
      <c r="C668" s="2131"/>
      <c r="D668" s="2131"/>
      <c r="E668" s="2132"/>
      <c r="F668" s="719">
        <f>SUM(F665:F667)</f>
        <v>2030000000</v>
      </c>
      <c r="G668" s="325" t="s">
        <v>1365</v>
      </c>
      <c r="N668" s="23">
        <f>F668</f>
        <v>2030000000</v>
      </c>
    </row>
    <row r="669" spans="1:14" x14ac:dyDescent="0.25">
      <c r="A669" s="1926" t="s">
        <v>516</v>
      </c>
      <c r="B669" s="1926"/>
      <c r="C669" s="152" t="s">
        <v>27</v>
      </c>
      <c r="D669" s="1926" t="s">
        <v>3654</v>
      </c>
      <c r="E669" s="1926"/>
      <c r="F669" s="1926"/>
      <c r="G669" s="152"/>
    </row>
    <row r="670" spans="1:14" x14ac:dyDescent="0.25">
      <c r="A670" s="1926" t="s">
        <v>28</v>
      </c>
      <c r="B670" s="1926"/>
      <c r="C670" s="152"/>
      <c r="D670" s="1927" t="s">
        <v>3570</v>
      </c>
      <c r="E670" s="1927"/>
      <c r="F670" s="1927"/>
      <c r="G670" s="152"/>
    </row>
    <row r="671" spans="1:14" x14ac:dyDescent="0.25">
      <c r="A671" s="150"/>
      <c r="B671" s="151"/>
      <c r="C671" s="152"/>
      <c r="D671" s="153"/>
      <c r="E671" s="182"/>
      <c r="F671" s="1208"/>
      <c r="G671" s="152"/>
    </row>
    <row r="672" spans="1:14" x14ac:dyDescent="0.25">
      <c r="A672" s="150"/>
      <c r="B672" s="151"/>
      <c r="C672" s="152"/>
      <c r="D672" s="153"/>
      <c r="E672" s="182"/>
      <c r="F672" s="1208"/>
      <c r="G672" s="152"/>
    </row>
    <row r="673" spans="1:7" x14ac:dyDescent="0.25">
      <c r="A673" s="1926"/>
      <c r="B673" s="1926"/>
      <c r="C673" s="152"/>
      <c r="D673" s="153"/>
      <c r="E673" s="2003"/>
      <c r="F673" s="2003"/>
      <c r="G673" s="152"/>
    </row>
    <row r="674" spans="1:7" x14ac:dyDescent="0.25">
      <c r="A674" s="1926" t="s">
        <v>29</v>
      </c>
      <c r="B674" s="1926"/>
      <c r="C674" s="152"/>
      <c r="D674" s="1926" t="s">
        <v>3548</v>
      </c>
      <c r="E674" s="1926"/>
      <c r="F674" s="1926"/>
      <c r="G674" s="152"/>
    </row>
    <row r="675" spans="1:7" x14ac:dyDescent="0.25">
      <c r="B675" s="5"/>
      <c r="C675" s="77"/>
      <c r="D675" s="77"/>
    </row>
    <row r="676" spans="1:7" x14ac:dyDescent="0.25">
      <c r="A676" s="2128" t="s">
        <v>0</v>
      </c>
      <c r="B676" s="2128"/>
      <c r="C676" s="2128"/>
      <c r="D676" s="2128"/>
      <c r="E676" s="2128"/>
      <c r="F676" s="2128"/>
      <c r="G676" s="2128"/>
    </row>
    <row r="677" spans="1:7" x14ac:dyDescent="0.25">
      <c r="A677" s="2128" t="s">
        <v>1</v>
      </c>
      <c r="B677" s="2128"/>
      <c r="C677" s="2128"/>
      <c r="D677" s="2128"/>
      <c r="E677" s="2128"/>
      <c r="F677" s="2128"/>
      <c r="G677" s="2128"/>
    </row>
    <row r="678" spans="1:7" x14ac:dyDescent="0.25">
      <c r="A678" s="2128" t="s">
        <v>2398</v>
      </c>
      <c r="B678" s="2128"/>
      <c r="C678" s="2128"/>
      <c r="D678" s="2128"/>
      <c r="E678" s="2128"/>
      <c r="F678" s="2128"/>
      <c r="G678" s="2128"/>
    </row>
    <row r="679" spans="1:7" x14ac:dyDescent="0.25">
      <c r="A679" s="258" t="s">
        <v>1263</v>
      </c>
      <c r="B679" s="2129" t="s">
        <v>900</v>
      </c>
      <c r="C679" s="2129"/>
      <c r="D679" s="720"/>
      <c r="E679" s="187"/>
      <c r="F679" s="187"/>
      <c r="G679" s="332"/>
    </row>
    <row r="680" spans="1:7" ht="30" x14ac:dyDescent="0.25">
      <c r="A680" s="721" t="s">
        <v>659</v>
      </c>
      <c r="B680" s="722" t="s">
        <v>1278</v>
      </c>
      <c r="C680" s="720"/>
      <c r="D680" s="720"/>
      <c r="E680" s="187" t="s">
        <v>1264</v>
      </c>
      <c r="F680" s="187"/>
      <c r="G680" s="333"/>
    </row>
    <row r="681" spans="1:7" x14ac:dyDescent="0.25">
      <c r="A681" s="723" t="s">
        <v>685</v>
      </c>
      <c r="B681" s="723" t="s">
        <v>1286</v>
      </c>
      <c r="C681" s="720"/>
      <c r="D681" s="720"/>
      <c r="E681" s="187" t="s">
        <v>1265</v>
      </c>
      <c r="F681" s="187"/>
      <c r="G681" s="336"/>
    </row>
    <row r="682" spans="1:7" x14ac:dyDescent="0.25">
      <c r="A682" s="258" t="s">
        <v>395</v>
      </c>
      <c r="B682" s="724" t="s">
        <v>60</v>
      </c>
      <c r="C682" s="720"/>
      <c r="D682" s="720"/>
      <c r="E682" s="258"/>
      <c r="F682" s="258"/>
      <c r="G682" s="333"/>
    </row>
    <row r="683" spans="1:7" x14ac:dyDescent="0.25">
      <c r="A683" s="721" t="s">
        <v>61</v>
      </c>
      <c r="B683" s="722" t="s">
        <v>62</v>
      </c>
      <c r="C683" s="720"/>
      <c r="D683" s="720"/>
      <c r="E683" s="721"/>
      <c r="F683" s="721"/>
      <c r="G683" s="337"/>
    </row>
    <row r="684" spans="1:7" x14ac:dyDescent="0.25">
      <c r="A684" s="721"/>
      <c r="B684" s="722"/>
      <c r="C684" s="720"/>
      <c r="D684" s="720"/>
      <c r="E684" s="721"/>
      <c r="F684" s="721"/>
      <c r="G684" s="341"/>
    </row>
    <row r="685" spans="1:7" ht="28.5" x14ac:dyDescent="0.25">
      <c r="A685" s="708" t="s">
        <v>30</v>
      </c>
      <c r="B685" s="708" t="s">
        <v>11</v>
      </c>
      <c r="C685" s="2123" t="s">
        <v>12</v>
      </c>
      <c r="D685" s="2124"/>
      <c r="E685" s="725" t="s">
        <v>13</v>
      </c>
      <c r="F685" s="710" t="s">
        <v>14</v>
      </c>
      <c r="G685" s="1149" t="s">
        <v>256</v>
      </c>
    </row>
    <row r="686" spans="1:7" x14ac:dyDescent="0.25">
      <c r="A686" s="281">
        <v>1</v>
      </c>
      <c r="B686" s="269">
        <v>2</v>
      </c>
      <c r="C686" s="1965">
        <v>3</v>
      </c>
      <c r="D686" s="1966"/>
      <c r="E686" s="569">
        <v>4</v>
      </c>
      <c r="F686" s="279">
        <v>5</v>
      </c>
      <c r="G686" s="397">
        <v>7</v>
      </c>
    </row>
    <row r="687" spans="1:7" x14ac:dyDescent="0.25">
      <c r="A687" s="283"/>
      <c r="B687" s="726"/>
      <c r="C687" s="727"/>
      <c r="D687" s="728"/>
      <c r="E687" s="729"/>
      <c r="F687" s="730"/>
      <c r="G687" s="397"/>
    </row>
    <row r="688" spans="1:7" x14ac:dyDescent="0.25">
      <c r="A688" s="283"/>
      <c r="B688" s="731" t="s">
        <v>2252</v>
      </c>
      <c r="C688" s="279"/>
      <c r="D688" s="280"/>
      <c r="E688" s="281"/>
      <c r="F688" s="730"/>
      <c r="G688" s="397"/>
    </row>
    <row r="689" spans="1:21" x14ac:dyDescent="0.25">
      <c r="A689" s="571" t="s">
        <v>1287</v>
      </c>
      <c r="B689" s="732" t="s">
        <v>683</v>
      </c>
      <c r="C689" s="279"/>
      <c r="D689" s="280"/>
      <c r="E689" s="281"/>
      <c r="F689" s="730"/>
      <c r="G689" s="397"/>
    </row>
    <row r="690" spans="1:21" x14ac:dyDescent="0.25">
      <c r="A690" s="571" t="s">
        <v>1288</v>
      </c>
      <c r="B690" s="572" t="s">
        <v>1289</v>
      </c>
      <c r="C690" s="279"/>
      <c r="D690" s="280"/>
      <c r="E690" s="281"/>
      <c r="F690" s="730"/>
      <c r="G690" s="397"/>
    </row>
    <row r="691" spans="1:21" ht="28.5" x14ac:dyDescent="0.25">
      <c r="A691" s="733" t="s">
        <v>1290</v>
      </c>
      <c r="B691" s="572" t="s">
        <v>1291</v>
      </c>
      <c r="C691" s="279"/>
      <c r="D691" s="280"/>
      <c r="E691" s="281"/>
      <c r="F691" s="730"/>
      <c r="G691" s="397"/>
    </row>
    <row r="692" spans="1:21" ht="24.75" x14ac:dyDescent="0.25">
      <c r="A692" s="283"/>
      <c r="B692" s="287" t="s">
        <v>1554</v>
      </c>
      <c r="C692" s="279">
        <v>45</v>
      </c>
      <c r="D692" s="280" t="s">
        <v>269</v>
      </c>
      <c r="E692" s="294">
        <v>250000</v>
      </c>
      <c r="F692" s="730">
        <f>C692*E692</f>
        <v>11250000</v>
      </c>
      <c r="G692" s="397" t="s">
        <v>1775</v>
      </c>
      <c r="U692" s="139">
        <f>F692</f>
        <v>11250000</v>
      </c>
    </row>
    <row r="693" spans="1:21" x14ac:dyDescent="0.25">
      <c r="A693" s="283"/>
      <c r="B693" s="731" t="s">
        <v>3508</v>
      </c>
      <c r="C693" s="279"/>
      <c r="D693" s="280"/>
      <c r="E693" s="281"/>
      <c r="F693" s="730"/>
      <c r="G693" s="166"/>
    </row>
    <row r="694" spans="1:21" x14ac:dyDescent="0.25">
      <c r="A694" s="571" t="s">
        <v>1287</v>
      </c>
      <c r="B694" s="732" t="s">
        <v>683</v>
      </c>
      <c r="C694" s="279"/>
      <c r="D694" s="280"/>
      <c r="E694" s="281"/>
      <c r="F694" s="730"/>
      <c r="G694" s="166"/>
    </row>
    <row r="695" spans="1:21" x14ac:dyDescent="0.25">
      <c r="A695" s="571" t="s">
        <v>1288</v>
      </c>
      <c r="B695" s="572" t="s">
        <v>1289</v>
      </c>
      <c r="C695" s="279"/>
      <c r="D695" s="280"/>
      <c r="E695" s="281"/>
      <c r="F695" s="730"/>
      <c r="G695" s="166"/>
    </row>
    <row r="696" spans="1:21" ht="28.5" x14ac:dyDescent="0.25">
      <c r="A696" s="733" t="s">
        <v>1290</v>
      </c>
      <c r="B696" s="572" t="s">
        <v>1291</v>
      </c>
      <c r="C696" s="279"/>
      <c r="D696" s="280"/>
      <c r="E696" s="281"/>
      <c r="F696" s="730"/>
      <c r="G696" s="166"/>
    </row>
    <row r="697" spans="1:21" ht="24.75" x14ac:dyDescent="0.25">
      <c r="A697" s="283"/>
      <c r="B697" s="287" t="s">
        <v>1554</v>
      </c>
      <c r="C697" s="279">
        <v>45</v>
      </c>
      <c r="D697" s="280" t="s">
        <v>269</v>
      </c>
      <c r="E697" s="294">
        <v>250000</v>
      </c>
      <c r="F697" s="730">
        <f>C697*E697</f>
        <v>11250000</v>
      </c>
      <c r="G697" s="397" t="s">
        <v>1775</v>
      </c>
      <c r="U697" s="139">
        <f>F697</f>
        <v>11250000</v>
      </c>
    </row>
    <row r="698" spans="1:21" ht="28.5" x14ac:dyDescent="0.25">
      <c r="A698" s="734"/>
      <c r="B698" s="731" t="s">
        <v>1292</v>
      </c>
      <c r="C698" s="271"/>
      <c r="D698" s="277"/>
      <c r="E698" s="735"/>
      <c r="F698" s="730"/>
      <c r="G698" s="213"/>
    </row>
    <row r="699" spans="1:21" x14ac:dyDescent="0.25">
      <c r="A699" s="571" t="s">
        <v>1287</v>
      </c>
      <c r="B699" s="732" t="s">
        <v>683</v>
      </c>
      <c r="C699" s="279"/>
      <c r="D699" s="280"/>
      <c r="E699" s="294"/>
      <c r="F699" s="730"/>
      <c r="G699" s="213"/>
    </row>
    <row r="700" spans="1:21" x14ac:dyDescent="0.25">
      <c r="A700" s="571" t="s">
        <v>1288</v>
      </c>
      <c r="B700" s="732" t="s">
        <v>1289</v>
      </c>
      <c r="C700" s="279"/>
      <c r="D700" s="280"/>
      <c r="E700" s="294"/>
      <c r="F700" s="730"/>
      <c r="G700" s="213"/>
    </row>
    <row r="701" spans="1:21" ht="28.5" x14ac:dyDescent="0.25">
      <c r="A701" s="733" t="s">
        <v>1290</v>
      </c>
      <c r="B701" s="572" t="s">
        <v>1291</v>
      </c>
      <c r="C701" s="279"/>
      <c r="D701" s="280"/>
      <c r="E701" s="294"/>
      <c r="F701" s="730"/>
      <c r="G701" s="213"/>
    </row>
    <row r="702" spans="1:21" s="96" customFormat="1" ht="24.75" x14ac:dyDescent="0.25">
      <c r="A702" s="1405"/>
      <c r="B702" s="2329" t="s">
        <v>1554</v>
      </c>
      <c r="C702" s="1337">
        <v>1</v>
      </c>
      <c r="D702" s="1906" t="s">
        <v>213</v>
      </c>
      <c r="E702" s="1451">
        <v>67500000</v>
      </c>
      <c r="F702" s="2330">
        <f>C702*E702</f>
        <v>67500000</v>
      </c>
      <c r="G702" s="2331" t="s">
        <v>1775</v>
      </c>
      <c r="U702" s="1479">
        <f>F702</f>
        <v>67500000</v>
      </c>
    </row>
    <row r="703" spans="1:21" ht="28.5" x14ac:dyDescent="0.25">
      <c r="A703" s="734"/>
      <c r="B703" s="731" t="s">
        <v>1293</v>
      </c>
      <c r="C703" s="271"/>
      <c r="D703" s="277"/>
      <c r="E703" s="735"/>
      <c r="F703" s="737"/>
      <c r="G703" s="213"/>
    </row>
    <row r="704" spans="1:21" x14ac:dyDescent="0.25">
      <c r="A704" s="571" t="s">
        <v>1287</v>
      </c>
      <c r="B704" s="310" t="s">
        <v>683</v>
      </c>
      <c r="C704" s="279"/>
      <c r="D704" s="280"/>
      <c r="E704" s="294"/>
      <c r="F704" s="730"/>
      <c r="G704" s="163"/>
    </row>
    <row r="705" spans="1:21" x14ac:dyDescent="0.25">
      <c r="A705" s="571" t="s">
        <v>1288</v>
      </c>
      <c r="B705" s="310" t="s">
        <v>1289</v>
      </c>
      <c r="C705" s="279"/>
      <c r="D705" s="280"/>
      <c r="E705" s="294"/>
      <c r="F705" s="730"/>
      <c r="G705" s="163"/>
    </row>
    <row r="706" spans="1:21" ht="29.25" x14ac:dyDescent="0.25">
      <c r="A706" s="733" t="s">
        <v>1290</v>
      </c>
      <c r="B706" s="306" t="s">
        <v>1291</v>
      </c>
      <c r="C706" s="279"/>
      <c r="D706" s="280"/>
      <c r="E706" s="294"/>
      <c r="F706" s="730"/>
      <c r="G706" s="163"/>
    </row>
    <row r="707" spans="1:21" s="96" customFormat="1" ht="24.75" x14ac:dyDescent="0.25">
      <c r="A707" s="1405"/>
      <c r="B707" s="2329" t="s">
        <v>1554</v>
      </c>
      <c r="C707" s="1337">
        <v>1</v>
      </c>
      <c r="D707" s="1906" t="s">
        <v>213</v>
      </c>
      <c r="E707" s="1451">
        <v>90000000</v>
      </c>
      <c r="F707" s="2330">
        <f>C707*E707</f>
        <v>90000000</v>
      </c>
      <c r="G707" s="2331" t="s">
        <v>1775</v>
      </c>
      <c r="U707" s="1479">
        <f>F707</f>
        <v>90000000</v>
      </c>
    </row>
    <row r="708" spans="1:21" x14ac:dyDescent="0.25">
      <c r="A708" s="736"/>
      <c r="B708" s="577"/>
      <c r="C708" s="738"/>
      <c r="D708" s="738"/>
      <c r="E708" s="739"/>
      <c r="F708" s="294"/>
      <c r="G708" s="213"/>
    </row>
    <row r="709" spans="1:21" x14ac:dyDescent="0.25">
      <c r="A709" s="736"/>
      <c r="B709" s="2125" t="s">
        <v>26</v>
      </c>
      <c r="C709" s="2126"/>
      <c r="D709" s="2126"/>
      <c r="E709" s="2127"/>
      <c r="F709" s="740">
        <f>SUM(F692:F707)</f>
        <v>180000000</v>
      </c>
      <c r="G709" s="375"/>
    </row>
    <row r="710" spans="1:21" x14ac:dyDescent="0.25">
      <c r="A710" s="1926" t="s">
        <v>516</v>
      </c>
      <c r="B710" s="1926"/>
      <c r="C710" s="152" t="s">
        <v>27</v>
      </c>
      <c r="D710" s="1926" t="s">
        <v>3654</v>
      </c>
      <c r="E710" s="1926"/>
      <c r="F710" s="1926"/>
      <c r="G710" s="152"/>
    </row>
    <row r="711" spans="1:21" x14ac:dyDescent="0.25">
      <c r="A711" s="1926" t="s">
        <v>28</v>
      </c>
      <c r="B711" s="1926"/>
      <c r="C711" s="152"/>
      <c r="D711" s="1927" t="s">
        <v>3570</v>
      </c>
      <c r="E711" s="1927"/>
      <c r="F711" s="1927"/>
      <c r="G711" s="152"/>
    </row>
    <row r="712" spans="1:21" x14ac:dyDescent="0.25">
      <c r="A712" s="150"/>
      <c r="B712" s="151"/>
      <c r="C712" s="152"/>
      <c r="D712" s="153"/>
      <c r="E712" s="182"/>
      <c r="F712" s="1208"/>
      <c r="G712" s="152"/>
    </row>
    <row r="713" spans="1:21" x14ac:dyDescent="0.25">
      <c r="A713" s="150"/>
      <c r="B713" s="151"/>
      <c r="C713" s="152"/>
      <c r="D713" s="153"/>
      <c r="E713" s="182"/>
      <c r="F713" s="1208"/>
      <c r="G713" s="152"/>
    </row>
    <row r="714" spans="1:21" x14ac:dyDescent="0.25">
      <c r="A714" s="1926"/>
      <c r="B714" s="1926"/>
      <c r="C714" s="152"/>
      <c r="D714" s="153"/>
      <c r="E714" s="2003"/>
      <c r="F714" s="2003"/>
      <c r="G714" s="152"/>
    </row>
    <row r="715" spans="1:21" x14ac:dyDescent="0.25">
      <c r="A715" s="1926" t="s">
        <v>29</v>
      </c>
      <c r="B715" s="1926"/>
      <c r="C715" s="152"/>
      <c r="D715" s="1926" t="s">
        <v>3548</v>
      </c>
      <c r="E715" s="1926"/>
      <c r="F715" s="1926"/>
      <c r="G715" s="152"/>
    </row>
    <row r="716" spans="1:21" x14ac:dyDescent="0.25">
      <c r="A716" s="223"/>
      <c r="B716" s="223"/>
      <c r="C716" s="152"/>
      <c r="D716" s="223"/>
      <c r="E716" s="223"/>
      <c r="F716" s="223"/>
      <c r="G716" s="152"/>
    </row>
    <row r="717" spans="1:21" x14ac:dyDescent="0.25">
      <c r="A717" s="2119" t="s">
        <v>0</v>
      </c>
      <c r="B717" s="2119"/>
      <c r="C717" s="2119"/>
      <c r="D717" s="2119"/>
      <c r="E717" s="2119"/>
      <c r="F717" s="2119"/>
      <c r="G717" s="2119"/>
    </row>
    <row r="718" spans="1:21" x14ac:dyDescent="0.25">
      <c r="A718" s="2119" t="s">
        <v>1</v>
      </c>
      <c r="B718" s="2119"/>
      <c r="C718" s="2119"/>
      <c r="D718" s="2119"/>
      <c r="E718" s="2119"/>
      <c r="F718" s="2119"/>
      <c r="G718" s="2119"/>
    </row>
    <row r="719" spans="1:21" x14ac:dyDescent="0.25">
      <c r="A719" s="2119" t="s">
        <v>2398</v>
      </c>
      <c r="B719" s="2119"/>
      <c r="C719" s="2119"/>
      <c r="D719" s="2119"/>
      <c r="E719" s="2119"/>
      <c r="F719" s="2119"/>
      <c r="G719" s="2119"/>
    </row>
    <row r="720" spans="1:21" x14ac:dyDescent="0.25">
      <c r="A720" s="637"/>
      <c r="B720" s="637"/>
      <c r="C720" s="637"/>
      <c r="D720" s="637"/>
      <c r="E720" s="637"/>
      <c r="F720" s="637"/>
      <c r="G720" s="638"/>
    </row>
    <row r="721" spans="1:7" x14ac:dyDescent="0.25">
      <c r="A721" s="379" t="s">
        <v>251</v>
      </c>
      <c r="B721" s="379" t="s">
        <v>827</v>
      </c>
      <c r="C721" s="379"/>
      <c r="D721" s="379"/>
      <c r="E721" s="154" t="s">
        <v>6</v>
      </c>
      <c r="F721" s="507" t="s">
        <v>62</v>
      </c>
      <c r="G721" s="639"/>
    </row>
    <row r="722" spans="1:7" x14ac:dyDescent="0.25">
      <c r="A722" s="379" t="s">
        <v>252</v>
      </c>
      <c r="B722" s="385" t="s">
        <v>1030</v>
      </c>
      <c r="C722" s="379"/>
      <c r="D722" s="379"/>
      <c r="E722" s="488" t="s">
        <v>482</v>
      </c>
      <c r="F722" s="508" t="s">
        <v>62</v>
      </c>
      <c r="G722" s="639"/>
    </row>
    <row r="723" spans="1:7" ht="99" customHeight="1" x14ac:dyDescent="0.25">
      <c r="A723" s="460" t="s">
        <v>253</v>
      </c>
      <c r="B723" s="438" t="s">
        <v>3509</v>
      </c>
      <c r="C723" s="438"/>
      <c r="D723" s="438"/>
      <c r="E723" s="380"/>
      <c r="F723" s="538"/>
      <c r="G723" s="639"/>
    </row>
    <row r="724" spans="1:7" x14ac:dyDescent="0.25">
      <c r="A724" s="152" t="s">
        <v>59</v>
      </c>
      <c r="B724" s="152" t="s">
        <v>60</v>
      </c>
      <c r="C724" s="152"/>
      <c r="D724" s="152"/>
      <c r="E724" s="152"/>
      <c r="F724" s="640"/>
      <c r="G724" s="639"/>
    </row>
    <row r="725" spans="1:7" x14ac:dyDescent="0.25">
      <c r="A725" s="152" t="s">
        <v>61</v>
      </c>
      <c r="B725" s="152" t="s">
        <v>62</v>
      </c>
      <c r="C725" s="152"/>
      <c r="D725" s="1952"/>
      <c r="E725" s="1952"/>
      <c r="F725" s="640"/>
      <c r="G725" s="639"/>
    </row>
    <row r="726" spans="1:7" ht="24" x14ac:dyDescent="0.25">
      <c r="A726" s="343" t="s">
        <v>255</v>
      </c>
      <c r="B726" s="343" t="s">
        <v>11</v>
      </c>
      <c r="C726" s="1929" t="s">
        <v>12</v>
      </c>
      <c r="D726" s="1930"/>
      <c r="E726" s="595" t="s">
        <v>13</v>
      </c>
      <c r="F726" s="344" t="s">
        <v>14</v>
      </c>
      <c r="G726" s="641" t="s">
        <v>256</v>
      </c>
    </row>
    <row r="727" spans="1:7" x14ac:dyDescent="0.25">
      <c r="A727" s="162">
        <v>1</v>
      </c>
      <c r="B727" s="162">
        <v>2</v>
      </c>
      <c r="C727" s="1959">
        <v>3</v>
      </c>
      <c r="D727" s="1960"/>
      <c r="E727" s="232">
        <v>4</v>
      </c>
      <c r="F727" s="231">
        <v>5</v>
      </c>
      <c r="G727" s="642">
        <v>6</v>
      </c>
    </row>
    <row r="728" spans="1:7" x14ac:dyDescent="0.25">
      <c r="A728" s="167" t="s">
        <v>958</v>
      </c>
      <c r="B728" s="643" t="s">
        <v>277</v>
      </c>
      <c r="C728" s="169"/>
      <c r="D728" s="170"/>
      <c r="E728" s="161"/>
      <c r="F728" s="161"/>
      <c r="G728" s="410"/>
    </row>
    <row r="729" spans="1:7" x14ac:dyDescent="0.25">
      <c r="A729" s="167" t="s">
        <v>962</v>
      </c>
      <c r="B729" s="644" t="s">
        <v>84</v>
      </c>
      <c r="C729" s="169"/>
      <c r="D729" s="170"/>
      <c r="E729" s="161"/>
      <c r="F729" s="161"/>
      <c r="G729" s="410"/>
    </row>
    <row r="730" spans="1:7" ht="24" x14ac:dyDescent="0.25">
      <c r="A730" s="167" t="s">
        <v>961</v>
      </c>
      <c r="B730" s="317" t="s">
        <v>307</v>
      </c>
      <c r="C730" s="169"/>
      <c r="D730" s="170"/>
      <c r="E730" s="645"/>
      <c r="F730" s="646"/>
      <c r="G730" s="415"/>
    </row>
    <row r="731" spans="1:7" ht="33.75" customHeight="1" x14ac:dyDescent="0.25">
      <c r="A731" s="219"/>
      <c r="B731" s="647" t="s">
        <v>1255</v>
      </c>
      <c r="C731" s="169">
        <v>30</v>
      </c>
      <c r="D731" s="170" t="s">
        <v>269</v>
      </c>
      <c r="E731" s="648">
        <v>20000</v>
      </c>
      <c r="F731" s="646">
        <f t="shared" ref="F731:F778" si="47">C731*E731</f>
        <v>600000</v>
      </c>
      <c r="G731" s="415"/>
    </row>
    <row r="732" spans="1:7" ht="36" x14ac:dyDescent="0.25">
      <c r="A732" s="219"/>
      <c r="B732" s="556" t="s">
        <v>2361</v>
      </c>
      <c r="C732" s="169">
        <f>51*5</f>
        <v>255</v>
      </c>
      <c r="D732" s="170" t="s">
        <v>269</v>
      </c>
      <c r="E732" s="648">
        <v>20000</v>
      </c>
      <c r="F732" s="646">
        <f t="shared" si="47"/>
        <v>5100000</v>
      </c>
      <c r="G732" s="415"/>
    </row>
    <row r="733" spans="1:7" ht="36" x14ac:dyDescent="0.25">
      <c r="A733" s="219"/>
      <c r="B733" s="649" t="s">
        <v>2362</v>
      </c>
      <c r="C733" s="169">
        <f>39+5+4+1+3</f>
        <v>52</v>
      </c>
      <c r="D733" s="170" t="s">
        <v>269</v>
      </c>
      <c r="E733" s="648">
        <v>20000</v>
      </c>
      <c r="F733" s="646">
        <f t="shared" si="47"/>
        <v>1040000</v>
      </c>
      <c r="G733" s="415"/>
    </row>
    <row r="734" spans="1:7" ht="60" x14ac:dyDescent="0.25">
      <c r="A734" s="355"/>
      <c r="B734" s="649" t="s">
        <v>2439</v>
      </c>
      <c r="C734" s="169">
        <f>9+30+5+39+9+1+31+2+2</f>
        <v>128</v>
      </c>
      <c r="D734" s="170" t="s">
        <v>269</v>
      </c>
      <c r="E734" s="648">
        <v>20000</v>
      </c>
      <c r="F734" s="646">
        <f t="shared" si="47"/>
        <v>2560000</v>
      </c>
      <c r="G734" s="415"/>
    </row>
    <row r="735" spans="1:7" ht="24" x14ac:dyDescent="0.25">
      <c r="A735" s="167" t="s">
        <v>1032</v>
      </c>
      <c r="B735" s="558" t="s">
        <v>949</v>
      </c>
      <c r="C735" s="169"/>
      <c r="D735" s="170"/>
      <c r="E735" s="648"/>
      <c r="F735" s="646"/>
      <c r="G735" s="415"/>
    </row>
    <row r="736" spans="1:7" x14ac:dyDescent="0.25">
      <c r="A736" s="219"/>
      <c r="B736" s="556" t="s">
        <v>761</v>
      </c>
      <c r="C736" s="169">
        <v>6</v>
      </c>
      <c r="D736" s="170" t="s">
        <v>106</v>
      </c>
      <c r="E736" s="648">
        <v>90000</v>
      </c>
      <c r="F736" s="646">
        <f t="shared" si="47"/>
        <v>540000</v>
      </c>
      <c r="G736" s="415"/>
    </row>
    <row r="737" spans="1:7" x14ac:dyDescent="0.25">
      <c r="A737" s="167" t="s">
        <v>1033</v>
      </c>
      <c r="B737" s="559" t="s">
        <v>273</v>
      </c>
      <c r="C737" s="169"/>
      <c r="D737" s="170"/>
      <c r="E737" s="648"/>
      <c r="F737" s="646"/>
      <c r="G737" s="415"/>
    </row>
    <row r="738" spans="1:7" x14ac:dyDescent="0.25">
      <c r="A738" s="181"/>
      <c r="B738" s="201" t="s">
        <v>422</v>
      </c>
      <c r="C738" s="169">
        <v>2</v>
      </c>
      <c r="D738" s="170" t="s">
        <v>93</v>
      </c>
      <c r="E738" s="648">
        <v>50000</v>
      </c>
      <c r="F738" s="646">
        <f t="shared" si="47"/>
        <v>100000</v>
      </c>
      <c r="G738" s="415"/>
    </row>
    <row r="739" spans="1:7" x14ac:dyDescent="0.25">
      <c r="A739" s="181"/>
      <c r="B739" s="201" t="s">
        <v>275</v>
      </c>
      <c r="C739" s="169">
        <v>5</v>
      </c>
      <c r="D739" s="170" t="s">
        <v>158</v>
      </c>
      <c r="E739" s="648">
        <v>1000</v>
      </c>
      <c r="F739" s="646">
        <f t="shared" si="47"/>
        <v>5000</v>
      </c>
      <c r="G739" s="415"/>
    </row>
    <row r="740" spans="1:7" x14ac:dyDescent="0.25">
      <c r="A740" s="181"/>
      <c r="B740" s="201" t="s">
        <v>289</v>
      </c>
      <c r="C740" s="169">
        <v>1</v>
      </c>
      <c r="D740" s="170" t="s">
        <v>290</v>
      </c>
      <c r="E740" s="648">
        <v>10000</v>
      </c>
      <c r="F740" s="646">
        <f t="shared" si="47"/>
        <v>10000</v>
      </c>
      <c r="G740" s="415"/>
    </row>
    <row r="741" spans="1:7" x14ac:dyDescent="0.25">
      <c r="A741" s="221"/>
      <c r="B741" s="556" t="s">
        <v>347</v>
      </c>
      <c r="C741" s="169">
        <v>3</v>
      </c>
      <c r="D741" s="170" t="s">
        <v>106</v>
      </c>
      <c r="E741" s="648">
        <v>10000</v>
      </c>
      <c r="F741" s="646">
        <f t="shared" si="47"/>
        <v>30000</v>
      </c>
      <c r="G741" s="415"/>
    </row>
    <row r="742" spans="1:7" x14ac:dyDescent="0.25">
      <c r="A742" s="167" t="s">
        <v>960</v>
      </c>
      <c r="B742" s="558" t="s">
        <v>294</v>
      </c>
      <c r="C742" s="169"/>
      <c r="D742" s="170"/>
      <c r="E742" s="648"/>
      <c r="F742" s="646"/>
      <c r="G742" s="415"/>
    </row>
    <row r="743" spans="1:7" ht="24" x14ac:dyDescent="0.25">
      <c r="A743" s="167" t="s">
        <v>959</v>
      </c>
      <c r="B743" s="558" t="s">
        <v>948</v>
      </c>
      <c r="C743" s="169"/>
      <c r="D743" s="170"/>
      <c r="E743" s="648"/>
      <c r="F743" s="646"/>
      <c r="G743" s="415"/>
    </row>
    <row r="744" spans="1:7" x14ac:dyDescent="0.25">
      <c r="A744" s="346"/>
      <c r="B744" s="350" t="s">
        <v>1541</v>
      </c>
      <c r="C744" s="169">
        <v>15</v>
      </c>
      <c r="D744" s="170" t="s">
        <v>392</v>
      </c>
      <c r="E744" s="648">
        <v>300000</v>
      </c>
      <c r="F744" s="646">
        <f t="shared" si="47"/>
        <v>4500000</v>
      </c>
      <c r="G744" s="415"/>
    </row>
    <row r="745" spans="1:7" x14ac:dyDescent="0.25">
      <c r="A745" s="346"/>
      <c r="B745" s="350" t="s">
        <v>1542</v>
      </c>
      <c r="C745" s="169">
        <v>9</v>
      </c>
      <c r="D745" s="170" t="s">
        <v>392</v>
      </c>
      <c r="E745" s="648">
        <v>378000</v>
      </c>
      <c r="F745" s="646">
        <f t="shared" si="47"/>
        <v>3402000</v>
      </c>
      <c r="G745" s="415"/>
    </row>
    <row r="746" spans="1:7" x14ac:dyDescent="0.25">
      <c r="A746" s="355"/>
      <c r="B746" s="350" t="s">
        <v>1543</v>
      </c>
      <c r="C746" s="169">
        <v>1</v>
      </c>
      <c r="D746" s="170" t="s">
        <v>392</v>
      </c>
      <c r="E746" s="648">
        <v>300000</v>
      </c>
      <c r="F746" s="646">
        <f t="shared" si="47"/>
        <v>300000</v>
      </c>
      <c r="G746" s="415"/>
    </row>
    <row r="747" spans="1:7" ht="24" x14ac:dyDescent="0.25">
      <c r="A747" s="167" t="s">
        <v>957</v>
      </c>
      <c r="B747" s="317" t="s">
        <v>453</v>
      </c>
      <c r="C747" s="231"/>
      <c r="D747" s="255"/>
      <c r="E747" s="650"/>
      <c r="F747" s="646"/>
      <c r="G747" s="415"/>
    </row>
    <row r="748" spans="1:7" ht="24" x14ac:dyDescent="0.25">
      <c r="A748" s="167" t="s">
        <v>1033</v>
      </c>
      <c r="B748" s="317" t="s">
        <v>905</v>
      </c>
      <c r="C748" s="169"/>
      <c r="D748" s="170"/>
      <c r="E748" s="648"/>
      <c r="F748" s="646"/>
      <c r="G748" s="415"/>
    </row>
    <row r="749" spans="1:7" x14ac:dyDescent="0.25">
      <c r="A749" s="219"/>
      <c r="B749" s="558" t="s">
        <v>735</v>
      </c>
      <c r="C749" s="169"/>
      <c r="D749" s="170"/>
      <c r="E749" s="648"/>
      <c r="F749" s="646"/>
      <c r="G749" s="415"/>
    </row>
    <row r="750" spans="1:7" x14ac:dyDescent="0.25">
      <c r="A750" s="219"/>
      <c r="B750" s="556" t="s">
        <v>941</v>
      </c>
      <c r="C750" s="169">
        <v>3</v>
      </c>
      <c r="D750" s="545" t="s">
        <v>381</v>
      </c>
      <c r="E750" s="648">
        <v>1000000</v>
      </c>
      <c r="F750" s="646">
        <f t="shared" si="47"/>
        <v>3000000</v>
      </c>
      <c r="G750" s="415"/>
    </row>
    <row r="751" spans="1:7" x14ac:dyDescent="0.25">
      <c r="A751" s="167"/>
      <c r="B751" s="556" t="s">
        <v>940</v>
      </c>
      <c r="C751" s="169">
        <v>3</v>
      </c>
      <c r="D751" s="545" t="s">
        <v>381</v>
      </c>
      <c r="E751" s="648">
        <v>750000</v>
      </c>
      <c r="F751" s="646">
        <f t="shared" si="47"/>
        <v>2250000</v>
      </c>
      <c r="G751" s="415"/>
    </row>
    <row r="752" spans="1:7" x14ac:dyDescent="0.25">
      <c r="A752" s="219"/>
      <c r="B752" s="556" t="s">
        <v>939</v>
      </c>
      <c r="C752" s="169">
        <v>3</v>
      </c>
      <c r="D752" s="545" t="s">
        <v>381</v>
      </c>
      <c r="E752" s="648">
        <v>500000</v>
      </c>
      <c r="F752" s="646">
        <f t="shared" si="47"/>
        <v>1500000</v>
      </c>
      <c r="G752" s="415"/>
    </row>
    <row r="753" spans="1:7" x14ac:dyDescent="0.25">
      <c r="A753" s="219"/>
      <c r="B753" s="558" t="s">
        <v>938</v>
      </c>
      <c r="C753" s="169"/>
      <c r="D753" s="170"/>
      <c r="E753" s="648"/>
      <c r="F753" s="646"/>
      <c r="G753" s="415"/>
    </row>
    <row r="754" spans="1:7" x14ac:dyDescent="0.25">
      <c r="A754" s="219"/>
      <c r="B754" s="556" t="s">
        <v>937</v>
      </c>
      <c r="C754" s="169">
        <v>3</v>
      </c>
      <c r="D754" s="170" t="s">
        <v>133</v>
      </c>
      <c r="E754" s="648">
        <v>1200000</v>
      </c>
      <c r="F754" s="646">
        <f t="shared" si="47"/>
        <v>3600000</v>
      </c>
      <c r="G754" s="415"/>
    </row>
    <row r="755" spans="1:7" x14ac:dyDescent="0.25">
      <c r="A755" s="346"/>
      <c r="B755" s="530" t="s">
        <v>936</v>
      </c>
      <c r="C755" s="169"/>
      <c r="D755" s="170"/>
      <c r="E755" s="648"/>
      <c r="F755" s="646"/>
      <c r="G755" s="415"/>
    </row>
    <row r="756" spans="1:7" x14ac:dyDescent="0.25">
      <c r="A756" s="220"/>
      <c r="B756" s="201" t="s">
        <v>1034</v>
      </c>
      <c r="C756" s="169">
        <v>30</v>
      </c>
      <c r="D756" s="170" t="s">
        <v>106</v>
      </c>
      <c r="E756" s="648">
        <v>5000</v>
      </c>
      <c r="F756" s="646">
        <f t="shared" si="47"/>
        <v>150000</v>
      </c>
      <c r="G756" s="415"/>
    </row>
    <row r="757" spans="1:7" x14ac:dyDescent="0.25">
      <c r="A757" s="219"/>
      <c r="B757" s="556" t="s">
        <v>1035</v>
      </c>
      <c r="C757" s="169">
        <v>9</v>
      </c>
      <c r="D757" s="170" t="s">
        <v>106</v>
      </c>
      <c r="E757" s="648">
        <v>5000</v>
      </c>
      <c r="F757" s="646">
        <f t="shared" si="47"/>
        <v>45000</v>
      </c>
      <c r="G757" s="415"/>
    </row>
    <row r="758" spans="1:7" x14ac:dyDescent="0.25">
      <c r="A758" s="219"/>
      <c r="B758" s="556" t="s">
        <v>1036</v>
      </c>
      <c r="C758" s="169">
        <v>9</v>
      </c>
      <c r="D758" s="170" t="s">
        <v>106</v>
      </c>
      <c r="E758" s="648">
        <v>5000</v>
      </c>
      <c r="F758" s="646">
        <f t="shared" si="47"/>
        <v>45000</v>
      </c>
      <c r="G758" s="415"/>
    </row>
    <row r="759" spans="1:7" x14ac:dyDescent="0.25">
      <c r="A759" s="220"/>
      <c r="B759" s="556" t="s">
        <v>2440</v>
      </c>
      <c r="C759" s="169">
        <v>3</v>
      </c>
      <c r="D759" s="170" t="s">
        <v>106</v>
      </c>
      <c r="E759" s="648">
        <v>5000</v>
      </c>
      <c r="F759" s="646">
        <f t="shared" si="47"/>
        <v>15000</v>
      </c>
      <c r="G759" s="415"/>
    </row>
    <row r="760" spans="1:7" x14ac:dyDescent="0.25">
      <c r="A760" s="355"/>
      <c r="B760" s="386" t="s">
        <v>442</v>
      </c>
      <c r="C760" s="741"/>
      <c r="D760" s="208"/>
      <c r="E760" s="388"/>
      <c r="F760" s="646"/>
      <c r="G760" s="742"/>
    </row>
    <row r="761" spans="1:7" ht="24.75" x14ac:dyDescent="0.25">
      <c r="A761" s="355"/>
      <c r="B761" s="386" t="s">
        <v>1037</v>
      </c>
      <c r="C761" s="178"/>
      <c r="D761" s="207"/>
      <c r="E761" s="388"/>
      <c r="F761" s="646"/>
      <c r="G761" s="742"/>
    </row>
    <row r="762" spans="1:7" x14ac:dyDescent="0.25">
      <c r="A762" s="355"/>
      <c r="B762" s="177" t="s">
        <v>943</v>
      </c>
      <c r="C762" s="178">
        <v>1</v>
      </c>
      <c r="D762" s="207" t="s">
        <v>790</v>
      </c>
      <c r="E762" s="388">
        <v>1000000</v>
      </c>
      <c r="F762" s="646">
        <f t="shared" si="47"/>
        <v>1000000</v>
      </c>
      <c r="G762" s="742"/>
    </row>
    <row r="763" spans="1:7" ht="80.25" customHeight="1" x14ac:dyDescent="0.25">
      <c r="A763" s="171"/>
      <c r="B763" s="743" t="s">
        <v>2363</v>
      </c>
      <c r="C763" s="438"/>
      <c r="D763" s="438"/>
      <c r="E763" s="648"/>
      <c r="F763" s="646"/>
      <c r="G763" s="408"/>
    </row>
    <row r="764" spans="1:7" x14ac:dyDescent="0.25">
      <c r="A764" s="167" t="s">
        <v>958</v>
      </c>
      <c r="B764" s="558" t="s">
        <v>277</v>
      </c>
      <c r="C764" s="169"/>
      <c r="D764" s="170"/>
      <c r="E764" s="648"/>
      <c r="F764" s="646"/>
      <c r="G764" s="408"/>
    </row>
    <row r="765" spans="1:7" x14ac:dyDescent="0.25">
      <c r="A765" s="167" t="s">
        <v>966</v>
      </c>
      <c r="B765" s="558" t="s">
        <v>84</v>
      </c>
      <c r="C765" s="169"/>
      <c r="D765" s="170"/>
      <c r="E765" s="648"/>
      <c r="F765" s="646"/>
      <c r="G765" s="408"/>
    </row>
    <row r="766" spans="1:7" ht="24" x14ac:dyDescent="0.25">
      <c r="A766" s="167" t="s">
        <v>965</v>
      </c>
      <c r="B766" s="558" t="s">
        <v>931</v>
      </c>
      <c r="C766" s="169"/>
      <c r="D766" s="170"/>
      <c r="E766" s="648"/>
      <c r="F766" s="646"/>
      <c r="G766" s="408"/>
    </row>
    <row r="767" spans="1:7" ht="36" x14ac:dyDescent="0.25">
      <c r="A767" s="171"/>
      <c r="B767" s="556" t="s">
        <v>2364</v>
      </c>
      <c r="C767" s="169">
        <v>65</v>
      </c>
      <c r="D767" s="545" t="s">
        <v>381</v>
      </c>
      <c r="E767" s="648">
        <v>20000</v>
      </c>
      <c r="F767" s="646">
        <f t="shared" si="47"/>
        <v>1300000</v>
      </c>
      <c r="G767" s="408"/>
    </row>
    <row r="768" spans="1:7" ht="36" x14ac:dyDescent="0.25">
      <c r="A768" s="171"/>
      <c r="B768" s="556" t="s">
        <v>2441</v>
      </c>
      <c r="C768" s="169">
        <f>3+3+5+30+9</f>
        <v>50</v>
      </c>
      <c r="D768" s="545" t="s">
        <v>381</v>
      </c>
      <c r="E768" s="648">
        <v>20000</v>
      </c>
      <c r="F768" s="646">
        <f t="shared" si="47"/>
        <v>1000000</v>
      </c>
      <c r="G768" s="408"/>
    </row>
    <row r="769" spans="1:21" x14ac:dyDescent="0.25">
      <c r="A769" s="167" t="s">
        <v>964</v>
      </c>
      <c r="B769" s="558" t="s">
        <v>930</v>
      </c>
      <c r="C769" s="169"/>
      <c r="D769" s="170"/>
      <c r="E769" s="648"/>
      <c r="F769" s="646"/>
      <c r="G769" s="408"/>
    </row>
    <row r="770" spans="1:21" x14ac:dyDescent="0.25">
      <c r="A770" s="171"/>
      <c r="B770" s="556" t="s">
        <v>2442</v>
      </c>
      <c r="C770" s="169">
        <v>3</v>
      </c>
      <c r="D770" s="170" t="s">
        <v>133</v>
      </c>
      <c r="E770" s="648">
        <v>600000</v>
      </c>
      <c r="F770" s="646">
        <f t="shared" si="47"/>
        <v>1800000</v>
      </c>
      <c r="G770" s="408"/>
    </row>
    <row r="771" spans="1:21" x14ac:dyDescent="0.25">
      <c r="A771" s="171"/>
      <c r="B771" s="201" t="s">
        <v>929</v>
      </c>
      <c r="C771" s="169">
        <v>3</v>
      </c>
      <c r="D771" s="545" t="s">
        <v>381</v>
      </c>
      <c r="E771" s="648">
        <v>150000</v>
      </c>
      <c r="F771" s="646">
        <f t="shared" si="47"/>
        <v>450000</v>
      </c>
      <c r="G771" s="408"/>
    </row>
    <row r="772" spans="1:21" x14ac:dyDescent="0.25">
      <c r="A772" s="167" t="s">
        <v>960</v>
      </c>
      <c r="B772" s="558" t="s">
        <v>478</v>
      </c>
      <c r="C772" s="231"/>
      <c r="D772" s="170"/>
      <c r="E772" s="648"/>
      <c r="F772" s="646"/>
      <c r="G772" s="408"/>
    </row>
    <row r="773" spans="1:21" x14ac:dyDescent="0.25">
      <c r="A773" s="167" t="s">
        <v>959</v>
      </c>
      <c r="B773" s="317" t="s">
        <v>1038</v>
      </c>
      <c r="C773" s="231"/>
      <c r="D773" s="170"/>
      <c r="E773" s="648"/>
      <c r="F773" s="646"/>
      <c r="G773" s="408"/>
    </row>
    <row r="774" spans="1:21" x14ac:dyDescent="0.25">
      <c r="A774" s="171"/>
      <c r="B774" s="556" t="s">
        <v>1544</v>
      </c>
      <c r="C774" s="169">
        <v>15</v>
      </c>
      <c r="D774" s="170" t="s">
        <v>392</v>
      </c>
      <c r="E774" s="648">
        <v>300000</v>
      </c>
      <c r="F774" s="646">
        <f t="shared" si="47"/>
        <v>4500000</v>
      </c>
      <c r="G774" s="408"/>
    </row>
    <row r="775" spans="1:21" ht="24.75" x14ac:dyDescent="0.25">
      <c r="A775" s="167" t="s">
        <v>1026</v>
      </c>
      <c r="B775" s="386" t="s">
        <v>968</v>
      </c>
      <c r="C775" s="178"/>
      <c r="D775" s="207"/>
      <c r="E775" s="179"/>
      <c r="F775" s="646"/>
      <c r="G775" s="651"/>
    </row>
    <row r="776" spans="1:21" x14ac:dyDescent="0.25">
      <c r="A776" s="167"/>
      <c r="B776" s="181" t="s">
        <v>179</v>
      </c>
      <c r="C776" s="178">
        <v>1</v>
      </c>
      <c r="D776" s="545" t="s">
        <v>381</v>
      </c>
      <c r="E776" s="179">
        <v>300000</v>
      </c>
      <c r="F776" s="646">
        <f t="shared" si="47"/>
        <v>300000</v>
      </c>
      <c r="G776" s="651"/>
    </row>
    <row r="777" spans="1:21" x14ac:dyDescent="0.25">
      <c r="A777" s="167"/>
      <c r="B777" s="181" t="s">
        <v>180</v>
      </c>
      <c r="C777" s="178">
        <v>1</v>
      </c>
      <c r="D777" s="545" t="s">
        <v>381</v>
      </c>
      <c r="E777" s="179">
        <v>250000</v>
      </c>
      <c r="F777" s="646">
        <f t="shared" si="47"/>
        <v>250000</v>
      </c>
      <c r="G777" s="651"/>
    </row>
    <row r="778" spans="1:21" x14ac:dyDescent="0.25">
      <c r="A778" s="167"/>
      <c r="B778" s="181" t="s">
        <v>331</v>
      </c>
      <c r="C778" s="178">
        <v>3</v>
      </c>
      <c r="D778" s="545" t="s">
        <v>381</v>
      </c>
      <c r="E778" s="179">
        <v>200000</v>
      </c>
      <c r="F778" s="646">
        <f t="shared" si="47"/>
        <v>600000</v>
      </c>
      <c r="G778" s="651"/>
    </row>
    <row r="779" spans="1:21" ht="24" x14ac:dyDescent="0.25">
      <c r="A779" s="167" t="s">
        <v>957</v>
      </c>
      <c r="B779" s="558" t="s">
        <v>453</v>
      </c>
      <c r="C779" s="169"/>
      <c r="D779" s="170"/>
      <c r="E779" s="648"/>
      <c r="F779" s="646"/>
      <c r="G779" s="408"/>
    </row>
    <row r="780" spans="1:21" x14ac:dyDescent="0.25">
      <c r="A780" s="167" t="s">
        <v>956</v>
      </c>
      <c r="B780" s="558" t="s">
        <v>359</v>
      </c>
      <c r="C780" s="169"/>
      <c r="D780" s="170"/>
      <c r="E780" s="648"/>
      <c r="F780" s="646"/>
      <c r="G780" s="408"/>
    </row>
    <row r="781" spans="1:21" x14ac:dyDescent="0.25">
      <c r="A781" s="167"/>
      <c r="B781" s="744" t="s">
        <v>2365</v>
      </c>
      <c r="C781" s="169">
        <v>3</v>
      </c>
      <c r="D781" s="170" t="s">
        <v>381</v>
      </c>
      <c r="E781" s="648">
        <v>50000</v>
      </c>
      <c r="F781" s="646">
        <f>C781*E781</f>
        <v>150000</v>
      </c>
      <c r="G781" s="408"/>
    </row>
    <row r="782" spans="1:21" x14ac:dyDescent="0.25">
      <c r="A782" s="205"/>
      <c r="B782" s="205" t="s">
        <v>2366</v>
      </c>
      <c r="C782" s="420">
        <v>15</v>
      </c>
      <c r="D782" s="170" t="s">
        <v>381</v>
      </c>
      <c r="E782" s="978">
        <v>50000</v>
      </c>
      <c r="F782" s="978">
        <f>C782*E782</f>
        <v>750000</v>
      </c>
      <c r="G782" s="205"/>
    </row>
    <row r="783" spans="1:21" ht="24.75" x14ac:dyDescent="0.25">
      <c r="A783" s="205"/>
      <c r="B783" s="2120" t="s">
        <v>26</v>
      </c>
      <c r="C783" s="2121"/>
      <c r="D783" s="2121"/>
      <c r="E783" s="2122"/>
      <c r="F783" s="652">
        <f>SUM(F731:F782)</f>
        <v>40892000</v>
      </c>
      <c r="G783" s="410" t="s">
        <v>1775</v>
      </c>
      <c r="U783" s="23">
        <f>F783</f>
        <v>40892000</v>
      </c>
    </row>
    <row r="784" spans="1:21" x14ac:dyDescent="0.25">
      <c r="A784" s="1926" t="s">
        <v>516</v>
      </c>
      <c r="B784" s="1926"/>
      <c r="C784" s="152" t="s">
        <v>27</v>
      </c>
      <c r="D784" s="1926" t="s">
        <v>3654</v>
      </c>
      <c r="E784" s="1926"/>
      <c r="F784" s="1926"/>
      <c r="G784" s="152"/>
    </row>
    <row r="785" spans="1:7" x14ac:dyDescent="0.25">
      <c r="A785" s="1926" t="s">
        <v>28</v>
      </c>
      <c r="B785" s="1926"/>
      <c r="C785" s="152"/>
      <c r="D785" s="1927" t="s">
        <v>3570</v>
      </c>
      <c r="E785" s="1927"/>
      <c r="F785" s="1927"/>
      <c r="G785" s="152"/>
    </row>
    <row r="786" spans="1:7" x14ac:dyDescent="0.25">
      <c r="A786" s="150"/>
      <c r="B786" s="151"/>
      <c r="C786" s="152"/>
      <c r="D786" s="153"/>
      <c r="E786" s="182"/>
      <c r="F786" s="1208"/>
      <c r="G786" s="152"/>
    </row>
    <row r="787" spans="1:7" x14ac:dyDescent="0.25">
      <c r="A787" s="150"/>
      <c r="B787" s="151"/>
      <c r="C787" s="152"/>
      <c r="D787" s="153"/>
      <c r="E787" s="182"/>
      <c r="F787" s="1208"/>
      <c r="G787" s="152"/>
    </row>
    <row r="788" spans="1:7" x14ac:dyDescent="0.25">
      <c r="A788" s="1926"/>
      <c r="B788" s="1926"/>
      <c r="C788" s="152"/>
      <c r="D788" s="153"/>
      <c r="E788" s="2003"/>
      <c r="F788" s="2003"/>
      <c r="G788" s="152"/>
    </row>
    <row r="789" spans="1:7" x14ac:dyDescent="0.25">
      <c r="A789" s="1926" t="s">
        <v>29</v>
      </c>
      <c r="B789" s="1926"/>
      <c r="C789" s="152"/>
      <c r="D789" s="1926" t="s">
        <v>3548</v>
      </c>
      <c r="E789" s="1926"/>
      <c r="F789" s="1926"/>
      <c r="G789" s="152"/>
    </row>
    <row r="790" spans="1:7" x14ac:dyDescent="0.25">
      <c r="A790" s="2119" t="s">
        <v>0</v>
      </c>
      <c r="B790" s="2119"/>
      <c r="C790" s="2119"/>
      <c r="D790" s="2119"/>
      <c r="E790" s="2119"/>
      <c r="F790" s="2119"/>
      <c r="G790" s="2119"/>
    </row>
    <row r="791" spans="1:7" x14ac:dyDescent="0.25">
      <c r="A791" s="2119" t="s">
        <v>1</v>
      </c>
      <c r="B791" s="2119"/>
      <c r="C791" s="2119"/>
      <c r="D791" s="2119"/>
      <c r="E791" s="2119"/>
      <c r="F791" s="2119"/>
      <c r="G791" s="2119"/>
    </row>
    <row r="792" spans="1:7" x14ac:dyDescent="0.25">
      <c r="A792" s="2119" t="s">
        <v>2398</v>
      </c>
      <c r="B792" s="2119"/>
      <c r="C792" s="2119"/>
      <c r="D792" s="2119"/>
      <c r="E792" s="2119"/>
      <c r="F792" s="2119"/>
      <c r="G792" s="2119"/>
    </row>
    <row r="793" spans="1:7" x14ac:dyDescent="0.25">
      <c r="A793" s="637"/>
      <c r="B793" s="637"/>
      <c r="C793" s="637"/>
      <c r="D793" s="637"/>
      <c r="E793" s="637"/>
      <c r="F793" s="637"/>
      <c r="G793" s="638"/>
    </row>
    <row r="794" spans="1:7" x14ac:dyDescent="0.25">
      <c r="A794" s="226" t="s">
        <v>251</v>
      </c>
      <c r="B794" s="226" t="s">
        <v>827</v>
      </c>
      <c r="C794" s="226"/>
      <c r="D794" s="226"/>
      <c r="E794" s="154" t="s">
        <v>6</v>
      </c>
      <c r="F794" s="507" t="s">
        <v>62</v>
      </c>
      <c r="G794" s="639"/>
    </row>
    <row r="795" spans="1:7" x14ac:dyDescent="0.25">
      <c r="A795" s="226" t="s">
        <v>252</v>
      </c>
      <c r="B795" s="746" t="s">
        <v>1030</v>
      </c>
      <c r="C795" s="226"/>
      <c r="D795" s="226"/>
      <c r="E795" s="488" t="s">
        <v>482</v>
      </c>
      <c r="F795" s="508" t="s">
        <v>62</v>
      </c>
      <c r="G795" s="639"/>
    </row>
    <row r="796" spans="1:7" ht="61.5" customHeight="1" x14ac:dyDescent="0.25">
      <c r="A796" s="747" t="s">
        <v>253</v>
      </c>
      <c r="B796" s="748" t="s">
        <v>3191</v>
      </c>
      <c r="C796" s="748"/>
      <c r="D796" s="748"/>
      <c r="E796" s="228"/>
      <c r="F796" s="698"/>
      <c r="G796" s="639"/>
    </row>
    <row r="797" spans="1:7" x14ac:dyDescent="0.25">
      <c r="A797" s="190" t="s">
        <v>59</v>
      </c>
      <c r="B797" s="190" t="s">
        <v>60</v>
      </c>
      <c r="C797" s="190"/>
      <c r="D797" s="152"/>
      <c r="E797" s="152"/>
      <c r="F797" s="640"/>
      <c r="G797" s="639"/>
    </row>
    <row r="798" spans="1:7" x14ac:dyDescent="0.25">
      <c r="A798" s="190" t="s">
        <v>61</v>
      </c>
      <c r="B798" s="190" t="s">
        <v>62</v>
      </c>
      <c r="C798" s="190"/>
      <c r="D798" s="1952"/>
      <c r="E798" s="1952"/>
      <c r="F798" s="640"/>
      <c r="G798" s="639"/>
    </row>
    <row r="799" spans="1:7" ht="24" x14ac:dyDescent="0.25">
      <c r="A799" s="343" t="s">
        <v>255</v>
      </c>
      <c r="B799" s="343" t="s">
        <v>11</v>
      </c>
      <c r="C799" s="1929" t="s">
        <v>12</v>
      </c>
      <c r="D799" s="1930"/>
      <c r="E799" s="595" t="s">
        <v>13</v>
      </c>
      <c r="F799" s="344" t="s">
        <v>14</v>
      </c>
      <c r="G799" s="641" t="s">
        <v>256</v>
      </c>
    </row>
    <row r="800" spans="1:7" x14ac:dyDescent="0.25">
      <c r="A800" s="162">
        <v>1</v>
      </c>
      <c r="B800" s="162">
        <v>2</v>
      </c>
      <c r="C800" s="1959">
        <v>3</v>
      </c>
      <c r="D800" s="1960"/>
      <c r="E800" s="232">
        <v>4</v>
      </c>
      <c r="F800" s="231">
        <v>5</v>
      </c>
      <c r="G800" s="642">
        <v>6</v>
      </c>
    </row>
    <row r="801" spans="1:7" ht="60.75" customHeight="1" x14ac:dyDescent="0.25">
      <c r="A801" s="749"/>
      <c r="B801" s="576" t="s">
        <v>2367</v>
      </c>
      <c r="C801" s="545"/>
      <c r="D801" s="545"/>
      <c r="E801" s="648"/>
      <c r="F801" s="646"/>
      <c r="G801" s="410"/>
    </row>
    <row r="802" spans="1:7" x14ac:dyDescent="0.25">
      <c r="A802" s="167" t="s">
        <v>3178</v>
      </c>
      <c r="B802" s="558" t="s">
        <v>277</v>
      </c>
      <c r="C802" s="169"/>
      <c r="D802" s="170"/>
      <c r="E802" s="648"/>
      <c r="F802" s="646"/>
      <c r="G802" s="410"/>
    </row>
    <row r="803" spans="1:7" x14ac:dyDescent="0.25">
      <c r="A803" s="167" t="s">
        <v>3192</v>
      </c>
      <c r="B803" s="558" t="s">
        <v>84</v>
      </c>
      <c r="C803" s="169"/>
      <c r="D803" s="170"/>
      <c r="E803" s="648"/>
      <c r="F803" s="646"/>
      <c r="G803" s="415"/>
    </row>
    <row r="804" spans="1:7" ht="24" x14ac:dyDescent="0.25">
      <c r="A804" s="167" t="s">
        <v>3193</v>
      </c>
      <c r="B804" s="558" t="s">
        <v>931</v>
      </c>
      <c r="C804" s="169"/>
      <c r="D804" s="170"/>
      <c r="E804" s="648"/>
      <c r="F804" s="646"/>
      <c r="G804" s="415"/>
    </row>
    <row r="805" spans="1:7" ht="48" customHeight="1" x14ac:dyDescent="0.25">
      <c r="A805" s="171"/>
      <c r="B805" s="556" t="s">
        <v>2368</v>
      </c>
      <c r="C805" s="169">
        <v>480</v>
      </c>
      <c r="D805" s="545" t="s">
        <v>381</v>
      </c>
      <c r="E805" s="648">
        <v>20000</v>
      </c>
      <c r="F805" s="646">
        <f>C805*E805</f>
        <v>9600000</v>
      </c>
      <c r="G805" s="415"/>
    </row>
    <row r="806" spans="1:7" ht="36" x14ac:dyDescent="0.25">
      <c r="A806" s="171"/>
      <c r="B806" s="556" t="s">
        <v>2369</v>
      </c>
      <c r="C806" s="169">
        <f>15+2+2+5+10</f>
        <v>34</v>
      </c>
      <c r="D806" s="545" t="s">
        <v>381</v>
      </c>
      <c r="E806" s="648">
        <v>20000</v>
      </c>
      <c r="F806" s="646">
        <f>C806*E806</f>
        <v>680000</v>
      </c>
      <c r="G806" s="415"/>
    </row>
    <row r="807" spans="1:7" x14ac:dyDescent="0.25">
      <c r="A807" s="167" t="s">
        <v>3194</v>
      </c>
      <c r="B807" s="558" t="s">
        <v>930</v>
      </c>
      <c r="C807" s="169"/>
      <c r="D807" s="170"/>
      <c r="E807" s="648"/>
      <c r="F807" s="646"/>
      <c r="G807" s="415"/>
    </row>
    <row r="808" spans="1:7" x14ac:dyDescent="0.25">
      <c r="A808" s="171"/>
      <c r="B808" s="556" t="s">
        <v>2370</v>
      </c>
      <c r="C808" s="169">
        <v>17</v>
      </c>
      <c r="D808" s="170" t="s">
        <v>133</v>
      </c>
      <c r="E808" s="648">
        <v>350000</v>
      </c>
      <c r="F808" s="646">
        <f>C808*E808</f>
        <v>5950000</v>
      </c>
      <c r="G808" s="415"/>
    </row>
    <row r="809" spans="1:7" x14ac:dyDescent="0.25">
      <c r="A809" s="171"/>
      <c r="B809" s="201" t="s">
        <v>2371</v>
      </c>
      <c r="C809" s="169">
        <v>17</v>
      </c>
      <c r="D809" s="545" t="s">
        <v>381</v>
      </c>
      <c r="E809" s="648">
        <v>150000</v>
      </c>
      <c r="F809" s="646">
        <f>C809*E809</f>
        <v>2550000</v>
      </c>
      <c r="G809" s="415"/>
    </row>
    <row r="810" spans="1:7" x14ac:dyDescent="0.25">
      <c r="A810" s="167" t="s">
        <v>3181</v>
      </c>
      <c r="B810" s="558" t="s">
        <v>478</v>
      </c>
      <c r="C810" s="231"/>
      <c r="D810" s="170"/>
      <c r="E810" s="648"/>
      <c r="F810" s="646"/>
      <c r="G810" s="415"/>
    </row>
    <row r="811" spans="1:7" ht="24" x14ac:dyDescent="0.25">
      <c r="A811" s="167" t="s">
        <v>3185</v>
      </c>
      <c r="B811" s="558" t="s">
        <v>948</v>
      </c>
      <c r="C811" s="231"/>
      <c r="D811" s="170"/>
      <c r="E811" s="648"/>
      <c r="F811" s="646"/>
      <c r="G811" s="415"/>
    </row>
    <row r="812" spans="1:7" x14ac:dyDescent="0.25">
      <c r="A812" s="171"/>
      <c r="B812" s="556" t="s">
        <v>2372</v>
      </c>
      <c r="C812" s="169">
        <v>40</v>
      </c>
      <c r="D812" s="170" t="s">
        <v>392</v>
      </c>
      <c r="E812" s="648">
        <v>150000</v>
      </c>
      <c r="F812" s="646">
        <f>C812*E812</f>
        <v>6000000</v>
      </c>
      <c r="G812" s="415"/>
    </row>
    <row r="813" spans="1:7" ht="24" x14ac:dyDescent="0.25">
      <c r="A813" s="171"/>
      <c r="B813" s="350" t="s">
        <v>2373</v>
      </c>
      <c r="C813" s="169">
        <f>17*20</f>
        <v>340</v>
      </c>
      <c r="D813" s="170" t="s">
        <v>381</v>
      </c>
      <c r="E813" s="648">
        <v>50000</v>
      </c>
      <c r="F813" s="646">
        <f>C813*E813</f>
        <v>17000000</v>
      </c>
      <c r="G813" s="415"/>
    </row>
    <row r="814" spans="1:7" ht="24.75" x14ac:dyDescent="0.25">
      <c r="A814" s="167" t="s">
        <v>1026</v>
      </c>
      <c r="B814" s="386" t="s">
        <v>968</v>
      </c>
      <c r="C814" s="178"/>
      <c r="D814" s="207"/>
      <c r="E814" s="179"/>
      <c r="F814" s="646"/>
      <c r="G814" s="651"/>
    </row>
    <row r="815" spans="1:7" x14ac:dyDescent="0.25">
      <c r="A815" s="167"/>
      <c r="B815" s="181" t="s">
        <v>179</v>
      </c>
      <c r="C815" s="178">
        <v>1</v>
      </c>
      <c r="D815" s="545" t="s">
        <v>381</v>
      </c>
      <c r="E815" s="179">
        <v>300000</v>
      </c>
      <c r="F815" s="646">
        <f>C815*E815</f>
        <v>300000</v>
      </c>
      <c r="G815" s="651"/>
    </row>
    <row r="816" spans="1:7" x14ac:dyDescent="0.25">
      <c r="A816" s="167"/>
      <c r="B816" s="181" t="s">
        <v>180</v>
      </c>
      <c r="C816" s="178">
        <v>1</v>
      </c>
      <c r="D816" s="545" t="s">
        <v>381</v>
      </c>
      <c r="E816" s="179">
        <v>250000</v>
      </c>
      <c r="F816" s="646">
        <f>C816*E816</f>
        <v>250000</v>
      </c>
      <c r="G816" s="651"/>
    </row>
    <row r="817" spans="1:21" x14ac:dyDescent="0.25">
      <c r="A817" s="167"/>
      <c r="B817" s="181" t="s">
        <v>331</v>
      </c>
      <c r="C817" s="178">
        <v>3</v>
      </c>
      <c r="D817" s="545" t="s">
        <v>381</v>
      </c>
      <c r="E817" s="179">
        <v>200000</v>
      </c>
      <c r="F817" s="646">
        <f>C817*E817</f>
        <v>600000</v>
      </c>
      <c r="G817" s="651"/>
    </row>
    <row r="818" spans="1:21" ht="24" x14ac:dyDescent="0.25">
      <c r="A818" s="167" t="s">
        <v>3195</v>
      </c>
      <c r="B818" s="558" t="s">
        <v>453</v>
      </c>
      <c r="C818" s="169"/>
      <c r="D818" s="170"/>
      <c r="E818" s="648"/>
      <c r="F818" s="646"/>
      <c r="G818" s="415"/>
    </row>
    <row r="819" spans="1:21" ht="41.25" customHeight="1" x14ac:dyDescent="0.25">
      <c r="A819" s="167" t="s">
        <v>3196</v>
      </c>
      <c r="B819" s="556" t="s">
        <v>2374</v>
      </c>
      <c r="C819" s="169">
        <f>17*2</f>
        <v>34</v>
      </c>
      <c r="D819" s="170" t="s">
        <v>381</v>
      </c>
      <c r="E819" s="648">
        <v>50000</v>
      </c>
      <c r="F819" s="646">
        <f>C819*E819</f>
        <v>1700000</v>
      </c>
      <c r="G819" s="415"/>
    </row>
    <row r="820" spans="1:21" x14ac:dyDescent="0.25">
      <c r="A820" s="493"/>
      <c r="B820" s="493"/>
      <c r="C820" s="751"/>
      <c r="D820" s="492"/>
      <c r="E820" s="493"/>
      <c r="F820" s="493"/>
      <c r="G820" s="205"/>
    </row>
    <row r="821" spans="1:21" ht="24.75" x14ac:dyDescent="0.25">
      <c r="A821" s="493"/>
      <c r="B821" s="2116" t="s">
        <v>26</v>
      </c>
      <c r="C821" s="2117"/>
      <c r="D821" s="2117"/>
      <c r="E821" s="2118"/>
      <c r="F821" s="423">
        <f>SUM(F805:F820)</f>
        <v>44630000</v>
      </c>
      <c r="G821" s="410" t="s">
        <v>1775</v>
      </c>
      <c r="L821" s="23"/>
      <c r="U821" s="23">
        <f>F821</f>
        <v>44630000</v>
      </c>
    </row>
    <row r="822" spans="1:21" x14ac:dyDescent="0.25">
      <c r="A822" s="1926" t="s">
        <v>516</v>
      </c>
      <c r="B822" s="1926"/>
      <c r="C822" s="152" t="s">
        <v>27</v>
      </c>
      <c r="D822" s="1926" t="s">
        <v>3654</v>
      </c>
      <c r="E822" s="1926"/>
      <c r="F822" s="1926"/>
      <c r="G822" s="152"/>
    </row>
    <row r="823" spans="1:21" x14ac:dyDescent="0.25">
      <c r="A823" s="1926" t="s">
        <v>28</v>
      </c>
      <c r="B823" s="1926"/>
      <c r="C823" s="152"/>
      <c r="D823" s="1927" t="s">
        <v>3570</v>
      </c>
      <c r="E823" s="1927"/>
      <c r="F823" s="1927"/>
      <c r="G823" s="152"/>
    </row>
    <row r="824" spans="1:21" x14ac:dyDescent="0.25">
      <c r="A824" s="150"/>
      <c r="B824" s="151"/>
      <c r="C824" s="152"/>
      <c r="D824" s="153"/>
      <c r="E824" s="182"/>
      <c r="F824" s="1208"/>
      <c r="G824" s="152"/>
    </row>
    <row r="825" spans="1:21" x14ac:dyDescent="0.25">
      <c r="A825" s="150"/>
      <c r="B825" s="151"/>
      <c r="C825" s="152"/>
      <c r="D825" s="153"/>
      <c r="E825" s="182"/>
      <c r="F825" s="1208"/>
      <c r="G825" s="152"/>
    </row>
    <row r="826" spans="1:21" x14ac:dyDescent="0.25">
      <c r="A826" s="1926"/>
      <c r="B826" s="1926"/>
      <c r="C826" s="152"/>
      <c r="D826" s="153"/>
      <c r="E826" s="2003"/>
      <c r="F826" s="2003"/>
      <c r="G826" s="152"/>
    </row>
    <row r="827" spans="1:21" x14ac:dyDescent="0.25">
      <c r="A827" s="1926" t="s">
        <v>29</v>
      </c>
      <c r="B827" s="1926"/>
      <c r="C827" s="152"/>
      <c r="D827" s="1926" t="s">
        <v>3548</v>
      </c>
      <c r="E827" s="1926"/>
      <c r="F827" s="1926"/>
      <c r="G827" s="152"/>
    </row>
    <row r="828" spans="1:21" x14ac:dyDescent="0.25">
      <c r="C828" s="75"/>
      <c r="D828" s="75"/>
    </row>
    <row r="829" spans="1:21" x14ac:dyDescent="0.25">
      <c r="F829" s="23"/>
    </row>
    <row r="830" spans="1:21" x14ac:dyDescent="0.25">
      <c r="A830" s="1947" t="s">
        <v>0</v>
      </c>
      <c r="B830" s="1947"/>
      <c r="C830" s="1947"/>
      <c r="D830" s="1947"/>
      <c r="E830" s="1947"/>
      <c r="F830" s="1947"/>
      <c r="G830" s="1947"/>
    </row>
    <row r="831" spans="1:21" x14ac:dyDescent="0.25">
      <c r="A831" s="1947" t="s">
        <v>1</v>
      </c>
      <c r="B831" s="1947"/>
      <c r="C831" s="1947"/>
      <c r="D831" s="1947"/>
      <c r="E831" s="1947"/>
      <c r="F831" s="1947"/>
      <c r="G831" s="1947"/>
    </row>
    <row r="832" spans="1:21" x14ac:dyDescent="0.25">
      <c r="A832" s="1947" t="s">
        <v>2398</v>
      </c>
      <c r="B832" s="1947"/>
      <c r="C832" s="1947"/>
      <c r="D832" s="1947"/>
      <c r="E832" s="1947"/>
      <c r="F832" s="1947"/>
      <c r="G832" s="1947"/>
    </row>
    <row r="833" spans="1:7" x14ac:dyDescent="0.25">
      <c r="A833" s="148"/>
      <c r="B833" s="148"/>
      <c r="C833" s="148"/>
      <c r="D833" s="148"/>
      <c r="E833" s="148"/>
      <c r="F833" s="148"/>
      <c r="G833" s="504"/>
    </row>
    <row r="834" spans="1:7" x14ac:dyDescent="0.25">
      <c r="A834" s="633" t="s">
        <v>458</v>
      </c>
      <c r="B834" s="633" t="s">
        <v>827</v>
      </c>
      <c r="C834" s="633"/>
      <c r="D834" s="182"/>
      <c r="E834" s="152"/>
      <c r="F834" s="182"/>
      <c r="G834" s="405"/>
    </row>
    <row r="835" spans="1:7" x14ac:dyDescent="0.25">
      <c r="A835" s="634" t="s">
        <v>837</v>
      </c>
      <c r="B835" s="189" t="s">
        <v>1318</v>
      </c>
      <c r="C835" s="189"/>
      <c r="D835" s="184"/>
      <c r="E835" s="154" t="s">
        <v>6</v>
      </c>
      <c r="F835" s="154"/>
      <c r="G835" s="405"/>
    </row>
    <row r="836" spans="1:7" x14ac:dyDescent="0.25">
      <c r="A836" s="634" t="s">
        <v>839</v>
      </c>
      <c r="B836" s="635" t="s">
        <v>1309</v>
      </c>
      <c r="C836" s="635"/>
      <c r="D836" s="184"/>
      <c r="E836" s="488" t="s">
        <v>9</v>
      </c>
      <c r="F836" s="488"/>
      <c r="G836" s="405"/>
    </row>
    <row r="837" spans="1:7" x14ac:dyDescent="0.25">
      <c r="A837" s="190" t="s">
        <v>59</v>
      </c>
      <c r="B837" s="190" t="s">
        <v>60</v>
      </c>
      <c r="C837" s="190"/>
      <c r="D837" s="152"/>
      <c r="E837" s="152"/>
      <c r="F837" s="152"/>
      <c r="G837" s="405"/>
    </row>
    <row r="838" spans="1:7" x14ac:dyDescent="0.25">
      <c r="A838" s="190" t="s">
        <v>61</v>
      </c>
      <c r="B838" s="190" t="s">
        <v>432</v>
      </c>
      <c r="C838" s="190"/>
      <c r="D838" s="1952"/>
      <c r="E838" s="1952"/>
      <c r="F838" s="152"/>
      <c r="G838" s="405"/>
    </row>
    <row r="839" spans="1:7" x14ac:dyDescent="0.25">
      <c r="A839" s="151"/>
      <c r="B839" s="151"/>
      <c r="C839" s="151"/>
      <c r="D839" s="151"/>
      <c r="E839" s="151"/>
      <c r="F839" s="151"/>
      <c r="G839" s="405"/>
    </row>
    <row r="840" spans="1:7" ht="24" x14ac:dyDescent="0.25">
      <c r="A840" s="162" t="s">
        <v>255</v>
      </c>
      <c r="B840" s="162" t="s">
        <v>11</v>
      </c>
      <c r="C840" s="1958" t="s">
        <v>12</v>
      </c>
      <c r="D840" s="1958"/>
      <c r="E840" s="230" t="s">
        <v>13</v>
      </c>
      <c r="F840" s="231" t="s">
        <v>14</v>
      </c>
      <c r="G840" s="415" t="s">
        <v>256</v>
      </c>
    </row>
    <row r="841" spans="1:7" x14ac:dyDescent="0.25">
      <c r="A841" s="162">
        <v>1</v>
      </c>
      <c r="B841" s="162">
        <v>2</v>
      </c>
      <c r="C841" s="1959">
        <v>3</v>
      </c>
      <c r="D841" s="1960"/>
      <c r="E841" s="232">
        <v>4</v>
      </c>
      <c r="F841" s="231">
        <v>5</v>
      </c>
      <c r="G841" s="979">
        <v>6</v>
      </c>
    </row>
    <row r="842" spans="1:7" x14ac:dyDescent="0.25">
      <c r="A842" s="176" t="s">
        <v>1310</v>
      </c>
      <c r="B842" s="463" t="s">
        <v>277</v>
      </c>
      <c r="C842" s="169"/>
      <c r="D842" s="170"/>
      <c r="E842" s="2"/>
      <c r="F842" s="161"/>
      <c r="G842" s="410"/>
    </row>
    <row r="843" spans="1:7" x14ac:dyDescent="0.25">
      <c r="A843" s="176" t="s">
        <v>1311</v>
      </c>
      <c r="B843" s="463" t="s">
        <v>84</v>
      </c>
      <c r="C843" s="169"/>
      <c r="D843" s="170"/>
      <c r="E843" s="2"/>
      <c r="F843" s="161"/>
      <c r="G843" s="410"/>
    </row>
    <row r="844" spans="1:7" ht="24" x14ac:dyDescent="0.25">
      <c r="A844" s="176" t="s">
        <v>1312</v>
      </c>
      <c r="B844" s="463" t="s">
        <v>307</v>
      </c>
      <c r="C844" s="169"/>
      <c r="D844" s="170"/>
      <c r="E844" s="537"/>
      <c r="F844" s="537">
        <f t="shared" ref="F844:F853" si="48">C844*E844</f>
        <v>0</v>
      </c>
      <c r="G844" s="410"/>
    </row>
    <row r="845" spans="1:7" x14ac:dyDescent="0.25">
      <c r="A845" s="176"/>
      <c r="B845" s="465" t="s">
        <v>1250</v>
      </c>
      <c r="C845" s="169">
        <v>45</v>
      </c>
      <c r="D845" s="170" t="s">
        <v>269</v>
      </c>
      <c r="E845" s="537">
        <v>20000</v>
      </c>
      <c r="F845" s="537">
        <f t="shared" si="48"/>
        <v>900000</v>
      </c>
      <c r="G845" s="410"/>
    </row>
    <row r="846" spans="1:7" ht="24" x14ac:dyDescent="0.25">
      <c r="A846" s="176"/>
      <c r="B846" s="465" t="s">
        <v>1691</v>
      </c>
      <c r="C846" s="169">
        <f>45*12</f>
        <v>540</v>
      </c>
      <c r="D846" s="170" t="s">
        <v>269</v>
      </c>
      <c r="E846" s="537">
        <v>20000</v>
      </c>
      <c r="F846" s="537">
        <f t="shared" si="48"/>
        <v>10800000</v>
      </c>
      <c r="G846" s="410"/>
    </row>
    <row r="847" spans="1:7" ht="24" x14ac:dyDescent="0.25">
      <c r="A847" s="176" t="s">
        <v>1313</v>
      </c>
      <c r="B847" s="463" t="s">
        <v>325</v>
      </c>
      <c r="C847" s="169"/>
      <c r="D847" s="170"/>
      <c r="E847" s="537"/>
      <c r="F847" s="537">
        <f t="shared" si="48"/>
        <v>0</v>
      </c>
      <c r="G847" s="410"/>
    </row>
    <row r="848" spans="1:7" x14ac:dyDescent="0.25">
      <c r="A848" s="176"/>
      <c r="B848" s="465" t="s">
        <v>326</v>
      </c>
      <c r="C848" s="169">
        <v>1</v>
      </c>
      <c r="D848" s="170" t="s">
        <v>93</v>
      </c>
      <c r="E848" s="537">
        <v>200000</v>
      </c>
      <c r="F848" s="537">
        <f t="shared" si="48"/>
        <v>200000</v>
      </c>
      <c r="G848" s="410"/>
    </row>
    <row r="849" spans="1:11" x14ac:dyDescent="0.25">
      <c r="A849" s="176" t="s">
        <v>1538</v>
      </c>
      <c r="B849" s="463" t="s">
        <v>1539</v>
      </c>
      <c r="C849" s="169"/>
      <c r="D849" s="170"/>
      <c r="E849" s="537"/>
      <c r="F849" s="537"/>
      <c r="G849" s="410"/>
    </row>
    <row r="850" spans="1:11" x14ac:dyDescent="0.25">
      <c r="A850" s="176"/>
      <c r="B850" s="465" t="s">
        <v>1540</v>
      </c>
      <c r="C850" s="169">
        <v>42</v>
      </c>
      <c r="D850" s="170" t="s">
        <v>93</v>
      </c>
      <c r="E850" s="537">
        <v>200000</v>
      </c>
      <c r="F850" s="537">
        <f>E850*C850</f>
        <v>8400000</v>
      </c>
      <c r="G850" s="410"/>
    </row>
    <row r="851" spans="1:11" x14ac:dyDescent="0.25">
      <c r="A851" s="176" t="s">
        <v>1314</v>
      </c>
      <c r="B851" s="463" t="s">
        <v>349</v>
      </c>
      <c r="C851" s="178"/>
      <c r="D851" s="362"/>
      <c r="E851" s="388"/>
      <c r="F851" s="537">
        <f t="shared" si="48"/>
        <v>0</v>
      </c>
      <c r="G851" s="410"/>
    </row>
    <row r="852" spans="1:11" ht="24" x14ac:dyDescent="0.25">
      <c r="A852" s="176" t="s">
        <v>1315</v>
      </c>
      <c r="B852" s="463" t="s">
        <v>1316</v>
      </c>
      <c r="C852" s="178"/>
      <c r="D852" s="362"/>
      <c r="E852" s="388"/>
      <c r="F852" s="537">
        <f t="shared" si="48"/>
        <v>0</v>
      </c>
      <c r="G852" s="410"/>
    </row>
    <row r="853" spans="1:11" x14ac:dyDescent="0.25">
      <c r="A853" s="163"/>
      <c r="B853" s="201" t="s">
        <v>3264</v>
      </c>
      <c r="C853" s="178">
        <v>1</v>
      </c>
      <c r="D853" s="207" t="s">
        <v>392</v>
      </c>
      <c r="E853" s="752">
        <v>300000</v>
      </c>
      <c r="F853" s="141">
        <f t="shared" si="48"/>
        <v>300000</v>
      </c>
      <c r="G853" s="979"/>
    </row>
    <row r="854" spans="1:11" x14ac:dyDescent="0.25">
      <c r="A854" s="176"/>
      <c r="B854" s="181"/>
      <c r="C854" s="178"/>
      <c r="D854" s="362"/>
      <c r="E854" s="179"/>
      <c r="F854" s="324"/>
      <c r="G854" s="410"/>
    </row>
    <row r="855" spans="1:11" x14ac:dyDescent="0.25">
      <c r="A855" s="181"/>
      <c r="B855" s="2104" t="s">
        <v>26</v>
      </c>
      <c r="C855" s="2105"/>
      <c r="D855" s="2105"/>
      <c r="E855" s="2106"/>
      <c r="F855" s="401">
        <f>SUM(F845:F853)</f>
        <v>20600000</v>
      </c>
      <c r="G855" s="410" t="s">
        <v>1220</v>
      </c>
      <c r="K855" s="23">
        <f>F855</f>
        <v>20600000</v>
      </c>
    </row>
    <row r="856" spans="1:11" x14ac:dyDescent="0.25">
      <c r="A856" s="1926" t="s">
        <v>516</v>
      </c>
      <c r="B856" s="1926"/>
      <c r="C856" s="152" t="s">
        <v>27</v>
      </c>
      <c r="D856" s="1926" t="s">
        <v>3654</v>
      </c>
      <c r="E856" s="1926"/>
      <c r="F856" s="1926"/>
      <c r="G856" s="152"/>
    </row>
    <row r="857" spans="1:11" x14ac:dyDescent="0.25">
      <c r="A857" s="1926" t="s">
        <v>28</v>
      </c>
      <c r="B857" s="1926"/>
      <c r="C857" s="152"/>
      <c r="D857" s="1927" t="s">
        <v>3570</v>
      </c>
      <c r="E857" s="1927"/>
      <c r="F857" s="1927"/>
      <c r="G857" s="152"/>
    </row>
    <row r="858" spans="1:11" x14ac:dyDescent="0.25">
      <c r="A858" s="150"/>
      <c r="B858" s="151"/>
      <c r="C858" s="152"/>
      <c r="D858" s="153"/>
      <c r="E858" s="182"/>
      <c r="F858" s="1208"/>
      <c r="G858" s="152"/>
    </row>
    <row r="859" spans="1:11" x14ac:dyDescent="0.25">
      <c r="A859" s="150"/>
      <c r="B859" s="151"/>
      <c r="C859" s="152"/>
      <c r="D859" s="153"/>
      <c r="E859" s="182"/>
      <c r="F859" s="1208"/>
      <c r="G859" s="152"/>
    </row>
    <row r="860" spans="1:11" x14ac:dyDescent="0.25">
      <c r="A860" s="1926"/>
      <c r="B860" s="1926"/>
      <c r="C860" s="152"/>
      <c r="D860" s="153"/>
      <c r="E860" s="2003"/>
      <c r="F860" s="2003"/>
      <c r="G860" s="152"/>
    </row>
    <row r="861" spans="1:11" x14ac:dyDescent="0.25">
      <c r="A861" s="1926" t="s">
        <v>29</v>
      </c>
      <c r="B861" s="1926"/>
      <c r="C861" s="152"/>
      <c r="D861" s="1926" t="s">
        <v>3548</v>
      </c>
      <c r="E861" s="1926"/>
      <c r="F861" s="1926"/>
      <c r="G861" s="152"/>
    </row>
    <row r="862" spans="1:11" x14ac:dyDescent="0.25">
      <c r="A862" s="1947" t="s">
        <v>0</v>
      </c>
      <c r="B862" s="1947"/>
      <c r="C862" s="1947"/>
      <c r="D862" s="1947"/>
      <c r="E862" s="1947"/>
      <c r="F862" s="1947"/>
      <c r="G862" s="1947"/>
    </row>
    <row r="863" spans="1:11" x14ac:dyDescent="0.25">
      <c r="A863" s="1947" t="s">
        <v>1</v>
      </c>
      <c r="B863" s="1947"/>
      <c r="C863" s="1947"/>
      <c r="D863" s="1947"/>
      <c r="E863" s="1947"/>
      <c r="F863" s="1947"/>
      <c r="G863" s="1947"/>
    </row>
    <row r="864" spans="1:11" x14ac:dyDescent="0.25">
      <c r="A864" s="1947" t="s">
        <v>2398</v>
      </c>
      <c r="B864" s="1947"/>
      <c r="C864" s="1947"/>
      <c r="D864" s="1947"/>
      <c r="E864" s="1947"/>
      <c r="F864" s="1947"/>
      <c r="G864" s="1947"/>
    </row>
    <row r="865" spans="1:7" x14ac:dyDescent="0.25">
      <c r="A865" s="148"/>
      <c r="B865" s="148"/>
      <c r="C865" s="148"/>
      <c r="D865" s="148"/>
      <c r="E865" s="148"/>
      <c r="F865" s="148"/>
      <c r="G865" s="504"/>
    </row>
    <row r="866" spans="1:7" x14ac:dyDescent="0.25">
      <c r="A866" s="633" t="s">
        <v>458</v>
      </c>
      <c r="B866" s="633" t="s">
        <v>827</v>
      </c>
      <c r="C866" s="633"/>
      <c r="D866" s="182"/>
      <c r="E866" s="152"/>
      <c r="F866" s="182"/>
      <c r="G866" s="405"/>
    </row>
    <row r="867" spans="1:7" x14ac:dyDescent="0.25">
      <c r="A867" s="634" t="s">
        <v>837</v>
      </c>
      <c r="B867" s="189" t="s">
        <v>1318</v>
      </c>
      <c r="C867" s="189"/>
      <c r="D867" s="184"/>
      <c r="E867" s="154" t="s">
        <v>6</v>
      </c>
      <c r="F867" s="154"/>
      <c r="G867" s="405"/>
    </row>
    <row r="868" spans="1:7" ht="25.5" x14ac:dyDescent="0.25">
      <c r="A868" s="634" t="s">
        <v>839</v>
      </c>
      <c r="B868" s="635" t="s">
        <v>2645</v>
      </c>
      <c r="C868" s="635"/>
      <c r="D868" s="184"/>
      <c r="E868" s="488" t="s">
        <v>9</v>
      </c>
      <c r="F868" s="488"/>
      <c r="G868" s="405"/>
    </row>
    <row r="869" spans="1:7" x14ac:dyDescent="0.25">
      <c r="A869" s="190" t="s">
        <v>59</v>
      </c>
      <c r="B869" s="190" t="s">
        <v>60</v>
      </c>
      <c r="C869" s="190"/>
      <c r="D869" s="152"/>
      <c r="E869" s="152"/>
      <c r="F869" s="152"/>
      <c r="G869" s="405"/>
    </row>
    <row r="870" spans="1:7" x14ac:dyDescent="0.25">
      <c r="A870" s="190" t="s">
        <v>61</v>
      </c>
      <c r="B870" s="190" t="s">
        <v>432</v>
      </c>
      <c r="C870" s="190"/>
      <c r="D870" s="1952"/>
      <c r="E870" s="1952"/>
      <c r="F870" s="152"/>
      <c r="G870" s="405"/>
    </row>
    <row r="871" spans="1:7" x14ac:dyDescent="0.25">
      <c r="A871" s="151"/>
      <c r="B871" s="151"/>
      <c r="C871" s="151"/>
      <c r="D871" s="151"/>
      <c r="E871" s="151"/>
      <c r="F871" s="151"/>
      <c r="G871" s="405"/>
    </row>
    <row r="872" spans="1:7" ht="24" x14ac:dyDescent="0.25">
      <c r="A872" s="162" t="s">
        <v>255</v>
      </c>
      <c r="B872" s="162" t="s">
        <v>11</v>
      </c>
      <c r="C872" s="1958" t="s">
        <v>12</v>
      </c>
      <c r="D872" s="1958"/>
      <c r="E872" s="230" t="s">
        <v>13</v>
      </c>
      <c r="F872" s="231" t="s">
        <v>14</v>
      </c>
      <c r="G872" s="415" t="s">
        <v>256</v>
      </c>
    </row>
    <row r="873" spans="1:7" x14ac:dyDescent="0.25">
      <c r="A873" s="162">
        <v>1</v>
      </c>
      <c r="B873" s="162">
        <v>2</v>
      </c>
      <c r="C873" s="1959">
        <v>3</v>
      </c>
      <c r="D873" s="1960"/>
      <c r="E873" s="232">
        <v>4</v>
      </c>
      <c r="F873" s="231">
        <v>5</v>
      </c>
      <c r="G873" s="979">
        <v>6</v>
      </c>
    </row>
    <row r="874" spans="1:7" x14ac:dyDescent="0.25">
      <c r="A874" s="176" t="s">
        <v>1310</v>
      </c>
      <c r="B874" s="463" t="s">
        <v>277</v>
      </c>
      <c r="C874" s="169"/>
      <c r="D874" s="170"/>
      <c r="E874" s="2"/>
      <c r="F874" s="161"/>
      <c r="G874" s="410"/>
    </row>
    <row r="875" spans="1:7" x14ac:dyDescent="0.25">
      <c r="A875" s="176" t="s">
        <v>1311</v>
      </c>
      <c r="B875" s="463" t="s">
        <v>84</v>
      </c>
      <c r="C875" s="169"/>
      <c r="D875" s="170"/>
      <c r="E875" s="2"/>
      <c r="F875" s="161"/>
      <c r="G875" s="410"/>
    </row>
    <row r="876" spans="1:7" ht="24" x14ac:dyDescent="0.25">
      <c r="A876" s="176" t="s">
        <v>1312</v>
      </c>
      <c r="B876" s="463" t="s">
        <v>307</v>
      </c>
      <c r="C876" s="169"/>
      <c r="D876" s="170"/>
      <c r="E876" s="537"/>
      <c r="F876" s="537">
        <f t="shared" ref="F876:F879" si="49">C876*E876</f>
        <v>0</v>
      </c>
      <c r="G876" s="410"/>
    </row>
    <row r="877" spans="1:7" ht="24" x14ac:dyDescent="0.25">
      <c r="A877" s="176"/>
      <c r="B877" s="465" t="s">
        <v>2646</v>
      </c>
      <c r="C877" s="169">
        <f>42+3+2</f>
        <v>47</v>
      </c>
      <c r="D877" s="170" t="s">
        <v>269</v>
      </c>
      <c r="E877" s="537">
        <v>20000</v>
      </c>
      <c r="F877" s="537">
        <f t="shared" si="49"/>
        <v>940000</v>
      </c>
      <c r="G877" s="410"/>
    </row>
    <row r="878" spans="1:7" ht="24" x14ac:dyDescent="0.25">
      <c r="A878" s="176" t="s">
        <v>1313</v>
      </c>
      <c r="B878" s="463" t="s">
        <v>325</v>
      </c>
      <c r="C878" s="169"/>
      <c r="D878" s="170"/>
      <c r="E878" s="537"/>
      <c r="F878" s="537">
        <f t="shared" si="49"/>
        <v>0</v>
      </c>
      <c r="G878" s="410"/>
    </row>
    <row r="879" spans="1:7" x14ac:dyDescent="0.25">
      <c r="A879" s="176"/>
      <c r="B879" s="465" t="s">
        <v>326</v>
      </c>
      <c r="C879" s="169">
        <v>1</v>
      </c>
      <c r="D879" s="170" t="s">
        <v>93</v>
      </c>
      <c r="E879" s="537">
        <v>200000</v>
      </c>
      <c r="F879" s="537">
        <f t="shared" si="49"/>
        <v>200000</v>
      </c>
      <c r="G879" s="410"/>
    </row>
    <row r="880" spans="1:7" x14ac:dyDescent="0.25">
      <c r="A880" s="176" t="s">
        <v>1538</v>
      </c>
      <c r="B880" s="463" t="s">
        <v>1539</v>
      </c>
      <c r="C880" s="169"/>
      <c r="D880" s="170"/>
      <c r="E880" s="537"/>
      <c r="F880" s="537"/>
      <c r="G880" s="410"/>
    </row>
    <row r="881" spans="1:11" x14ac:dyDescent="0.25">
      <c r="A881" s="176"/>
      <c r="B881" s="465" t="s">
        <v>1540</v>
      </c>
      <c r="C881" s="169">
        <v>42</v>
      </c>
      <c r="D881" s="170" t="s">
        <v>93</v>
      </c>
      <c r="E881" s="537">
        <v>200000</v>
      </c>
      <c r="F881" s="537">
        <f>E881*C881</f>
        <v>8400000</v>
      </c>
      <c r="G881" s="410"/>
    </row>
    <row r="882" spans="1:11" x14ac:dyDescent="0.25">
      <c r="A882" s="176" t="s">
        <v>1314</v>
      </c>
      <c r="B882" s="463" t="s">
        <v>349</v>
      </c>
      <c r="C882" s="178"/>
      <c r="D882" s="362"/>
      <c r="E882" s="388"/>
      <c r="F882" s="537">
        <f t="shared" ref="F882:F884" si="50">C882*E882</f>
        <v>0</v>
      </c>
      <c r="G882" s="410"/>
    </row>
    <row r="883" spans="1:11" ht="24" x14ac:dyDescent="0.25">
      <c r="A883" s="176" t="s">
        <v>1315</v>
      </c>
      <c r="B883" s="463" t="s">
        <v>1316</v>
      </c>
      <c r="C883" s="178"/>
      <c r="D883" s="362"/>
      <c r="E883" s="388"/>
      <c r="F883" s="537">
        <f t="shared" si="50"/>
        <v>0</v>
      </c>
      <c r="G883" s="410"/>
    </row>
    <row r="884" spans="1:11" ht="24" x14ac:dyDescent="0.25">
      <c r="A884" s="163"/>
      <c r="B884" s="201" t="s">
        <v>1317</v>
      </c>
      <c r="C884" s="178">
        <v>1</v>
      </c>
      <c r="D884" s="207" t="s">
        <v>392</v>
      </c>
      <c r="E884" s="752">
        <v>300000</v>
      </c>
      <c r="F884" s="141">
        <f t="shared" si="50"/>
        <v>300000</v>
      </c>
      <c r="G884" s="979"/>
    </row>
    <row r="885" spans="1:11" x14ac:dyDescent="0.25">
      <c r="A885" s="181"/>
      <c r="B885" s="2104" t="s">
        <v>26</v>
      </c>
      <c r="C885" s="2105"/>
      <c r="D885" s="2105"/>
      <c r="E885" s="2106"/>
      <c r="F885" s="401">
        <f>SUM(F877:F884)</f>
        <v>9840000</v>
      </c>
      <c r="G885" s="410" t="s">
        <v>1220</v>
      </c>
      <c r="K885" s="23">
        <f>F885</f>
        <v>9840000</v>
      </c>
    </row>
    <row r="886" spans="1:11" x14ac:dyDescent="0.25">
      <c r="A886" s="1926" t="s">
        <v>516</v>
      </c>
      <c r="B886" s="1926"/>
      <c r="C886" s="152" t="s">
        <v>27</v>
      </c>
      <c r="D886" s="1926" t="s">
        <v>3654</v>
      </c>
      <c r="E886" s="1926"/>
      <c r="F886" s="1926"/>
      <c r="G886" s="152"/>
    </row>
    <row r="887" spans="1:11" x14ac:dyDescent="0.25">
      <c r="A887" s="1926" t="s">
        <v>28</v>
      </c>
      <c r="B887" s="1926"/>
      <c r="C887" s="152"/>
      <c r="D887" s="1927" t="s">
        <v>3570</v>
      </c>
      <c r="E887" s="1927"/>
      <c r="F887" s="1927"/>
      <c r="G887" s="152"/>
    </row>
    <row r="888" spans="1:11" x14ac:dyDescent="0.25">
      <c r="A888" s="150"/>
      <c r="B888" s="151"/>
      <c r="C888" s="152"/>
      <c r="D888" s="153"/>
      <c r="E888" s="182"/>
      <c r="F888" s="1208"/>
      <c r="G888" s="152"/>
    </row>
    <row r="889" spans="1:11" x14ac:dyDescent="0.25">
      <c r="A889" s="150"/>
      <c r="B889" s="151"/>
      <c r="C889" s="152"/>
      <c r="D889" s="153"/>
      <c r="E889" s="182"/>
      <c r="F889" s="1208"/>
      <c r="G889" s="152"/>
    </row>
    <row r="890" spans="1:11" x14ac:dyDescent="0.25">
      <c r="A890" s="1926"/>
      <c r="B890" s="1926"/>
      <c r="C890" s="152"/>
      <c r="D890" s="153"/>
      <c r="E890" s="2003"/>
      <c r="F890" s="2003"/>
      <c r="G890" s="152"/>
    </row>
    <row r="891" spans="1:11" x14ac:dyDescent="0.25">
      <c r="A891" s="1926" t="s">
        <v>29</v>
      </c>
      <c r="B891" s="1926"/>
      <c r="C891" s="152"/>
      <c r="D891" s="1926" t="s">
        <v>3548</v>
      </c>
      <c r="E891" s="1926"/>
      <c r="F891" s="1926"/>
      <c r="G891" s="152"/>
    </row>
    <row r="892" spans="1:11" x14ac:dyDescent="0.25">
      <c r="A892" s="1947" t="s">
        <v>0</v>
      </c>
      <c r="B892" s="1947"/>
      <c r="C892" s="1947"/>
      <c r="D892" s="1947"/>
      <c r="E892" s="1947"/>
      <c r="F892" s="1947"/>
      <c r="G892" s="504"/>
    </row>
    <row r="893" spans="1:11" x14ac:dyDescent="0.25">
      <c r="A893" s="1947" t="s">
        <v>1</v>
      </c>
      <c r="B893" s="1947"/>
      <c r="C893" s="1947"/>
      <c r="D893" s="1947"/>
      <c r="E893" s="1947"/>
      <c r="F893" s="1947"/>
      <c r="G893" s="504"/>
    </row>
    <row r="894" spans="1:11" x14ac:dyDescent="0.25">
      <c r="A894" s="2158" t="s">
        <v>2398</v>
      </c>
      <c r="B894" s="2158"/>
      <c r="C894" s="2158"/>
      <c r="D894" s="2158"/>
      <c r="E894" s="2158"/>
      <c r="F894" s="2158"/>
      <c r="G894" s="504"/>
    </row>
    <row r="895" spans="1:11" x14ac:dyDescent="0.25">
      <c r="A895" s="149" t="s">
        <v>458</v>
      </c>
      <c r="B895" s="149" t="s">
        <v>900</v>
      </c>
      <c r="C895" s="149"/>
      <c r="D895" s="149"/>
      <c r="E895" s="191" t="s">
        <v>6</v>
      </c>
      <c r="F895" s="191"/>
      <c r="G895" s="753"/>
    </row>
    <row r="896" spans="1:11" x14ac:dyDescent="0.25">
      <c r="A896" s="716" t="s">
        <v>459</v>
      </c>
      <c r="B896" s="340" t="s">
        <v>901</v>
      </c>
      <c r="C896" s="149"/>
      <c r="D896" s="149"/>
      <c r="E896" s="157" t="s">
        <v>9</v>
      </c>
      <c r="F896" s="149"/>
      <c r="G896" s="381"/>
    </row>
    <row r="897" spans="1:14" ht="36" x14ac:dyDescent="0.25">
      <c r="A897" s="716" t="s">
        <v>460</v>
      </c>
      <c r="B897" s="460" t="s">
        <v>902</v>
      </c>
      <c r="C897" s="460"/>
      <c r="D897" s="149"/>
      <c r="E897" s="149"/>
      <c r="F897" s="149"/>
      <c r="G897" s="381"/>
    </row>
    <row r="898" spans="1:14" x14ac:dyDescent="0.25">
      <c r="A898" s="149" t="s">
        <v>886</v>
      </c>
      <c r="B898" s="149" t="s">
        <v>60</v>
      </c>
      <c r="C898" s="149"/>
      <c r="D898" s="149"/>
      <c r="E898" s="149"/>
      <c r="F898" s="149"/>
      <c r="G898" s="381"/>
    </row>
    <row r="899" spans="1:14" x14ac:dyDescent="0.25">
      <c r="A899" s="149" t="s">
        <v>61</v>
      </c>
      <c r="B899" s="149" t="s">
        <v>62</v>
      </c>
      <c r="C899" s="149"/>
      <c r="D899" s="340"/>
      <c r="E899" s="382"/>
      <c r="F899" s="149"/>
      <c r="G899" s="381"/>
    </row>
    <row r="900" spans="1:14" ht="24" x14ac:dyDescent="0.25">
      <c r="A900" s="162" t="s">
        <v>30</v>
      </c>
      <c r="B900" s="162" t="s">
        <v>11</v>
      </c>
      <c r="C900" s="1959" t="s">
        <v>12</v>
      </c>
      <c r="D900" s="1960"/>
      <c r="E900" s="395" t="s">
        <v>13</v>
      </c>
      <c r="F900" s="231" t="s">
        <v>14</v>
      </c>
      <c r="G900" s="408" t="s">
        <v>34</v>
      </c>
    </row>
    <row r="901" spans="1:14" x14ac:dyDescent="0.25">
      <c r="A901" s="161">
        <v>1</v>
      </c>
      <c r="B901" s="161">
        <v>2</v>
      </c>
      <c r="C901" s="1931">
        <v>3</v>
      </c>
      <c r="D901" s="1932"/>
      <c r="E901" s="396">
        <v>4</v>
      </c>
      <c r="F901" s="169">
        <v>5</v>
      </c>
      <c r="G901" s="397">
        <v>6</v>
      </c>
    </row>
    <row r="902" spans="1:14" x14ac:dyDescent="0.25">
      <c r="A902" s="346" t="s">
        <v>3400</v>
      </c>
      <c r="B902" s="559" t="s">
        <v>304</v>
      </c>
      <c r="C902" s="169"/>
      <c r="D902" s="170"/>
      <c r="E902" s="396"/>
      <c r="F902" s="169"/>
      <c r="G902" s="397"/>
    </row>
    <row r="903" spans="1:14" ht="24" x14ac:dyDescent="0.25">
      <c r="A903" s="346" t="s">
        <v>1361</v>
      </c>
      <c r="B903" s="558" t="s">
        <v>453</v>
      </c>
      <c r="C903" s="371"/>
      <c r="D903" s="372"/>
      <c r="E903" s="165"/>
      <c r="F903" s="164"/>
      <c r="G903" s="325"/>
    </row>
    <row r="904" spans="1:14" x14ac:dyDescent="0.25">
      <c r="A904" s="346" t="s">
        <v>1362</v>
      </c>
      <c r="B904" s="530" t="s">
        <v>890</v>
      </c>
      <c r="C904" s="371"/>
      <c r="D904" s="372"/>
      <c r="E904" s="165"/>
      <c r="F904" s="164"/>
      <c r="G904" s="325"/>
    </row>
    <row r="905" spans="1:14" ht="24.75" x14ac:dyDescent="0.25">
      <c r="A905" s="219"/>
      <c r="B905" s="177" t="s">
        <v>1363</v>
      </c>
      <c r="C905" s="169">
        <v>21</v>
      </c>
      <c r="D905" s="170" t="s">
        <v>1364</v>
      </c>
      <c r="E905" s="537">
        <v>20000000</v>
      </c>
      <c r="F905" s="537">
        <f>E905*C905</f>
        <v>420000000</v>
      </c>
      <c r="G905" s="325"/>
    </row>
    <row r="906" spans="1:14" x14ac:dyDescent="0.25">
      <c r="A906" s="693"/>
      <c r="B906" s="181"/>
      <c r="C906" s="178"/>
      <c r="D906" s="362"/>
      <c r="E906" s="648"/>
      <c r="F906" s="754"/>
      <c r="G906" s="325"/>
    </row>
    <row r="907" spans="1:14" x14ac:dyDescent="0.25">
      <c r="A907" s="2130" t="s">
        <v>26</v>
      </c>
      <c r="B907" s="2131"/>
      <c r="C907" s="2131"/>
      <c r="D907" s="2131"/>
      <c r="E907" s="2132"/>
      <c r="F907" s="517">
        <f>SUM(F905:F906)</f>
        <v>420000000</v>
      </c>
      <c r="G907" s="325" t="s">
        <v>1365</v>
      </c>
      <c r="N907" s="23">
        <f>F907</f>
        <v>420000000</v>
      </c>
    </row>
    <row r="908" spans="1:14" x14ac:dyDescent="0.25">
      <c r="A908" s="1926" t="s">
        <v>516</v>
      </c>
      <c r="B908" s="1926"/>
      <c r="C908" s="152" t="s">
        <v>27</v>
      </c>
      <c r="D908" s="1926" t="s">
        <v>3654</v>
      </c>
      <c r="E908" s="1926"/>
      <c r="F908" s="1926"/>
      <c r="G908" s="152"/>
    </row>
    <row r="909" spans="1:14" x14ac:dyDescent="0.25">
      <c r="A909" s="1926" t="s">
        <v>28</v>
      </c>
      <c r="B909" s="1926"/>
      <c r="C909" s="152"/>
      <c r="D909" s="1927" t="s">
        <v>3570</v>
      </c>
      <c r="E909" s="1927"/>
      <c r="F909" s="1927"/>
      <c r="G909" s="152"/>
    </row>
    <row r="910" spans="1:14" x14ac:dyDescent="0.25">
      <c r="A910" s="150"/>
      <c r="B910" s="151"/>
      <c r="C910" s="152"/>
      <c r="D910" s="153"/>
      <c r="E910" s="182"/>
      <c r="F910" s="1208"/>
      <c r="G910" s="152"/>
    </row>
    <row r="911" spans="1:14" x14ac:dyDescent="0.25">
      <c r="A911" s="150"/>
      <c r="B911" s="151"/>
      <c r="C911" s="152"/>
      <c r="D911" s="153"/>
      <c r="E911" s="182"/>
      <c r="F911" s="1208"/>
      <c r="G911" s="152"/>
    </row>
    <row r="912" spans="1:14" x14ac:dyDescent="0.25">
      <c r="A912" s="1926"/>
      <c r="B912" s="1926"/>
      <c r="C912" s="152"/>
      <c r="D912" s="153"/>
      <c r="E912" s="2003"/>
      <c r="F912" s="2003"/>
      <c r="G912" s="152"/>
    </row>
    <row r="913" spans="1:7" x14ac:dyDescent="0.25">
      <c r="A913" s="1926" t="s">
        <v>29</v>
      </c>
      <c r="B913" s="1926"/>
      <c r="C913" s="152"/>
      <c r="D913" s="1926" t="s">
        <v>3548</v>
      </c>
      <c r="E913" s="1926"/>
      <c r="F913" s="1926"/>
      <c r="G913" s="152"/>
    </row>
    <row r="914" spans="1:7" x14ac:dyDescent="0.25">
      <c r="A914" s="223"/>
      <c r="B914" s="223"/>
      <c r="C914" s="152"/>
      <c r="D914" s="223"/>
      <c r="E914" s="223"/>
      <c r="F914" s="223"/>
      <c r="G914" s="152"/>
    </row>
    <row r="915" spans="1:7" x14ac:dyDescent="0.25">
      <c r="A915" s="1947" t="s">
        <v>0</v>
      </c>
      <c r="B915" s="1947"/>
      <c r="C915" s="1947"/>
      <c r="D915" s="1947"/>
      <c r="E915" s="1947"/>
      <c r="F915" s="1947"/>
      <c r="G915" s="1947"/>
    </row>
    <row r="916" spans="1:7" x14ac:dyDescent="0.25">
      <c r="A916" s="1947" t="s">
        <v>1</v>
      </c>
      <c r="B916" s="1947"/>
      <c r="C916" s="1947"/>
      <c r="D916" s="1947"/>
      <c r="E916" s="1947"/>
      <c r="F916" s="1947"/>
      <c r="G916" s="1947"/>
    </row>
    <row r="917" spans="1:7" x14ac:dyDescent="0.25">
      <c r="A917" s="1947" t="s">
        <v>1454</v>
      </c>
      <c r="B917" s="1947"/>
      <c r="C917" s="1947"/>
      <c r="D917" s="1947"/>
      <c r="E917" s="1947"/>
      <c r="F917" s="1947"/>
      <c r="G917" s="1947"/>
    </row>
    <row r="918" spans="1:7" x14ac:dyDescent="0.25">
      <c r="A918" s="148"/>
      <c r="B918" s="148"/>
      <c r="C918" s="148"/>
      <c r="D918" s="148"/>
      <c r="E918" s="148"/>
      <c r="F918" s="148"/>
      <c r="G918" s="504"/>
    </row>
    <row r="919" spans="1:7" x14ac:dyDescent="0.25">
      <c r="A919" s="611" t="s">
        <v>251</v>
      </c>
      <c r="B919" s="611" t="s">
        <v>827</v>
      </c>
      <c r="C919" s="611"/>
      <c r="D919" s="611"/>
      <c r="E919" s="612" t="s">
        <v>6</v>
      </c>
      <c r="F919" s="612"/>
      <c r="G919" s="5"/>
    </row>
    <row r="920" spans="1:7" x14ac:dyDescent="0.25">
      <c r="A920" s="611" t="s">
        <v>252</v>
      </c>
      <c r="B920" s="611" t="s">
        <v>911</v>
      </c>
      <c r="C920" s="611"/>
      <c r="D920" s="611"/>
      <c r="E920" s="364" t="s">
        <v>319</v>
      </c>
      <c r="F920" s="611"/>
      <c r="G920" s="5"/>
    </row>
    <row r="921" spans="1:7" ht="38.25" x14ac:dyDescent="0.25">
      <c r="A921" s="594" t="s">
        <v>253</v>
      </c>
      <c r="B921" s="747" t="s">
        <v>912</v>
      </c>
      <c r="C921" s="747"/>
      <c r="D921" s="613"/>
      <c r="E921" s="613"/>
      <c r="F921" s="613"/>
      <c r="G921" s="5"/>
    </row>
    <row r="922" spans="1:7" x14ac:dyDescent="0.25">
      <c r="A922" s="611" t="s">
        <v>384</v>
      </c>
      <c r="B922" s="611" t="s">
        <v>60</v>
      </c>
      <c r="C922" s="611"/>
      <c r="D922" s="611"/>
      <c r="E922" s="611"/>
      <c r="F922" s="611"/>
      <c r="G922" s="5"/>
    </row>
    <row r="923" spans="1:7" x14ac:dyDescent="0.25">
      <c r="A923" s="611" t="s">
        <v>61</v>
      </c>
      <c r="B923" s="611" t="s">
        <v>62</v>
      </c>
      <c r="C923" s="611"/>
      <c r="D923" s="755"/>
      <c r="E923" s="756"/>
      <c r="F923" s="611"/>
      <c r="G923" s="5"/>
    </row>
    <row r="924" spans="1:7" x14ac:dyDescent="0.25">
      <c r="A924" s="151"/>
      <c r="B924" s="151"/>
      <c r="C924" s="151"/>
      <c r="D924" s="151"/>
      <c r="E924" s="151"/>
      <c r="F924" s="151"/>
      <c r="G924" s="5"/>
    </row>
    <row r="925" spans="1:7" ht="24" x14ac:dyDescent="0.25">
      <c r="A925" s="757" t="s">
        <v>541</v>
      </c>
      <c r="B925" s="757" t="s">
        <v>11</v>
      </c>
      <c r="C925" s="2080" t="s">
        <v>12</v>
      </c>
      <c r="D925" s="2080"/>
      <c r="E925" s="595" t="s">
        <v>13</v>
      </c>
      <c r="F925" s="344" t="s">
        <v>14</v>
      </c>
      <c r="G925" s="758" t="s">
        <v>256</v>
      </c>
    </row>
    <row r="926" spans="1:7" x14ac:dyDescent="0.25">
      <c r="A926" s="162">
        <v>1</v>
      </c>
      <c r="B926" s="162">
        <v>2</v>
      </c>
      <c r="C926" s="1959">
        <v>3</v>
      </c>
      <c r="D926" s="1960"/>
      <c r="E926" s="232">
        <v>4</v>
      </c>
      <c r="F926" s="231">
        <v>5</v>
      </c>
      <c r="G926" s="1548">
        <v>6</v>
      </c>
    </row>
    <row r="927" spans="1:7" x14ac:dyDescent="0.25">
      <c r="A927" s="176" t="s">
        <v>913</v>
      </c>
      <c r="B927" s="759" t="s">
        <v>914</v>
      </c>
      <c r="C927" s="384"/>
      <c r="D927" s="368"/>
      <c r="E927" s="760"/>
      <c r="F927" s="761"/>
      <c r="G927" s="4"/>
    </row>
    <row r="928" spans="1:7" x14ac:dyDescent="0.25">
      <c r="A928" s="176" t="s">
        <v>915</v>
      </c>
      <c r="B928" s="759" t="s">
        <v>84</v>
      </c>
      <c r="C928" s="384"/>
      <c r="D928" s="368"/>
      <c r="E928" s="760"/>
      <c r="F928" s="761"/>
      <c r="G928" s="4"/>
    </row>
    <row r="929" spans="1:12" ht="24" x14ac:dyDescent="0.25">
      <c r="A929" s="176" t="s">
        <v>916</v>
      </c>
      <c r="B929" s="463" t="s">
        <v>307</v>
      </c>
      <c r="C929" s="169"/>
      <c r="D929" s="245"/>
      <c r="E929" s="514"/>
      <c r="F929" s="762"/>
      <c r="G929" s="31"/>
    </row>
    <row r="930" spans="1:12" ht="36" x14ac:dyDescent="0.25">
      <c r="A930" s="186"/>
      <c r="B930" s="201" t="s">
        <v>1524</v>
      </c>
      <c r="C930" s="169">
        <v>30</v>
      </c>
      <c r="D930" s="170" t="s">
        <v>381</v>
      </c>
      <c r="E930" s="648">
        <v>20000</v>
      </c>
      <c r="F930" s="763">
        <f t="shared" ref="F930:F939" si="51">E930*C930</f>
        <v>600000</v>
      </c>
      <c r="G930" s="1"/>
    </row>
    <row r="931" spans="1:12" ht="36.75" x14ac:dyDescent="0.25">
      <c r="A931" s="186"/>
      <c r="B931" s="197" t="s">
        <v>3544</v>
      </c>
      <c r="C931" s="169">
        <v>330</v>
      </c>
      <c r="D931" s="170" t="s">
        <v>269</v>
      </c>
      <c r="E931" s="648">
        <v>20000</v>
      </c>
      <c r="F931" s="763">
        <f t="shared" si="51"/>
        <v>6600000</v>
      </c>
      <c r="G931" s="4"/>
    </row>
    <row r="932" spans="1:12" ht="24.75" x14ac:dyDescent="0.25">
      <c r="A932" s="176" t="s">
        <v>917</v>
      </c>
      <c r="B932" s="386" t="s">
        <v>325</v>
      </c>
      <c r="C932" s="169"/>
      <c r="D932" s="170"/>
      <c r="E932" s="648"/>
      <c r="F932" s="763"/>
      <c r="G932" s="4"/>
    </row>
    <row r="933" spans="1:12" x14ac:dyDescent="0.25">
      <c r="A933" s="186"/>
      <c r="B933" s="177" t="s">
        <v>326</v>
      </c>
      <c r="C933" s="169">
        <v>1</v>
      </c>
      <c r="D933" s="170" t="s">
        <v>93</v>
      </c>
      <c r="E933" s="648">
        <v>90000</v>
      </c>
      <c r="F933" s="763">
        <f t="shared" si="51"/>
        <v>90000</v>
      </c>
      <c r="G933" s="4"/>
    </row>
    <row r="934" spans="1:12" ht="24.75" x14ac:dyDescent="0.25">
      <c r="A934" s="176" t="s">
        <v>918</v>
      </c>
      <c r="B934" s="386" t="s">
        <v>3545</v>
      </c>
      <c r="C934" s="169"/>
      <c r="D934" s="170"/>
      <c r="E934" s="648"/>
      <c r="F934" s="763"/>
      <c r="G934" s="4"/>
    </row>
    <row r="935" spans="1:12" x14ac:dyDescent="0.25">
      <c r="A935" s="186"/>
      <c r="B935" s="177" t="s">
        <v>3546</v>
      </c>
      <c r="C935" s="169">
        <v>17</v>
      </c>
      <c r="D935" s="170" t="s">
        <v>269</v>
      </c>
      <c r="E935" s="648">
        <v>600000</v>
      </c>
      <c r="F935" s="763">
        <f t="shared" si="51"/>
        <v>10200000</v>
      </c>
      <c r="G935" s="4"/>
    </row>
    <row r="936" spans="1:12" x14ac:dyDescent="0.25">
      <c r="A936" s="176" t="s">
        <v>919</v>
      </c>
      <c r="B936" s="386" t="s">
        <v>273</v>
      </c>
      <c r="C936" s="169"/>
      <c r="D936" s="170"/>
      <c r="E936" s="648"/>
      <c r="F936" s="763"/>
      <c r="G936" s="4"/>
    </row>
    <row r="937" spans="1:12" x14ac:dyDescent="0.25">
      <c r="A937" s="181"/>
      <c r="B937" s="177" t="s">
        <v>422</v>
      </c>
      <c r="C937" s="169">
        <v>5</v>
      </c>
      <c r="D937" s="255" t="s">
        <v>93</v>
      </c>
      <c r="E937" s="648">
        <v>50000</v>
      </c>
      <c r="F937" s="763">
        <f t="shared" si="51"/>
        <v>250000</v>
      </c>
      <c r="G937" s="4"/>
    </row>
    <row r="938" spans="1:12" ht="24" x14ac:dyDescent="0.25">
      <c r="A938" s="181"/>
      <c r="B938" s="177" t="s">
        <v>275</v>
      </c>
      <c r="C938" s="169">
        <v>25</v>
      </c>
      <c r="D938" s="255" t="s">
        <v>158</v>
      </c>
      <c r="E938" s="648">
        <v>1000</v>
      </c>
      <c r="F938" s="763">
        <f t="shared" si="51"/>
        <v>25000</v>
      </c>
      <c r="G938" s="4"/>
    </row>
    <row r="939" spans="1:12" x14ac:dyDescent="0.25">
      <c r="A939" s="186"/>
      <c r="B939" s="193" t="s">
        <v>289</v>
      </c>
      <c r="C939" s="169">
        <v>1</v>
      </c>
      <c r="D939" s="170" t="s">
        <v>290</v>
      </c>
      <c r="E939" s="648">
        <v>10000</v>
      </c>
      <c r="F939" s="763">
        <f t="shared" si="51"/>
        <v>10000</v>
      </c>
      <c r="G939" s="4"/>
    </row>
    <row r="940" spans="1:12" ht="24.75" x14ac:dyDescent="0.25">
      <c r="A940" s="176" t="s">
        <v>920</v>
      </c>
      <c r="B940" s="386" t="s">
        <v>487</v>
      </c>
      <c r="C940" s="169"/>
      <c r="D940" s="170"/>
      <c r="E940" s="648"/>
      <c r="F940" s="763"/>
      <c r="G940" s="4"/>
    </row>
    <row r="941" spans="1:12" ht="24.75" x14ac:dyDescent="0.25">
      <c r="A941" s="176" t="s">
        <v>921</v>
      </c>
      <c r="B941" s="386" t="s">
        <v>487</v>
      </c>
      <c r="C941" s="169"/>
      <c r="D941" s="170"/>
      <c r="E941" s="648"/>
      <c r="F941" s="763"/>
      <c r="G941" s="4"/>
    </row>
    <row r="942" spans="1:12" x14ac:dyDescent="0.25">
      <c r="A942" s="1576"/>
      <c r="B942" s="1580" t="s">
        <v>3547</v>
      </c>
      <c r="C942" s="1614">
        <v>40</v>
      </c>
      <c r="D942" s="1578" t="s">
        <v>102</v>
      </c>
      <c r="E942" s="1615">
        <v>350000</v>
      </c>
      <c r="F942" s="1616">
        <f>E942*C942</f>
        <v>14000000</v>
      </c>
      <c r="G942" s="1617"/>
    </row>
    <row r="943" spans="1:12" x14ac:dyDescent="0.25">
      <c r="A943" s="186"/>
      <c r="B943" s="636"/>
      <c r="C943" s="178"/>
      <c r="D943" s="362"/>
      <c r="E943" s="377"/>
      <c r="F943" s="1613"/>
      <c r="G943" s="4"/>
    </row>
    <row r="944" spans="1:12" x14ac:dyDescent="0.25">
      <c r="A944" s="384"/>
      <c r="B944" s="2164" t="s">
        <v>26</v>
      </c>
      <c r="C944" s="2142"/>
      <c r="D944" s="2142"/>
      <c r="E944" s="2143"/>
      <c r="F944" s="506">
        <f>SUM(F930:F942)</f>
        <v>31775000</v>
      </c>
      <c r="G944" s="4" t="s">
        <v>1222</v>
      </c>
      <c r="K944" s="23"/>
      <c r="L944" s="23">
        <f>F944</f>
        <v>31775000</v>
      </c>
    </row>
    <row r="945" spans="1:7" x14ac:dyDescent="0.25">
      <c r="A945" s="1926" t="s">
        <v>516</v>
      </c>
      <c r="B945" s="1926"/>
      <c r="C945" s="152" t="s">
        <v>27</v>
      </c>
      <c r="D945" s="1926" t="s">
        <v>3654</v>
      </c>
      <c r="E945" s="1926"/>
      <c r="F945" s="1926"/>
      <c r="G945" s="152"/>
    </row>
    <row r="946" spans="1:7" x14ac:dyDescent="0.25">
      <c r="A946" s="1926" t="s">
        <v>28</v>
      </c>
      <c r="B946" s="1926"/>
      <c r="C946" s="152"/>
      <c r="D946" s="1927" t="s">
        <v>3570</v>
      </c>
      <c r="E946" s="1927"/>
      <c r="F946" s="1927"/>
      <c r="G946" s="152"/>
    </row>
    <row r="947" spans="1:7" x14ac:dyDescent="0.25">
      <c r="A947" s="150"/>
      <c r="B947" s="151"/>
      <c r="C947" s="152"/>
      <c r="D947" s="153"/>
      <c r="E947" s="182"/>
      <c r="F947" s="1208"/>
      <c r="G947" s="152"/>
    </row>
    <row r="948" spans="1:7" x14ac:dyDescent="0.25">
      <c r="A948" s="150"/>
      <c r="B948" s="151"/>
      <c r="C948" s="152"/>
      <c r="D948" s="153"/>
      <c r="E948" s="182"/>
      <c r="F948" s="1208"/>
      <c r="G948" s="152"/>
    </row>
    <row r="949" spans="1:7" x14ac:dyDescent="0.25">
      <c r="A949" s="1926"/>
      <c r="B949" s="1926"/>
      <c r="C949" s="152"/>
      <c r="D949" s="153"/>
      <c r="E949" s="2003"/>
      <c r="F949" s="2003"/>
      <c r="G949" s="152"/>
    </row>
    <row r="950" spans="1:7" x14ac:dyDescent="0.25">
      <c r="A950" s="1926" t="s">
        <v>29</v>
      </c>
      <c r="B950" s="1926"/>
      <c r="C950" s="152"/>
      <c r="D950" s="1926" t="s">
        <v>3548</v>
      </c>
      <c r="E950" s="1926"/>
      <c r="F950" s="1926"/>
      <c r="G950" s="152"/>
    </row>
    <row r="951" spans="1:7" x14ac:dyDescent="0.25">
      <c r="A951" s="1980" t="s">
        <v>0</v>
      </c>
      <c r="B951" s="1980"/>
      <c r="C951" s="1980"/>
      <c r="D951" s="1980"/>
      <c r="E951" s="1980"/>
      <c r="F951" s="1980"/>
      <c r="G951" s="1980"/>
    </row>
    <row r="952" spans="1:7" x14ac:dyDescent="0.25">
      <c r="A952" s="1980" t="s">
        <v>1</v>
      </c>
      <c r="B952" s="1980"/>
      <c r="C952" s="1980"/>
      <c r="D952" s="1980"/>
      <c r="E952" s="1980"/>
      <c r="F952" s="1980"/>
      <c r="G952" s="1980"/>
    </row>
    <row r="953" spans="1:7" x14ac:dyDescent="0.25">
      <c r="A953" s="1980" t="s">
        <v>2398</v>
      </c>
      <c r="B953" s="1980"/>
      <c r="C953" s="1980"/>
      <c r="D953" s="1980"/>
      <c r="E953" s="1980"/>
      <c r="F953" s="1980"/>
      <c r="G953" s="1980"/>
    </row>
    <row r="954" spans="1:7" x14ac:dyDescent="0.25">
      <c r="A954" s="1002"/>
      <c r="B954" s="1002"/>
      <c r="C954" s="1002"/>
      <c r="D954" s="1002"/>
      <c r="E954" s="1002"/>
      <c r="F954" s="1002"/>
      <c r="G954" s="1679"/>
    </row>
    <row r="955" spans="1:7" x14ac:dyDescent="0.25">
      <c r="A955" s="1680" t="s">
        <v>251</v>
      </c>
      <c r="B955" s="1680" t="s">
        <v>827</v>
      </c>
      <c r="C955" s="1680"/>
      <c r="D955" s="1680"/>
      <c r="E955" s="1681" t="s">
        <v>6</v>
      </c>
      <c r="F955" s="1681"/>
      <c r="G955" s="1682"/>
    </row>
    <row r="956" spans="1:7" x14ac:dyDescent="0.25">
      <c r="A956" s="1680" t="s">
        <v>252</v>
      </c>
      <c r="B956" s="1680" t="s">
        <v>911</v>
      </c>
      <c r="C956" s="1680"/>
      <c r="D956" s="1680"/>
      <c r="E956" s="1582" t="s">
        <v>319</v>
      </c>
      <c r="F956" s="1680"/>
      <c r="G956" s="1682"/>
    </row>
    <row r="957" spans="1:7" ht="38.25" x14ac:dyDescent="0.25">
      <c r="A957" s="1683" t="s">
        <v>253</v>
      </c>
      <c r="B957" s="1684" t="s">
        <v>912</v>
      </c>
      <c r="C957" s="1684"/>
      <c r="D957" s="1685"/>
      <c r="E957" s="1685"/>
      <c r="F957" s="1685"/>
      <c r="G957" s="1682"/>
    </row>
    <row r="958" spans="1:7" x14ac:dyDescent="0.25">
      <c r="A958" s="1680" t="s">
        <v>384</v>
      </c>
      <c r="B958" s="1680" t="s">
        <v>60</v>
      </c>
      <c r="C958" s="1680"/>
      <c r="D958" s="1680"/>
      <c r="E958" s="1680"/>
      <c r="F958" s="1680"/>
      <c r="G958" s="1682"/>
    </row>
    <row r="959" spans="1:7" x14ac:dyDescent="0.25">
      <c r="A959" s="1680" t="s">
        <v>61</v>
      </c>
      <c r="B959" s="1680" t="s">
        <v>62</v>
      </c>
      <c r="C959" s="1680"/>
      <c r="D959" s="1686"/>
      <c r="E959" s="1687"/>
      <c r="F959" s="1680"/>
      <c r="G959" s="1682"/>
    </row>
    <row r="960" spans="1:7" x14ac:dyDescent="0.25">
      <c r="A960" s="1038"/>
      <c r="B960" s="1038"/>
      <c r="C960" s="1038"/>
      <c r="D960" s="1038"/>
      <c r="E960" s="1038"/>
      <c r="F960" s="1038"/>
      <c r="G960" s="1682"/>
    </row>
    <row r="961" spans="1:7" ht="24" x14ac:dyDescent="0.25">
      <c r="A961" s="1688" t="s">
        <v>541</v>
      </c>
      <c r="B961" s="1688" t="s">
        <v>11</v>
      </c>
      <c r="C961" s="2159" t="s">
        <v>12</v>
      </c>
      <c r="D961" s="2160"/>
      <c r="E961" s="1690" t="s">
        <v>13</v>
      </c>
      <c r="F961" s="1689" t="s">
        <v>14</v>
      </c>
      <c r="G961" s="1691" t="s">
        <v>256</v>
      </c>
    </row>
    <row r="962" spans="1:7" x14ac:dyDescent="0.25">
      <c r="A962" s="1587">
        <v>1</v>
      </c>
      <c r="B962" s="1587">
        <v>2</v>
      </c>
      <c r="C962" s="1983">
        <v>3</v>
      </c>
      <c r="D962" s="1984"/>
      <c r="E962" s="1589">
        <v>4</v>
      </c>
      <c r="F962" s="1588">
        <v>5</v>
      </c>
      <c r="G962" s="1692">
        <v>6</v>
      </c>
    </row>
    <row r="963" spans="1:7" x14ac:dyDescent="0.25">
      <c r="A963" s="1020" t="s">
        <v>913</v>
      </c>
      <c r="B963" s="1693" t="s">
        <v>914</v>
      </c>
      <c r="C963" s="1032"/>
      <c r="D963" s="1597"/>
      <c r="E963" s="1694"/>
      <c r="F963" s="1030"/>
      <c r="G963" s="1695"/>
    </row>
    <row r="964" spans="1:7" x14ac:dyDescent="0.25">
      <c r="A964" s="1020" t="s">
        <v>915</v>
      </c>
      <c r="B964" s="1693" t="s">
        <v>84</v>
      </c>
      <c r="C964" s="1032"/>
      <c r="D964" s="1597"/>
      <c r="E964" s="1694"/>
      <c r="F964" s="1030"/>
      <c r="G964" s="1695"/>
    </row>
    <row r="965" spans="1:7" ht="24" x14ac:dyDescent="0.25">
      <c r="A965" s="1020" t="s">
        <v>916</v>
      </c>
      <c r="B965" s="1696" t="s">
        <v>307</v>
      </c>
      <c r="C965" s="1017"/>
      <c r="D965" s="1697"/>
      <c r="E965" s="1698"/>
      <c r="F965" s="1699"/>
      <c r="G965" s="1700"/>
    </row>
    <row r="966" spans="1:7" ht="36" x14ac:dyDescent="0.25">
      <c r="A966" s="1025"/>
      <c r="B966" s="1701" t="s">
        <v>1524</v>
      </c>
      <c r="C966" s="1017">
        <v>30</v>
      </c>
      <c r="D966" s="1574" t="s">
        <v>381</v>
      </c>
      <c r="E966" s="1702">
        <v>20000</v>
      </c>
      <c r="F966" s="1703">
        <f t="shared" ref="F966:F973" si="52">E966*C966</f>
        <v>600000</v>
      </c>
      <c r="G966" s="1704"/>
    </row>
    <row r="967" spans="1:7" ht="60.75" x14ac:dyDescent="0.25">
      <c r="A967" s="1025"/>
      <c r="B967" s="1705" t="s">
        <v>2567</v>
      </c>
      <c r="C967" s="1017">
        <f>26+5+2+3+3</f>
        <v>39</v>
      </c>
      <c r="D967" s="1574" t="s">
        <v>269</v>
      </c>
      <c r="E967" s="1702">
        <v>20000</v>
      </c>
      <c r="F967" s="1703">
        <f t="shared" si="52"/>
        <v>780000</v>
      </c>
      <c r="G967" s="1695"/>
    </row>
    <row r="968" spans="1:7" ht="24.75" x14ac:dyDescent="0.25">
      <c r="A968" s="1020" t="s">
        <v>917</v>
      </c>
      <c r="B968" s="1706" t="s">
        <v>325</v>
      </c>
      <c r="C968" s="1017"/>
      <c r="D968" s="1574"/>
      <c r="E968" s="1702"/>
      <c r="F968" s="1703"/>
      <c r="G968" s="1695"/>
    </row>
    <row r="969" spans="1:7" x14ac:dyDescent="0.25">
      <c r="A969" s="1025"/>
      <c r="B969" s="1021" t="s">
        <v>326</v>
      </c>
      <c r="C969" s="1017">
        <v>1</v>
      </c>
      <c r="D969" s="1574" t="s">
        <v>93</v>
      </c>
      <c r="E969" s="1702">
        <v>90000</v>
      </c>
      <c r="F969" s="1703">
        <f t="shared" si="52"/>
        <v>90000</v>
      </c>
      <c r="G969" s="1695"/>
    </row>
    <row r="970" spans="1:7" x14ac:dyDescent="0.25">
      <c r="A970" s="1020" t="s">
        <v>919</v>
      </c>
      <c r="B970" s="1706" t="s">
        <v>273</v>
      </c>
      <c r="C970" s="1017"/>
      <c r="D970" s="1574"/>
      <c r="E970" s="1702"/>
      <c r="F970" s="1703"/>
      <c r="G970" s="1695"/>
    </row>
    <row r="971" spans="1:7" x14ac:dyDescent="0.25">
      <c r="A971" s="1026"/>
      <c r="B971" s="1021" t="s">
        <v>422</v>
      </c>
      <c r="C971" s="1017">
        <v>5</v>
      </c>
      <c r="D971" s="1611" t="s">
        <v>93</v>
      </c>
      <c r="E971" s="1702">
        <v>50000</v>
      </c>
      <c r="F971" s="1703">
        <f t="shared" si="52"/>
        <v>250000</v>
      </c>
      <c r="G971" s="1695"/>
    </row>
    <row r="972" spans="1:7" ht="24" x14ac:dyDescent="0.25">
      <c r="A972" s="1026"/>
      <c r="B972" s="1021" t="s">
        <v>275</v>
      </c>
      <c r="C972" s="1017">
        <v>25</v>
      </c>
      <c r="D972" s="1611" t="s">
        <v>158</v>
      </c>
      <c r="E972" s="1702">
        <v>1000</v>
      </c>
      <c r="F972" s="1703">
        <f t="shared" si="52"/>
        <v>25000</v>
      </c>
      <c r="G972" s="1695"/>
    </row>
    <row r="973" spans="1:7" x14ac:dyDescent="0.25">
      <c r="A973" s="1025"/>
      <c r="B973" s="1707" t="s">
        <v>289</v>
      </c>
      <c r="C973" s="1017">
        <v>1</v>
      </c>
      <c r="D973" s="1574" t="s">
        <v>290</v>
      </c>
      <c r="E973" s="1702">
        <v>10000</v>
      </c>
      <c r="F973" s="1703">
        <f t="shared" si="52"/>
        <v>10000</v>
      </c>
      <c r="G973" s="1695"/>
    </row>
    <row r="974" spans="1:7" x14ac:dyDescent="0.25">
      <c r="A974" s="1020" t="s">
        <v>1048</v>
      </c>
      <c r="B974" s="1696" t="s">
        <v>294</v>
      </c>
      <c r="C974" s="1017"/>
      <c r="D974" s="1574"/>
      <c r="E974" s="1708"/>
      <c r="F974" s="1709"/>
      <c r="G974" s="1695"/>
    </row>
    <row r="975" spans="1:7" ht="24.75" x14ac:dyDescent="0.25">
      <c r="A975" s="1591" t="s">
        <v>2552</v>
      </c>
      <c r="B975" s="1706" t="s">
        <v>968</v>
      </c>
      <c r="C975" s="1027"/>
      <c r="D975" s="1028"/>
      <c r="E975" s="1029"/>
      <c r="F975" s="1710"/>
      <c r="G975" s="1695"/>
    </row>
    <row r="976" spans="1:7" x14ac:dyDescent="0.25">
      <c r="A976" s="1591"/>
      <c r="B976" s="1026" t="s">
        <v>179</v>
      </c>
      <c r="C976" s="1027">
        <v>1</v>
      </c>
      <c r="D976" s="1711" t="s">
        <v>381</v>
      </c>
      <c r="E976" s="1029">
        <v>300000</v>
      </c>
      <c r="F976" s="1710">
        <f>C976*E976</f>
        <v>300000</v>
      </c>
      <c r="G976" s="1695"/>
    </row>
    <row r="977" spans="1:8" x14ac:dyDescent="0.25">
      <c r="A977" s="1591"/>
      <c r="B977" s="1026" t="s">
        <v>180</v>
      </c>
      <c r="C977" s="1027">
        <v>1</v>
      </c>
      <c r="D977" s="1711" t="s">
        <v>381</v>
      </c>
      <c r="E977" s="1029">
        <v>250000</v>
      </c>
      <c r="F977" s="1710">
        <f>C977*E977</f>
        <v>250000</v>
      </c>
      <c r="G977" s="1695"/>
    </row>
    <row r="978" spans="1:8" x14ac:dyDescent="0.25">
      <c r="A978" s="1591"/>
      <c r="B978" s="1026" t="s">
        <v>331</v>
      </c>
      <c r="C978" s="1027">
        <v>3</v>
      </c>
      <c r="D978" s="1711" t="s">
        <v>381</v>
      </c>
      <c r="E978" s="1029">
        <v>200000</v>
      </c>
      <c r="F978" s="1710">
        <f>C978*E978</f>
        <v>600000</v>
      </c>
      <c r="G978" s="1695"/>
    </row>
    <row r="979" spans="1:8" x14ac:dyDescent="0.25">
      <c r="A979" s="1020"/>
      <c r="B979" s="1712"/>
      <c r="C979" s="1017"/>
      <c r="D979" s="1574"/>
      <c r="E979" s="1708"/>
      <c r="F979" s="1709"/>
      <c r="G979" s="1695"/>
    </row>
    <row r="980" spans="1:8" x14ac:dyDescent="0.25">
      <c r="A980" s="1020"/>
      <c r="B980" s="1712" t="s">
        <v>2536</v>
      </c>
      <c r="C980" s="1017"/>
      <c r="D980" s="1574"/>
      <c r="E980" s="1708"/>
      <c r="F980" s="1709"/>
      <c r="G980" s="1695"/>
    </row>
    <row r="981" spans="1:8" x14ac:dyDescent="0.25">
      <c r="A981" s="1020" t="s">
        <v>915</v>
      </c>
      <c r="B981" s="1693" t="s">
        <v>84</v>
      </c>
      <c r="C981" s="1032"/>
      <c r="D981" s="1597"/>
      <c r="E981" s="1694"/>
      <c r="F981" s="1030"/>
      <c r="G981" s="1695"/>
    </row>
    <row r="982" spans="1:8" ht="24" x14ac:dyDescent="0.25">
      <c r="A982" s="1020" t="s">
        <v>916</v>
      </c>
      <c r="B982" s="1696" t="s">
        <v>307</v>
      </c>
      <c r="C982" s="1017"/>
      <c r="D982" s="1697"/>
      <c r="E982" s="1698"/>
      <c r="F982" s="1699"/>
      <c r="G982" s="1700"/>
    </row>
    <row r="983" spans="1:8" x14ac:dyDescent="0.25">
      <c r="A983" s="1020"/>
      <c r="B983" s="1712" t="s">
        <v>2550</v>
      </c>
      <c r="C983" s="1017">
        <f>7*13</f>
        <v>91</v>
      </c>
      <c r="D983" s="1574" t="s">
        <v>269</v>
      </c>
      <c r="E983" s="1708">
        <v>20000</v>
      </c>
      <c r="F983" s="1709">
        <f>E983*C983</f>
        <v>1820000</v>
      </c>
      <c r="G983" s="1695"/>
    </row>
    <row r="984" spans="1:8" ht="60.75" x14ac:dyDescent="0.25">
      <c r="A984" s="1020"/>
      <c r="B984" s="1712" t="s">
        <v>2551</v>
      </c>
      <c r="C984" s="1017">
        <f>29+9+3+11+5+2</f>
        <v>59</v>
      </c>
      <c r="D984" s="1574" t="s">
        <v>269</v>
      </c>
      <c r="E984" s="1708">
        <v>20000</v>
      </c>
      <c r="F984" s="1709">
        <f>E984*C984</f>
        <v>1180000</v>
      </c>
      <c r="G984" s="1695"/>
      <c r="H984">
        <v>2</v>
      </c>
    </row>
    <row r="985" spans="1:8" ht="24.75" x14ac:dyDescent="0.25">
      <c r="A985" s="1020" t="s">
        <v>917</v>
      </c>
      <c r="B985" s="1706" t="s">
        <v>325</v>
      </c>
      <c r="C985" s="1017"/>
      <c r="D985" s="1574"/>
      <c r="E985" s="1702"/>
      <c r="F985" s="1703"/>
      <c r="G985" s="1695"/>
    </row>
    <row r="986" spans="1:8" x14ac:dyDescent="0.25">
      <c r="A986" s="1025"/>
      <c r="B986" s="1021" t="s">
        <v>326</v>
      </c>
      <c r="C986" s="1017">
        <v>1</v>
      </c>
      <c r="D986" s="1574" t="s">
        <v>93</v>
      </c>
      <c r="E986" s="1702">
        <v>90000</v>
      </c>
      <c r="F986" s="1703">
        <f t="shared" ref="F986" si="53">E986*C986</f>
        <v>90000</v>
      </c>
      <c r="G986" s="1695"/>
    </row>
    <row r="987" spans="1:8" x14ac:dyDescent="0.25">
      <c r="A987" s="1020" t="s">
        <v>1048</v>
      </c>
      <c r="B987" s="1696" t="s">
        <v>294</v>
      </c>
      <c r="C987" s="1017"/>
      <c r="D987" s="1574"/>
      <c r="E987" s="1708"/>
      <c r="F987" s="1709"/>
      <c r="G987" s="1695"/>
    </row>
    <row r="988" spans="1:8" ht="24.75" x14ac:dyDescent="0.25">
      <c r="A988" s="1591" t="s">
        <v>2552</v>
      </c>
      <c r="B988" s="1706" t="s">
        <v>968</v>
      </c>
      <c r="C988" s="1027"/>
      <c r="D988" s="1028"/>
      <c r="E988" s="1029"/>
      <c r="F988" s="1710"/>
      <c r="G988" s="1695"/>
    </row>
    <row r="989" spans="1:8" x14ac:dyDescent="0.25">
      <c r="A989" s="1591"/>
      <c r="B989" s="1026" t="s">
        <v>179</v>
      </c>
      <c r="C989" s="1027">
        <v>1</v>
      </c>
      <c r="D989" s="1711" t="s">
        <v>381</v>
      </c>
      <c r="E989" s="1029">
        <v>300000</v>
      </c>
      <c r="F989" s="1710">
        <f>C989*E989</f>
        <v>300000</v>
      </c>
      <c r="G989" s="1695"/>
    </row>
    <row r="990" spans="1:8" x14ac:dyDescent="0.25">
      <c r="A990" s="1591"/>
      <c r="B990" s="1026" t="s">
        <v>180</v>
      </c>
      <c r="C990" s="1027">
        <v>1</v>
      </c>
      <c r="D990" s="1711" t="s">
        <v>381</v>
      </c>
      <c r="E990" s="1029">
        <v>250000</v>
      </c>
      <c r="F990" s="1710">
        <f>C990*E990</f>
        <v>250000</v>
      </c>
      <c r="G990" s="1695"/>
    </row>
    <row r="991" spans="1:8" x14ac:dyDescent="0.25">
      <c r="A991" s="1591"/>
      <c r="B991" s="1026" t="s">
        <v>331</v>
      </c>
      <c r="C991" s="1027">
        <v>3</v>
      </c>
      <c r="D991" s="1711" t="s">
        <v>381</v>
      </c>
      <c r="E991" s="1029">
        <v>200000</v>
      </c>
      <c r="F991" s="1710">
        <f>C991*E991</f>
        <v>600000</v>
      </c>
      <c r="G991" s="1695"/>
    </row>
    <row r="992" spans="1:8" x14ac:dyDescent="0.25">
      <c r="A992" s="1591"/>
      <c r="B992" s="1713" t="s">
        <v>3510</v>
      </c>
      <c r="C992" s="1027"/>
      <c r="D992" s="1711"/>
      <c r="E992" s="1029"/>
      <c r="F992" s="1710"/>
      <c r="G992" s="1695"/>
    </row>
    <row r="993" spans="1:7" x14ac:dyDescent="0.25">
      <c r="A993" s="1591"/>
      <c r="B993" s="1026" t="s">
        <v>179</v>
      </c>
      <c r="C993" s="1027">
        <v>1</v>
      </c>
      <c r="D993" s="1711" t="s">
        <v>444</v>
      </c>
      <c r="E993" s="1029">
        <v>400000</v>
      </c>
      <c r="F993" s="1710">
        <f>E993*C993</f>
        <v>400000</v>
      </c>
      <c r="G993" s="1695"/>
    </row>
    <row r="994" spans="1:7" x14ac:dyDescent="0.25">
      <c r="A994" s="1591"/>
      <c r="B994" s="1026" t="s">
        <v>180</v>
      </c>
      <c r="C994" s="1027">
        <v>1</v>
      </c>
      <c r="D994" s="1711" t="s">
        <v>444</v>
      </c>
      <c r="E994" s="1029">
        <v>300000</v>
      </c>
      <c r="F994" s="1710">
        <f t="shared" ref="F994:F995" si="54">E994*C994</f>
        <v>300000</v>
      </c>
      <c r="G994" s="1695"/>
    </row>
    <row r="995" spans="1:7" x14ac:dyDescent="0.25">
      <c r="A995" s="1591"/>
      <c r="B995" s="1026" t="s">
        <v>331</v>
      </c>
      <c r="C995" s="1027">
        <v>3</v>
      </c>
      <c r="D995" s="1711" t="s">
        <v>444</v>
      </c>
      <c r="E995" s="1029">
        <v>300000</v>
      </c>
      <c r="F995" s="1710">
        <f t="shared" si="54"/>
        <v>900000</v>
      </c>
      <c r="G995" s="1695"/>
    </row>
    <row r="996" spans="1:7" ht="24" x14ac:dyDescent="0.25">
      <c r="A996" s="1020" t="s">
        <v>1049</v>
      </c>
      <c r="B996" s="1696" t="s">
        <v>1316</v>
      </c>
      <c r="C996" s="1027"/>
      <c r="D996" s="1714"/>
      <c r="E996" s="1715"/>
      <c r="F996" s="1716">
        <f t="shared" ref="F996" si="55">C996*E996</f>
        <v>0</v>
      </c>
      <c r="G996" s="1717"/>
    </row>
    <row r="997" spans="1:7" x14ac:dyDescent="0.25">
      <c r="A997" s="1020"/>
      <c r="B997" s="1712" t="s">
        <v>947</v>
      </c>
      <c r="C997" s="1017">
        <v>3</v>
      </c>
      <c r="D997" s="1574" t="s">
        <v>269</v>
      </c>
      <c r="E997" s="1708">
        <v>378000</v>
      </c>
      <c r="F997" s="1709">
        <f>E997*C997</f>
        <v>1134000</v>
      </c>
      <c r="G997" s="1695"/>
    </row>
    <row r="998" spans="1:7" ht="32.25" customHeight="1" x14ac:dyDescent="0.25">
      <c r="A998" s="1020" t="s">
        <v>2561</v>
      </c>
      <c r="B998" s="1696" t="s">
        <v>333</v>
      </c>
      <c r="C998" s="1017"/>
      <c r="D998" s="1574"/>
      <c r="E998" s="1708"/>
      <c r="F998" s="1709"/>
      <c r="G998" s="1695"/>
    </row>
    <row r="999" spans="1:7" x14ac:dyDescent="0.25">
      <c r="A999" s="1020"/>
      <c r="B999" s="1718" t="s">
        <v>2577</v>
      </c>
      <c r="C999" s="1017">
        <v>1</v>
      </c>
      <c r="D999" s="1574" t="s">
        <v>269</v>
      </c>
      <c r="E999" s="1708">
        <v>300000</v>
      </c>
      <c r="F999" s="1709">
        <f>E999*C999</f>
        <v>300000</v>
      </c>
      <c r="G999" s="1695"/>
    </row>
    <row r="1000" spans="1:7" ht="37.5" customHeight="1" x14ac:dyDescent="0.25">
      <c r="A1000" s="1020"/>
      <c r="B1000" s="1712" t="s">
        <v>2562</v>
      </c>
      <c r="C1000" s="1017">
        <v>11</v>
      </c>
      <c r="D1000" s="1574" t="s">
        <v>269</v>
      </c>
      <c r="E1000" s="1708">
        <v>100000</v>
      </c>
      <c r="F1000" s="1709">
        <f>E1000*C1000</f>
        <v>1100000</v>
      </c>
      <c r="G1000" s="1695"/>
    </row>
    <row r="1001" spans="1:7" x14ac:dyDescent="0.25">
      <c r="A1001" s="1020" t="s">
        <v>2538</v>
      </c>
      <c r="B1001" s="1719" t="s">
        <v>442</v>
      </c>
      <c r="C1001" s="1017"/>
      <c r="D1001" s="1574"/>
      <c r="E1001" s="1708"/>
      <c r="F1001" s="1709"/>
      <c r="G1001" s="1695"/>
    </row>
    <row r="1002" spans="1:7" x14ac:dyDescent="0.25">
      <c r="A1002" s="1020" t="s">
        <v>2539</v>
      </c>
      <c r="B1002" s="1719" t="s">
        <v>2456</v>
      </c>
      <c r="C1002" s="1017"/>
      <c r="D1002" s="1574"/>
      <c r="E1002" s="1708"/>
      <c r="F1002" s="1709"/>
      <c r="G1002" s="1695"/>
    </row>
    <row r="1003" spans="1:7" x14ac:dyDescent="0.25">
      <c r="A1003" s="1020"/>
      <c r="B1003" s="1712" t="s">
        <v>944</v>
      </c>
      <c r="C1003" s="1017">
        <v>1</v>
      </c>
      <c r="D1003" s="1574" t="s">
        <v>213</v>
      </c>
      <c r="E1003" s="1708">
        <v>1000000</v>
      </c>
      <c r="F1003" s="1709">
        <f>E1003*C1003</f>
        <v>1000000</v>
      </c>
      <c r="G1003" s="1695"/>
    </row>
    <row r="1004" spans="1:7" x14ac:dyDescent="0.25">
      <c r="A1004" s="1020" t="s">
        <v>2541</v>
      </c>
      <c r="B1004" s="1719" t="s">
        <v>2540</v>
      </c>
      <c r="C1004" s="1017"/>
      <c r="D1004" s="1574"/>
      <c r="E1004" s="1708"/>
      <c r="F1004" s="1709"/>
      <c r="G1004" s="1695"/>
    </row>
    <row r="1005" spans="1:7" x14ac:dyDescent="0.25">
      <c r="A1005" s="1020"/>
      <c r="B1005" s="1712" t="s">
        <v>2570</v>
      </c>
      <c r="C1005" s="1017">
        <v>1</v>
      </c>
      <c r="D1005" s="1574" t="s">
        <v>171</v>
      </c>
      <c r="E1005" s="1708">
        <v>1000000</v>
      </c>
      <c r="F1005" s="1709">
        <f>E1005*C1005</f>
        <v>1000000</v>
      </c>
      <c r="G1005" s="1695"/>
    </row>
    <row r="1006" spans="1:7" x14ac:dyDescent="0.25">
      <c r="A1006" s="1020"/>
      <c r="B1006" s="1712" t="s">
        <v>2542</v>
      </c>
      <c r="C1006" s="1017">
        <v>13</v>
      </c>
      <c r="D1006" s="1574" t="s">
        <v>106</v>
      </c>
      <c r="E1006" s="1708">
        <v>150000</v>
      </c>
      <c r="F1006" s="1709">
        <f>E1006*C1006</f>
        <v>1950000</v>
      </c>
      <c r="G1006" s="1695"/>
    </row>
    <row r="1007" spans="1:7" x14ac:dyDescent="0.25">
      <c r="A1007" s="1020"/>
      <c r="B1007" s="1712" t="s">
        <v>2543</v>
      </c>
      <c r="C1007" s="1017">
        <v>13</v>
      </c>
      <c r="D1007" s="1574" t="s">
        <v>106</v>
      </c>
      <c r="E1007" s="1708">
        <v>100000</v>
      </c>
      <c r="F1007" s="1709">
        <f>E1007*C1007</f>
        <v>1300000</v>
      </c>
      <c r="G1007" s="1695"/>
    </row>
    <row r="1008" spans="1:7" ht="24.75" x14ac:dyDescent="0.25">
      <c r="A1008" s="1020" t="s">
        <v>920</v>
      </c>
      <c r="B1008" s="1706" t="s">
        <v>487</v>
      </c>
      <c r="C1008" s="1017"/>
      <c r="D1008" s="1574"/>
      <c r="E1008" s="1702"/>
      <c r="F1008" s="1703"/>
      <c r="G1008" s="1695"/>
    </row>
    <row r="1009" spans="1:7" ht="24.75" x14ac:dyDescent="0.25">
      <c r="A1009" s="1020" t="s">
        <v>921</v>
      </c>
      <c r="B1009" s="1706" t="s">
        <v>487</v>
      </c>
      <c r="C1009" s="1017"/>
      <c r="D1009" s="1574"/>
      <c r="E1009" s="1702"/>
      <c r="F1009" s="1703"/>
      <c r="G1009" s="1695"/>
    </row>
    <row r="1010" spans="1:7" x14ac:dyDescent="0.25">
      <c r="A1010" s="1020"/>
      <c r="B1010" s="1712" t="s">
        <v>2537</v>
      </c>
      <c r="C1010" s="1017">
        <v>13</v>
      </c>
      <c r="D1010" s="1574" t="s">
        <v>566</v>
      </c>
      <c r="E1010" s="1708">
        <v>1000000</v>
      </c>
      <c r="F1010" s="1709">
        <f>E1010*C1010</f>
        <v>13000000</v>
      </c>
      <c r="G1010" s="1695"/>
    </row>
    <row r="1011" spans="1:7" ht="24.75" x14ac:dyDescent="0.25">
      <c r="A1011" s="1020" t="s">
        <v>2545</v>
      </c>
      <c r="B1011" s="1719" t="s">
        <v>2544</v>
      </c>
      <c r="C1011" s="1017"/>
      <c r="D1011" s="1574"/>
      <c r="E1011" s="1708"/>
      <c r="F1011" s="1709"/>
      <c r="G1011" s="1695"/>
    </row>
    <row r="1012" spans="1:7" x14ac:dyDescent="0.25">
      <c r="A1012" s="1020"/>
      <c r="B1012" s="1712" t="s">
        <v>938</v>
      </c>
      <c r="C1012" s="1017">
        <v>1</v>
      </c>
      <c r="D1012" s="1574" t="s">
        <v>171</v>
      </c>
      <c r="E1012" s="1708">
        <v>1200000</v>
      </c>
      <c r="F1012" s="1709">
        <f>E1012*C1012</f>
        <v>1200000</v>
      </c>
      <c r="G1012" s="1695"/>
    </row>
    <row r="1013" spans="1:7" x14ac:dyDescent="0.25">
      <c r="A1013" s="1020"/>
      <c r="B1013" s="1712" t="s">
        <v>2546</v>
      </c>
      <c r="C1013" s="1017">
        <v>1</v>
      </c>
      <c r="D1013" s="1574" t="s">
        <v>2547</v>
      </c>
      <c r="E1013" s="1708">
        <v>3000000</v>
      </c>
      <c r="F1013" s="1709">
        <f t="shared" ref="F1013:F1015" si="56">E1013*C1013</f>
        <v>3000000</v>
      </c>
      <c r="G1013" s="1695"/>
    </row>
    <row r="1014" spans="1:7" x14ac:dyDescent="0.25">
      <c r="A1014" s="1020"/>
      <c r="B1014" s="1712" t="s">
        <v>2548</v>
      </c>
      <c r="C1014" s="1017">
        <v>1</v>
      </c>
      <c r="D1014" s="1574" t="s">
        <v>2547</v>
      </c>
      <c r="E1014" s="1708">
        <v>2500000</v>
      </c>
      <c r="F1014" s="1709">
        <f t="shared" si="56"/>
        <v>2500000</v>
      </c>
      <c r="G1014" s="1695"/>
    </row>
    <row r="1015" spans="1:7" x14ac:dyDescent="0.25">
      <c r="A1015" s="1020"/>
      <c r="B1015" s="1712" t="s">
        <v>2549</v>
      </c>
      <c r="C1015" s="1017">
        <v>1</v>
      </c>
      <c r="D1015" s="1574" t="s">
        <v>2547</v>
      </c>
      <c r="E1015" s="1708">
        <v>2000000</v>
      </c>
      <c r="F1015" s="1709">
        <f t="shared" si="56"/>
        <v>2000000</v>
      </c>
      <c r="G1015" s="1695"/>
    </row>
    <row r="1016" spans="1:7" x14ac:dyDescent="0.25">
      <c r="A1016" s="1020"/>
      <c r="B1016" s="1712"/>
      <c r="C1016" s="1017"/>
      <c r="D1016" s="1574"/>
      <c r="E1016" s="1708"/>
      <c r="F1016" s="1709"/>
      <c r="G1016" s="1695"/>
    </row>
    <row r="1017" spans="1:7" x14ac:dyDescent="0.25">
      <c r="A1017" s="1020"/>
      <c r="B1017" s="1712" t="s">
        <v>3436</v>
      </c>
      <c r="C1017" s="1017"/>
      <c r="D1017" s="1574"/>
      <c r="E1017" s="1708"/>
      <c r="F1017" s="1709"/>
      <c r="G1017" s="1695"/>
    </row>
    <row r="1018" spans="1:7" x14ac:dyDescent="0.25">
      <c r="A1018" s="1020" t="s">
        <v>915</v>
      </c>
      <c r="B1018" s="1693" t="s">
        <v>84</v>
      </c>
      <c r="C1018" s="1032"/>
      <c r="D1018" s="1597"/>
      <c r="E1018" s="1694"/>
      <c r="F1018" s="1030"/>
      <c r="G1018" s="1695"/>
    </row>
    <row r="1019" spans="1:7" ht="24" x14ac:dyDescent="0.25">
      <c r="A1019" s="1020" t="s">
        <v>916</v>
      </c>
      <c r="B1019" s="1696" t="s">
        <v>307</v>
      </c>
      <c r="C1019" s="1017"/>
      <c r="D1019" s="1697"/>
      <c r="E1019" s="1698"/>
      <c r="F1019" s="1699"/>
      <c r="G1019" s="1700"/>
    </row>
    <row r="1020" spans="1:7" x14ac:dyDescent="0.25">
      <c r="A1020" s="1020"/>
      <c r="B1020" s="1712" t="s">
        <v>2553</v>
      </c>
      <c r="C1020" s="1017">
        <f>3*13</f>
        <v>39</v>
      </c>
      <c r="D1020" s="1574" t="s">
        <v>269</v>
      </c>
      <c r="E1020" s="1708">
        <v>20000</v>
      </c>
      <c r="F1020" s="1709">
        <f>E1020*C1020</f>
        <v>780000</v>
      </c>
      <c r="G1020" s="1695"/>
    </row>
    <row r="1021" spans="1:7" ht="60.75" x14ac:dyDescent="0.25">
      <c r="A1021" s="1020"/>
      <c r="B1021" s="1712" t="s">
        <v>2551</v>
      </c>
      <c r="C1021" s="1017">
        <f>29+9+3+11+5+2</f>
        <v>59</v>
      </c>
      <c r="D1021" s="1574" t="s">
        <v>269</v>
      </c>
      <c r="E1021" s="1708">
        <v>20000</v>
      </c>
      <c r="F1021" s="1709">
        <f>E1021*C1021</f>
        <v>1180000</v>
      </c>
      <c r="G1021" s="1695"/>
    </row>
    <row r="1022" spans="1:7" x14ac:dyDescent="0.25">
      <c r="A1022" s="1020" t="s">
        <v>2563</v>
      </c>
      <c r="B1022" s="1706" t="s">
        <v>930</v>
      </c>
      <c r="C1022" s="1017"/>
      <c r="D1022" s="1574"/>
      <c r="E1022" s="1708"/>
      <c r="F1022" s="1709"/>
      <c r="G1022" s="1695"/>
    </row>
    <row r="1023" spans="1:7" x14ac:dyDescent="0.25">
      <c r="A1023" s="1020"/>
      <c r="B1023" s="1712" t="s">
        <v>2564</v>
      </c>
      <c r="C1023" s="1017">
        <v>2</v>
      </c>
      <c r="D1023" s="1574" t="s">
        <v>106</v>
      </c>
      <c r="E1023" s="1708">
        <v>15240000</v>
      </c>
      <c r="F1023" s="1709">
        <f>E1023*C1023</f>
        <v>30480000</v>
      </c>
      <c r="G1023" s="1695"/>
    </row>
    <row r="1024" spans="1:7" x14ac:dyDescent="0.25">
      <c r="A1024" s="1020"/>
      <c r="B1024" s="1712" t="s">
        <v>2565</v>
      </c>
      <c r="C1024" s="1017">
        <v>8</v>
      </c>
      <c r="D1024" s="1574" t="s">
        <v>106</v>
      </c>
      <c r="E1024" s="1708">
        <v>551000</v>
      </c>
      <c r="F1024" s="1709">
        <f t="shared" ref="F1024:F1025" si="57">E1024*C1024</f>
        <v>4408000</v>
      </c>
      <c r="G1024" s="1695"/>
    </row>
    <row r="1025" spans="1:7" x14ac:dyDescent="0.25">
      <c r="A1025" s="1020"/>
      <c r="B1025" s="1712" t="s">
        <v>2566</v>
      </c>
      <c r="C1025" s="1017">
        <v>10</v>
      </c>
      <c r="D1025" s="1574" t="s">
        <v>312</v>
      </c>
      <c r="E1025" s="1708">
        <v>198000</v>
      </c>
      <c r="F1025" s="1709">
        <f t="shared" si="57"/>
        <v>1980000</v>
      </c>
      <c r="G1025" s="1695"/>
    </row>
    <row r="1026" spans="1:7" ht="24.75" x14ac:dyDescent="0.25">
      <c r="A1026" s="1020" t="s">
        <v>917</v>
      </c>
      <c r="B1026" s="1706" t="s">
        <v>325</v>
      </c>
      <c r="C1026" s="1017"/>
      <c r="D1026" s="1574"/>
      <c r="E1026" s="1702"/>
      <c r="F1026" s="1703"/>
      <c r="G1026" s="1695"/>
    </row>
    <row r="1027" spans="1:7" x14ac:dyDescent="0.25">
      <c r="A1027" s="1025"/>
      <c r="B1027" s="1021" t="s">
        <v>326</v>
      </c>
      <c r="C1027" s="1017">
        <v>1</v>
      </c>
      <c r="D1027" s="1574" t="s">
        <v>93</v>
      </c>
      <c r="E1027" s="1702">
        <v>90000</v>
      </c>
      <c r="F1027" s="1703">
        <f t="shared" ref="F1027" si="58">E1027*C1027</f>
        <v>90000</v>
      </c>
      <c r="G1027" s="1695"/>
    </row>
    <row r="1028" spans="1:7" x14ac:dyDescent="0.25">
      <c r="A1028" s="1020" t="s">
        <v>1048</v>
      </c>
      <c r="B1028" s="1696" t="s">
        <v>294</v>
      </c>
      <c r="C1028" s="1017"/>
      <c r="D1028" s="1574"/>
      <c r="E1028" s="1708"/>
      <c r="F1028" s="1709"/>
      <c r="G1028" s="1695"/>
    </row>
    <row r="1029" spans="1:7" ht="24" x14ac:dyDescent="0.25">
      <c r="A1029" s="1020" t="s">
        <v>1049</v>
      </c>
      <c r="B1029" s="1696" t="s">
        <v>1316</v>
      </c>
      <c r="C1029" s="1027"/>
      <c r="D1029" s="1714"/>
      <c r="E1029" s="1715"/>
      <c r="F1029" s="1716">
        <f t="shared" ref="F1029" si="59">C1029*E1029</f>
        <v>0</v>
      </c>
      <c r="G1029" s="1717"/>
    </row>
    <row r="1030" spans="1:7" x14ac:dyDescent="0.25">
      <c r="A1030" s="1020"/>
      <c r="B1030" s="1712" t="s">
        <v>2554</v>
      </c>
      <c r="C1030" s="1017">
        <v>5</v>
      </c>
      <c r="D1030" s="1574" t="s">
        <v>269</v>
      </c>
      <c r="E1030" s="1708">
        <v>378000</v>
      </c>
      <c r="F1030" s="1709">
        <f>E1030*C1030</f>
        <v>1890000</v>
      </c>
      <c r="G1030" s="1695"/>
    </row>
    <row r="1031" spans="1:7" x14ac:dyDescent="0.25">
      <c r="A1031" s="1020" t="s">
        <v>2561</v>
      </c>
      <c r="B1031" s="1696" t="s">
        <v>333</v>
      </c>
      <c r="C1031" s="1017"/>
      <c r="D1031" s="1574"/>
      <c r="E1031" s="1708"/>
      <c r="F1031" s="1709"/>
      <c r="G1031" s="1695"/>
    </row>
    <row r="1032" spans="1:7" x14ac:dyDescent="0.25">
      <c r="A1032" s="1020"/>
      <c r="B1032" s="1718" t="s">
        <v>2577</v>
      </c>
      <c r="C1032" s="1017">
        <v>1</v>
      </c>
      <c r="D1032" s="1574" t="s">
        <v>269</v>
      </c>
      <c r="E1032" s="1708">
        <v>300000</v>
      </c>
      <c r="F1032" s="1709">
        <f>E1032*C1032</f>
        <v>300000</v>
      </c>
      <c r="G1032" s="1695"/>
    </row>
    <row r="1033" spans="1:7" ht="37.5" customHeight="1" x14ac:dyDescent="0.25">
      <c r="A1033" s="1020"/>
      <c r="B1033" s="1712" t="s">
        <v>2562</v>
      </c>
      <c r="C1033" s="1017">
        <v>11</v>
      </c>
      <c r="D1033" s="1574" t="s">
        <v>269</v>
      </c>
      <c r="E1033" s="1708">
        <v>100000</v>
      </c>
      <c r="F1033" s="1709">
        <f>E1033*C1033</f>
        <v>1100000</v>
      </c>
      <c r="G1033" s="1695"/>
    </row>
    <row r="1034" spans="1:7" ht="37.5" customHeight="1" x14ac:dyDescent="0.25">
      <c r="A1034" s="1020"/>
      <c r="B1034" s="1712" t="s">
        <v>2568</v>
      </c>
      <c r="C1034" s="1017">
        <v>3</v>
      </c>
      <c r="D1034" s="1574" t="s">
        <v>269</v>
      </c>
      <c r="E1034" s="1708">
        <v>150000</v>
      </c>
      <c r="F1034" s="1709">
        <f>E1034*C1034</f>
        <v>450000</v>
      </c>
      <c r="G1034" s="1695"/>
    </row>
    <row r="1035" spans="1:7" x14ac:dyDescent="0.25">
      <c r="A1035" s="1020" t="s">
        <v>2538</v>
      </c>
      <c r="B1035" s="1719" t="s">
        <v>442</v>
      </c>
      <c r="C1035" s="1017"/>
      <c r="D1035" s="1574"/>
      <c r="E1035" s="1708"/>
      <c r="F1035" s="1709"/>
      <c r="G1035" s="1695"/>
    </row>
    <row r="1036" spans="1:7" x14ac:dyDescent="0.25">
      <c r="A1036" s="1020" t="s">
        <v>2539</v>
      </c>
      <c r="B1036" s="1719" t="s">
        <v>2456</v>
      </c>
      <c r="C1036" s="1017"/>
      <c r="D1036" s="1574"/>
      <c r="E1036" s="1708"/>
      <c r="F1036" s="1709"/>
      <c r="G1036" s="1695"/>
    </row>
    <row r="1037" spans="1:7" x14ac:dyDescent="0.25">
      <c r="A1037" s="1020"/>
      <c r="B1037" s="1712" t="s">
        <v>944</v>
      </c>
      <c r="C1037" s="1017">
        <v>1</v>
      </c>
      <c r="D1037" s="1574" t="s">
        <v>213</v>
      </c>
      <c r="E1037" s="1708">
        <v>1000000</v>
      </c>
      <c r="F1037" s="1709">
        <f>E1037*C1037</f>
        <v>1000000</v>
      </c>
      <c r="G1037" s="1695"/>
    </row>
    <row r="1038" spans="1:7" x14ac:dyDescent="0.25">
      <c r="A1038" s="1020" t="s">
        <v>2541</v>
      </c>
      <c r="B1038" s="1719" t="s">
        <v>2540</v>
      </c>
      <c r="C1038" s="1017"/>
      <c r="D1038" s="1574"/>
      <c r="E1038" s="1708"/>
      <c r="F1038" s="1709"/>
      <c r="G1038" s="1695"/>
    </row>
    <row r="1039" spans="1:7" x14ac:dyDescent="0.25">
      <c r="A1039" s="1020"/>
      <c r="B1039" s="1712" t="s">
        <v>2570</v>
      </c>
      <c r="C1039" s="1017">
        <v>1</v>
      </c>
      <c r="D1039" s="1574" t="s">
        <v>171</v>
      </c>
      <c r="E1039" s="1708">
        <v>1000000</v>
      </c>
      <c r="F1039" s="1709">
        <f>E1039*C1039</f>
        <v>1000000</v>
      </c>
      <c r="G1039" s="1695"/>
    </row>
    <row r="1040" spans="1:7" ht="24.75" x14ac:dyDescent="0.25">
      <c r="A1040" s="1020" t="s">
        <v>920</v>
      </c>
      <c r="B1040" s="1706" t="s">
        <v>487</v>
      </c>
      <c r="C1040" s="1017"/>
      <c r="D1040" s="1574"/>
      <c r="E1040" s="1702"/>
      <c r="F1040" s="1703"/>
      <c r="G1040" s="1695"/>
    </row>
    <row r="1041" spans="1:8" ht="24.75" x14ac:dyDescent="0.25">
      <c r="A1041" s="1020" t="s">
        <v>2545</v>
      </c>
      <c r="B1041" s="1719" t="s">
        <v>2544</v>
      </c>
      <c r="C1041" s="1017"/>
      <c r="D1041" s="1574"/>
      <c r="E1041" s="1708"/>
      <c r="F1041" s="1709"/>
      <c r="G1041" s="1695"/>
    </row>
    <row r="1042" spans="1:8" x14ac:dyDescent="0.25">
      <c r="A1042" s="1020"/>
      <c r="B1042" s="1712" t="s">
        <v>938</v>
      </c>
      <c r="C1042" s="1017">
        <v>2</v>
      </c>
      <c r="D1042" s="1574" t="s">
        <v>171</v>
      </c>
      <c r="E1042" s="1708">
        <v>1200000</v>
      </c>
      <c r="F1042" s="1709">
        <f>E1042*C1042</f>
        <v>2400000</v>
      </c>
      <c r="G1042" s="1695"/>
    </row>
    <row r="1043" spans="1:8" x14ac:dyDescent="0.25">
      <c r="A1043" s="1020"/>
      <c r="B1043" s="1712" t="s">
        <v>2555</v>
      </c>
      <c r="C1043" s="1017">
        <v>1</v>
      </c>
      <c r="D1043" s="1574" t="s">
        <v>2547</v>
      </c>
      <c r="E1043" s="1708">
        <v>2000000</v>
      </c>
      <c r="F1043" s="1709">
        <f t="shared" ref="F1043:F1045" si="60">E1043*C1043</f>
        <v>2000000</v>
      </c>
      <c r="G1043" s="1695"/>
    </row>
    <row r="1044" spans="1:8" x14ac:dyDescent="0.25">
      <c r="A1044" s="1020"/>
      <c r="B1044" s="1712" t="s">
        <v>2556</v>
      </c>
      <c r="C1044" s="1017">
        <v>1</v>
      </c>
      <c r="D1044" s="1574" t="s">
        <v>2547</v>
      </c>
      <c r="E1044" s="1708">
        <v>1500000</v>
      </c>
      <c r="F1044" s="1709">
        <f t="shared" si="60"/>
        <v>1500000</v>
      </c>
      <c r="G1044" s="1695"/>
    </row>
    <row r="1045" spans="1:8" x14ac:dyDescent="0.25">
      <c r="A1045" s="1020"/>
      <c r="B1045" s="1712" t="s">
        <v>2557</v>
      </c>
      <c r="C1045" s="1017">
        <v>1</v>
      </c>
      <c r="D1045" s="1574" t="s">
        <v>2547</v>
      </c>
      <c r="E1045" s="1708">
        <v>1000000</v>
      </c>
      <c r="F1045" s="1709">
        <f t="shared" si="60"/>
        <v>1000000</v>
      </c>
      <c r="G1045" s="1695"/>
    </row>
    <row r="1046" spans="1:8" x14ac:dyDescent="0.25">
      <c r="A1046" s="1020"/>
      <c r="B1046" s="1712" t="s">
        <v>2558</v>
      </c>
      <c r="C1046" s="1017">
        <v>1</v>
      </c>
      <c r="D1046" s="1574" t="s">
        <v>2547</v>
      </c>
      <c r="E1046" s="1708">
        <v>1000000</v>
      </c>
      <c r="F1046" s="1709">
        <f t="shared" ref="F1046:F1048" si="61">E1046*C1046</f>
        <v>1000000</v>
      </c>
      <c r="G1046" s="1695"/>
    </row>
    <row r="1047" spans="1:8" x14ac:dyDescent="0.25">
      <c r="A1047" s="1020"/>
      <c r="B1047" s="1712" t="s">
        <v>2559</v>
      </c>
      <c r="C1047" s="1017">
        <v>1</v>
      </c>
      <c r="D1047" s="1574" t="s">
        <v>2547</v>
      </c>
      <c r="E1047" s="1708">
        <v>750000</v>
      </c>
      <c r="F1047" s="1709">
        <f t="shared" si="61"/>
        <v>750000</v>
      </c>
      <c r="G1047" s="1695"/>
    </row>
    <row r="1048" spans="1:8" x14ac:dyDescent="0.25">
      <c r="A1048" s="1020"/>
      <c r="B1048" s="1712" t="s">
        <v>2560</v>
      </c>
      <c r="C1048" s="1017">
        <v>1</v>
      </c>
      <c r="D1048" s="1574" t="s">
        <v>2547</v>
      </c>
      <c r="E1048" s="1708">
        <v>500000</v>
      </c>
      <c r="F1048" s="1709">
        <f t="shared" si="61"/>
        <v>500000</v>
      </c>
      <c r="G1048" s="1695"/>
    </row>
    <row r="1049" spans="1:8" x14ac:dyDescent="0.25">
      <c r="A1049" s="1020"/>
      <c r="B1049" s="1712"/>
      <c r="C1049" s="1017"/>
      <c r="D1049" s="1574"/>
      <c r="E1049" s="1708"/>
      <c r="F1049" s="1709"/>
      <c r="G1049" s="1695"/>
    </row>
    <row r="1050" spans="1:8" x14ac:dyDescent="0.25">
      <c r="A1050" s="1020"/>
      <c r="B1050" s="1712" t="s">
        <v>2569</v>
      </c>
      <c r="C1050" s="1017"/>
      <c r="D1050" s="1574"/>
      <c r="E1050" s="1708"/>
      <c r="F1050" s="1709"/>
      <c r="G1050" s="1695"/>
    </row>
    <row r="1051" spans="1:8" ht="24" x14ac:dyDescent="0.25">
      <c r="A1051" s="1020" t="s">
        <v>916</v>
      </c>
      <c r="B1051" s="1696" t="s">
        <v>307</v>
      </c>
      <c r="C1051" s="1017"/>
      <c r="D1051" s="1697"/>
      <c r="E1051" s="1698"/>
      <c r="F1051" s="1699"/>
      <c r="G1051" s="1700"/>
    </row>
    <row r="1052" spans="1:8" ht="24.75" x14ac:dyDescent="0.25">
      <c r="A1052" s="1020"/>
      <c r="B1052" s="1712" t="s">
        <v>2571</v>
      </c>
      <c r="C1052" s="1017">
        <v>100</v>
      </c>
      <c r="D1052" s="1574" t="s">
        <v>269</v>
      </c>
      <c r="E1052" s="1708">
        <v>20000</v>
      </c>
      <c r="F1052" s="1709">
        <f>E1052*C1052</f>
        <v>2000000</v>
      </c>
      <c r="G1052" s="1695"/>
      <c r="H1052">
        <v>2</v>
      </c>
    </row>
    <row r="1053" spans="1:8" ht="24.75" x14ac:dyDescent="0.25">
      <c r="A1053" s="1020" t="s">
        <v>917</v>
      </c>
      <c r="B1053" s="1706" t="s">
        <v>325</v>
      </c>
      <c r="C1053" s="1017"/>
      <c r="D1053" s="1574"/>
      <c r="E1053" s="1702"/>
      <c r="F1053" s="1703"/>
      <c r="G1053" s="1695"/>
    </row>
    <row r="1054" spans="1:8" x14ac:dyDescent="0.25">
      <c r="A1054" s="1020"/>
      <c r="B1054" s="1712" t="s">
        <v>2572</v>
      </c>
      <c r="C1054" s="1017">
        <v>1</v>
      </c>
      <c r="D1054" s="1574"/>
      <c r="E1054" s="1708">
        <v>90000</v>
      </c>
      <c r="F1054" s="1709">
        <f>E1054*C1054</f>
        <v>90000</v>
      </c>
      <c r="G1054" s="1695"/>
      <c r="H1054">
        <v>11</v>
      </c>
    </row>
    <row r="1055" spans="1:8" x14ac:dyDescent="0.25">
      <c r="A1055" s="1020"/>
      <c r="B1055" s="1712" t="s">
        <v>2573</v>
      </c>
      <c r="C1055" s="1017">
        <v>1</v>
      </c>
      <c r="D1055" s="1574"/>
      <c r="E1055" s="1708">
        <v>750000</v>
      </c>
      <c r="F1055" s="1709">
        <f>E1055*C1055</f>
        <v>750000</v>
      </c>
      <c r="G1055" s="1695"/>
      <c r="H1055">
        <v>12</v>
      </c>
    </row>
    <row r="1056" spans="1:8" x14ac:dyDescent="0.25">
      <c r="A1056" s="1020" t="s">
        <v>1048</v>
      </c>
      <c r="B1056" s="1696" t="s">
        <v>294</v>
      </c>
      <c r="C1056" s="1017"/>
      <c r="D1056" s="1574"/>
      <c r="E1056" s="1708"/>
      <c r="F1056" s="1709"/>
      <c r="G1056" s="1695"/>
    </row>
    <row r="1057" spans="1:7" x14ac:dyDescent="0.25">
      <c r="A1057" s="1020" t="s">
        <v>2561</v>
      </c>
      <c r="B1057" s="1696" t="s">
        <v>333</v>
      </c>
      <c r="C1057" s="1017"/>
      <c r="D1057" s="1574"/>
      <c r="E1057" s="1708"/>
      <c r="F1057" s="1709"/>
      <c r="G1057" s="1695"/>
    </row>
    <row r="1058" spans="1:7" x14ac:dyDescent="0.25">
      <c r="A1058" s="1020"/>
      <c r="B1058" s="1718" t="s">
        <v>2577</v>
      </c>
      <c r="C1058" s="1017">
        <v>1</v>
      </c>
      <c r="D1058" s="1574" t="s">
        <v>269</v>
      </c>
      <c r="E1058" s="1708">
        <v>300000</v>
      </c>
      <c r="F1058" s="1709">
        <f>E1058*C1058</f>
        <v>300000</v>
      </c>
      <c r="G1058" s="1695"/>
    </row>
    <row r="1059" spans="1:7" ht="37.5" customHeight="1" x14ac:dyDescent="0.25">
      <c r="A1059" s="1020"/>
      <c r="B1059" s="1712" t="s">
        <v>2562</v>
      </c>
      <c r="C1059" s="1017">
        <v>11</v>
      </c>
      <c r="D1059" s="1574" t="s">
        <v>269</v>
      </c>
      <c r="E1059" s="1708">
        <v>100000</v>
      </c>
      <c r="F1059" s="1709">
        <f>E1059*C1059</f>
        <v>1100000</v>
      </c>
      <c r="G1059" s="1695"/>
    </row>
    <row r="1060" spans="1:7" ht="37.5" customHeight="1" x14ac:dyDescent="0.25">
      <c r="A1060" s="1020"/>
      <c r="B1060" s="1712" t="s">
        <v>2568</v>
      </c>
      <c r="C1060" s="1017">
        <v>3</v>
      </c>
      <c r="D1060" s="1574" t="s">
        <v>269</v>
      </c>
      <c r="E1060" s="1708">
        <v>150000</v>
      </c>
      <c r="F1060" s="1709">
        <f>E1060*C1060</f>
        <v>450000</v>
      </c>
      <c r="G1060" s="1695"/>
    </row>
    <row r="1061" spans="1:7" x14ac:dyDescent="0.25">
      <c r="A1061" s="1020" t="s">
        <v>2538</v>
      </c>
      <c r="B1061" s="1719" t="s">
        <v>442</v>
      </c>
      <c r="C1061" s="1017"/>
      <c r="D1061" s="1574"/>
      <c r="E1061" s="1708"/>
      <c r="F1061" s="1709"/>
      <c r="G1061" s="1695"/>
    </row>
    <row r="1062" spans="1:7" x14ac:dyDescent="0.25">
      <c r="A1062" s="1020" t="s">
        <v>2539</v>
      </c>
      <c r="B1062" s="1719" t="s">
        <v>2456</v>
      </c>
      <c r="C1062" s="1017"/>
      <c r="D1062" s="1574"/>
      <c r="E1062" s="1708"/>
      <c r="F1062" s="1709"/>
      <c r="G1062" s="1695"/>
    </row>
    <row r="1063" spans="1:7" x14ac:dyDescent="0.25">
      <c r="A1063" s="1020"/>
      <c r="B1063" s="1712" t="s">
        <v>944</v>
      </c>
      <c r="C1063" s="1017">
        <v>1</v>
      </c>
      <c r="D1063" s="1574" t="s">
        <v>213</v>
      </c>
      <c r="E1063" s="1708">
        <v>1000000</v>
      </c>
      <c r="F1063" s="1709">
        <f>E1063*C1063</f>
        <v>1000000</v>
      </c>
      <c r="G1063" s="1695"/>
    </row>
    <row r="1064" spans="1:7" x14ac:dyDescent="0.25">
      <c r="A1064" s="1020" t="s">
        <v>2541</v>
      </c>
      <c r="B1064" s="1719" t="s">
        <v>2540</v>
      </c>
      <c r="C1064" s="1017"/>
      <c r="D1064" s="1574"/>
      <c r="E1064" s="1708"/>
      <c r="F1064" s="1709"/>
      <c r="G1064" s="1695"/>
    </row>
    <row r="1065" spans="1:7" x14ac:dyDescent="0.25">
      <c r="A1065" s="1020"/>
      <c r="B1065" s="1712" t="s">
        <v>2570</v>
      </c>
      <c r="C1065" s="1017">
        <v>1</v>
      </c>
      <c r="D1065" s="1574" t="s">
        <v>171</v>
      </c>
      <c r="E1065" s="1708">
        <v>1000000</v>
      </c>
      <c r="F1065" s="1709">
        <f>E1065*C1065</f>
        <v>1000000</v>
      </c>
      <c r="G1065" s="1695"/>
    </row>
    <row r="1066" spans="1:7" x14ac:dyDescent="0.25">
      <c r="A1066" s="1020" t="s">
        <v>2574</v>
      </c>
      <c r="B1066" s="1719" t="s">
        <v>2575</v>
      </c>
      <c r="C1066" s="1017"/>
      <c r="D1066" s="1574"/>
      <c r="E1066" s="1708"/>
      <c r="F1066" s="1709"/>
      <c r="G1066" s="1695"/>
    </row>
    <row r="1067" spans="1:7" x14ac:dyDescent="0.25">
      <c r="A1067" s="1020"/>
      <c r="B1067" s="1712" t="s">
        <v>2576</v>
      </c>
      <c r="C1067" s="1017">
        <v>1</v>
      </c>
      <c r="D1067" s="1574" t="s">
        <v>171</v>
      </c>
      <c r="E1067" s="1708">
        <v>5000000</v>
      </c>
      <c r="F1067" s="1709">
        <f>E1067*C1067</f>
        <v>5000000</v>
      </c>
      <c r="G1067" s="1695"/>
    </row>
    <row r="1068" spans="1:7" ht="24.75" x14ac:dyDescent="0.25">
      <c r="A1068" s="1020" t="s">
        <v>920</v>
      </c>
      <c r="B1068" s="1706" t="s">
        <v>487</v>
      </c>
      <c r="C1068" s="1017"/>
      <c r="D1068" s="1574"/>
      <c r="E1068" s="1702"/>
      <c r="F1068" s="1703"/>
      <c r="G1068" s="1695"/>
    </row>
    <row r="1069" spans="1:7" ht="24.75" x14ac:dyDescent="0.25">
      <c r="A1069" s="1020" t="s">
        <v>3512</v>
      </c>
      <c r="B1069" s="1719" t="s">
        <v>3511</v>
      </c>
      <c r="C1069" s="1017"/>
      <c r="D1069" s="1574"/>
      <c r="E1069" s="1708"/>
      <c r="F1069" s="1709"/>
      <c r="G1069" s="1695"/>
    </row>
    <row r="1070" spans="1:7" x14ac:dyDescent="0.25">
      <c r="A1070" s="1020"/>
      <c r="B1070" s="1712" t="s">
        <v>2578</v>
      </c>
      <c r="C1070" s="1017">
        <v>1</v>
      </c>
      <c r="D1070" s="1574" t="s">
        <v>171</v>
      </c>
      <c r="E1070" s="1708">
        <v>5000000</v>
      </c>
      <c r="F1070" s="1709">
        <f>E1070*C1070</f>
        <v>5000000</v>
      </c>
      <c r="G1070" s="1695"/>
    </row>
    <row r="1071" spans="1:7" x14ac:dyDescent="0.25">
      <c r="A1071" s="1020"/>
      <c r="B1071" s="1712" t="s">
        <v>2579</v>
      </c>
      <c r="C1071" s="1017">
        <v>2</v>
      </c>
      <c r="D1071" s="1574" t="s">
        <v>2547</v>
      </c>
      <c r="E1071" s="1708">
        <v>3856000</v>
      </c>
      <c r="F1071" s="1709">
        <f t="shared" ref="F1071:F1074" si="62">E1071*C1071</f>
        <v>7712000</v>
      </c>
      <c r="G1071" s="1695"/>
    </row>
    <row r="1072" spans="1:7" x14ac:dyDescent="0.25">
      <c r="A1072" s="1020"/>
      <c r="B1072" s="1712" t="s">
        <v>2580</v>
      </c>
      <c r="C1072" s="1017">
        <v>3</v>
      </c>
      <c r="D1072" s="1574" t="s">
        <v>2547</v>
      </c>
      <c r="E1072" s="1708">
        <v>1000000</v>
      </c>
      <c r="F1072" s="1709">
        <f t="shared" si="62"/>
        <v>3000000</v>
      </c>
      <c r="G1072" s="1695"/>
    </row>
    <row r="1073" spans="1:11" x14ac:dyDescent="0.25">
      <c r="A1073" s="1020"/>
      <c r="B1073" s="1712" t="s">
        <v>2581</v>
      </c>
      <c r="C1073" s="1017">
        <v>5</v>
      </c>
      <c r="D1073" s="1574" t="s">
        <v>2547</v>
      </c>
      <c r="E1073" s="1708">
        <v>111000</v>
      </c>
      <c r="F1073" s="1709">
        <f t="shared" si="62"/>
        <v>555000</v>
      </c>
      <c r="G1073" s="1695"/>
    </row>
    <row r="1074" spans="1:11" x14ac:dyDescent="0.25">
      <c r="A1074" s="1020"/>
      <c r="B1074" s="1712" t="s">
        <v>2582</v>
      </c>
      <c r="C1074" s="1017">
        <v>5</v>
      </c>
      <c r="D1074" s="1574" t="s">
        <v>2547</v>
      </c>
      <c r="E1074" s="1708">
        <v>202000</v>
      </c>
      <c r="F1074" s="1709">
        <f t="shared" si="62"/>
        <v>1010000</v>
      </c>
      <c r="G1074" s="1695"/>
    </row>
    <row r="1075" spans="1:11" x14ac:dyDescent="0.25">
      <c r="A1075" s="1032"/>
      <c r="B1075" s="2161" t="s">
        <v>26</v>
      </c>
      <c r="C1075" s="2162"/>
      <c r="D1075" s="2162"/>
      <c r="E1075" s="2163"/>
      <c r="F1075" s="1720">
        <f>SUM(F963:F1074)</f>
        <v>121004000</v>
      </c>
      <c r="G1075" s="1695"/>
      <c r="K1075" s="23"/>
    </row>
    <row r="1076" spans="1:11" x14ac:dyDescent="0.25">
      <c r="A1076" s="1979" t="s">
        <v>516</v>
      </c>
      <c r="B1076" s="1979"/>
      <c r="C1076" s="1034" t="s">
        <v>27</v>
      </c>
      <c r="D1076" s="1981" t="s">
        <v>1224</v>
      </c>
      <c r="E1076" s="1981"/>
      <c r="F1076" s="1981"/>
      <c r="G1076" s="1034"/>
    </row>
    <row r="1077" spans="1:11" x14ac:dyDescent="0.25">
      <c r="A1077" s="1979" t="s">
        <v>28</v>
      </c>
      <c r="B1077" s="1979"/>
      <c r="C1077" s="1034"/>
      <c r="D1077" s="1988" t="s">
        <v>2443</v>
      </c>
      <c r="E1077" s="1988"/>
      <c r="F1077" s="1988"/>
      <c r="G1077" s="1034"/>
    </row>
    <row r="1078" spans="1:11" x14ac:dyDescent="0.25">
      <c r="A1078" s="1037"/>
      <c r="B1078" s="1038"/>
      <c r="C1078" s="1034"/>
      <c r="D1078" s="1036"/>
      <c r="E1078" s="1035"/>
      <c r="F1078" s="1035"/>
      <c r="G1078" s="1034"/>
    </row>
    <row r="1079" spans="1:11" x14ac:dyDescent="0.25">
      <c r="A1079" s="1037"/>
      <c r="B1079" s="1038"/>
      <c r="C1079" s="1034"/>
      <c r="D1079" s="1036"/>
      <c r="E1079" s="1035"/>
      <c r="F1079" s="1035"/>
      <c r="G1079" s="1034"/>
    </row>
    <row r="1080" spans="1:11" x14ac:dyDescent="0.25">
      <c r="A1080" s="1979"/>
      <c r="B1080" s="1979"/>
      <c r="C1080" s="1034"/>
      <c r="D1080" s="1036"/>
      <c r="E1080" s="1979"/>
      <c r="F1080" s="1979"/>
      <c r="G1080" s="1034"/>
    </row>
    <row r="1081" spans="1:11" x14ac:dyDescent="0.25">
      <c r="A1081" s="1979" t="s">
        <v>29</v>
      </c>
      <c r="B1081" s="1979"/>
      <c r="C1081" s="1034"/>
      <c r="D1081" s="1979" t="s">
        <v>517</v>
      </c>
      <c r="E1081" s="1979"/>
      <c r="F1081" s="1979"/>
      <c r="G1081" s="1034"/>
    </row>
    <row r="1082" spans="1:11" x14ac:dyDescent="0.25">
      <c r="A1082" s="1947" t="s">
        <v>0</v>
      </c>
      <c r="B1082" s="1947"/>
      <c r="C1082" s="1947"/>
      <c r="D1082" s="1947"/>
      <c r="E1082" s="1947"/>
      <c r="F1082" s="1947"/>
      <c r="G1082" s="1947"/>
    </row>
    <row r="1083" spans="1:11" x14ac:dyDescent="0.25">
      <c r="A1083" s="1947" t="s">
        <v>1</v>
      </c>
      <c r="B1083" s="1947"/>
      <c r="C1083" s="1947"/>
      <c r="D1083" s="1947"/>
      <c r="E1083" s="1947"/>
      <c r="F1083" s="1947"/>
      <c r="G1083" s="1947"/>
    </row>
    <row r="1084" spans="1:11" x14ac:dyDescent="0.25">
      <c r="A1084" s="1947" t="s">
        <v>1454</v>
      </c>
      <c r="B1084" s="1947"/>
      <c r="C1084" s="1947"/>
      <c r="D1084" s="1947"/>
      <c r="E1084" s="1947"/>
      <c r="F1084" s="1947"/>
      <c r="G1084" s="1947"/>
    </row>
    <row r="1085" spans="1:11" x14ac:dyDescent="0.25">
      <c r="A1085" s="148"/>
      <c r="B1085" s="148"/>
      <c r="C1085" s="148"/>
      <c r="D1085" s="148"/>
      <c r="E1085" s="148"/>
      <c r="F1085" s="148"/>
      <c r="G1085" s="504"/>
    </row>
    <row r="1086" spans="1:11" x14ac:dyDescent="0.25">
      <c r="A1086" s="633" t="s">
        <v>458</v>
      </c>
      <c r="B1086" s="633" t="s">
        <v>827</v>
      </c>
      <c r="C1086" s="633"/>
      <c r="D1086" s="182"/>
      <c r="E1086" s="152"/>
      <c r="F1086" s="182"/>
      <c r="G1086" s="1165"/>
    </row>
    <row r="1087" spans="1:11" x14ac:dyDescent="0.25">
      <c r="A1087" s="634" t="s">
        <v>837</v>
      </c>
      <c r="B1087" s="189" t="s">
        <v>927</v>
      </c>
      <c r="C1087" s="189"/>
      <c r="D1087" s="184"/>
      <c r="E1087" s="154" t="s">
        <v>6</v>
      </c>
      <c r="F1087" s="154"/>
      <c r="G1087" s="1165"/>
    </row>
    <row r="1088" spans="1:11" ht="25.5" x14ac:dyDescent="0.25">
      <c r="A1088" s="634" t="s">
        <v>839</v>
      </c>
      <c r="B1088" s="635" t="s">
        <v>1047</v>
      </c>
      <c r="C1088" s="635"/>
      <c r="D1088" s="184"/>
      <c r="E1088" s="488" t="s">
        <v>9</v>
      </c>
      <c r="F1088" s="488"/>
      <c r="G1088" s="1165"/>
    </row>
    <row r="1089" spans="1:8" x14ac:dyDescent="0.25">
      <c r="A1089" s="190" t="s">
        <v>59</v>
      </c>
      <c r="B1089" s="190" t="s">
        <v>60</v>
      </c>
      <c r="C1089" s="190"/>
      <c r="D1089" s="152"/>
      <c r="E1089" s="152"/>
      <c r="F1089" s="152"/>
      <c r="G1089" s="1165"/>
    </row>
    <row r="1090" spans="1:8" x14ac:dyDescent="0.25">
      <c r="A1090" s="190" t="s">
        <v>61</v>
      </c>
      <c r="B1090" s="190" t="s">
        <v>432</v>
      </c>
      <c r="C1090" s="190"/>
      <c r="D1090" s="1952"/>
      <c r="E1090" s="1952"/>
      <c r="F1090" s="152"/>
      <c r="G1090" s="1165"/>
    </row>
    <row r="1091" spans="1:8" x14ac:dyDescent="0.25">
      <c r="A1091" s="151"/>
      <c r="B1091" s="151"/>
      <c r="C1091" s="151"/>
      <c r="D1091" s="151"/>
      <c r="E1091" s="151"/>
      <c r="F1091" s="151"/>
      <c r="G1091" s="1165"/>
    </row>
    <row r="1092" spans="1:8" ht="24" x14ac:dyDescent="0.25">
      <c r="A1092" s="162" t="s">
        <v>255</v>
      </c>
      <c r="B1092" s="162" t="s">
        <v>11</v>
      </c>
      <c r="C1092" s="1958" t="s">
        <v>12</v>
      </c>
      <c r="D1092" s="1958"/>
      <c r="E1092" s="230" t="s">
        <v>13</v>
      </c>
      <c r="F1092" s="231" t="s">
        <v>14</v>
      </c>
      <c r="G1092" s="1169" t="s">
        <v>256</v>
      </c>
    </row>
    <row r="1093" spans="1:8" x14ac:dyDescent="0.25">
      <c r="A1093" s="162">
        <v>1</v>
      </c>
      <c r="B1093" s="162">
        <v>2</v>
      </c>
      <c r="C1093" s="1959">
        <v>3</v>
      </c>
      <c r="D1093" s="1960"/>
      <c r="E1093" s="232">
        <v>4</v>
      </c>
      <c r="F1093" s="231">
        <v>5</v>
      </c>
      <c r="G1093" s="642">
        <v>6</v>
      </c>
    </row>
    <row r="1094" spans="1:8" x14ac:dyDescent="0.25">
      <c r="A1094" s="176" t="s">
        <v>913</v>
      </c>
      <c r="B1094" s="386" t="s">
        <v>462</v>
      </c>
      <c r="C1094" s="169"/>
      <c r="D1094" s="170"/>
      <c r="E1094" s="2"/>
      <c r="F1094" s="161"/>
      <c r="G1094" s="651"/>
    </row>
    <row r="1095" spans="1:8" x14ac:dyDescent="0.25">
      <c r="A1095" s="176" t="s">
        <v>915</v>
      </c>
      <c r="B1095" s="386" t="s">
        <v>84</v>
      </c>
      <c r="C1095" s="169"/>
      <c r="D1095" s="170"/>
      <c r="E1095" s="2"/>
      <c r="F1095" s="161"/>
      <c r="G1095" s="651"/>
    </row>
    <row r="1096" spans="1:8" x14ac:dyDescent="0.25">
      <c r="A1096" s="181" t="s">
        <v>3560</v>
      </c>
      <c r="B1096" s="177" t="s">
        <v>3561</v>
      </c>
      <c r="C1096" s="178"/>
      <c r="D1096" s="362"/>
      <c r="E1096" s="179"/>
      <c r="F1096" s="324"/>
      <c r="G1096" s="651"/>
    </row>
    <row r="1097" spans="1:8" x14ac:dyDescent="0.25">
      <c r="A1097" s="181"/>
      <c r="B1097" s="177" t="s">
        <v>1460</v>
      </c>
      <c r="C1097" s="178">
        <v>20</v>
      </c>
      <c r="D1097" s="362" t="s">
        <v>106</v>
      </c>
      <c r="E1097" s="179">
        <v>7000</v>
      </c>
      <c r="F1097" s="324">
        <f>E1097*C1097</f>
        <v>140000</v>
      </c>
      <c r="G1097" s="651"/>
    </row>
    <row r="1098" spans="1:8" ht="24.75" x14ac:dyDescent="0.25">
      <c r="A1098" s="181" t="s">
        <v>916</v>
      </c>
      <c r="B1098" s="386" t="s">
        <v>307</v>
      </c>
      <c r="C1098" s="178"/>
      <c r="D1098" s="362"/>
      <c r="E1098" s="179"/>
      <c r="F1098" s="324"/>
      <c r="G1098" s="651"/>
    </row>
    <row r="1099" spans="1:8" x14ac:dyDescent="0.25">
      <c r="A1099" s="181"/>
      <c r="B1099" s="181" t="s">
        <v>1256</v>
      </c>
      <c r="C1099" s="178">
        <v>30</v>
      </c>
      <c r="D1099" s="170" t="s">
        <v>381</v>
      </c>
      <c r="E1099" s="179">
        <v>20000</v>
      </c>
      <c r="F1099" s="324">
        <f>E1099*C1099</f>
        <v>600000</v>
      </c>
      <c r="G1099" s="651"/>
    </row>
    <row r="1100" spans="1:8" ht="24.75" x14ac:dyDescent="0.25">
      <c r="A1100" s="181"/>
      <c r="B1100" s="177" t="s">
        <v>1690</v>
      </c>
      <c r="C1100" s="178">
        <f>12*20</f>
        <v>240</v>
      </c>
      <c r="D1100" s="170" t="s">
        <v>269</v>
      </c>
      <c r="E1100" s="179">
        <v>20000</v>
      </c>
      <c r="F1100" s="324">
        <f>E1100*C1100</f>
        <v>4800000</v>
      </c>
      <c r="G1100" s="651"/>
    </row>
    <row r="1101" spans="1:8" ht="24.75" x14ac:dyDescent="0.25">
      <c r="A1101" s="181" t="s">
        <v>917</v>
      </c>
      <c r="B1101" s="386" t="s">
        <v>325</v>
      </c>
      <c r="C1101" s="178"/>
      <c r="D1101" s="170"/>
      <c r="E1101" s="179"/>
      <c r="F1101" s="324"/>
      <c r="G1101" s="651"/>
    </row>
    <row r="1102" spans="1:8" x14ac:dyDescent="0.25">
      <c r="A1102" s="181"/>
      <c r="B1102" s="181" t="s">
        <v>326</v>
      </c>
      <c r="C1102" s="178">
        <v>1</v>
      </c>
      <c r="D1102" s="170" t="s">
        <v>90</v>
      </c>
      <c r="E1102" s="179">
        <v>123584.66</v>
      </c>
      <c r="F1102" s="324">
        <f>E1102*C1102</f>
        <v>123584.66</v>
      </c>
      <c r="G1102" s="651"/>
      <c r="H1102" s="23"/>
    </row>
    <row r="1103" spans="1:8" ht="36.75" x14ac:dyDescent="0.25">
      <c r="A1103" s="181" t="s">
        <v>918</v>
      </c>
      <c r="B1103" s="386" t="s">
        <v>2583</v>
      </c>
      <c r="C1103" s="178"/>
      <c r="D1103" s="170"/>
      <c r="E1103" s="179"/>
      <c r="F1103" s="324"/>
      <c r="G1103" s="651"/>
    </row>
    <row r="1104" spans="1:8" x14ac:dyDescent="0.25">
      <c r="A1104" s="181"/>
      <c r="B1104" s="177" t="s">
        <v>2584</v>
      </c>
      <c r="C1104" s="178">
        <v>17</v>
      </c>
      <c r="D1104" s="170" t="s">
        <v>106</v>
      </c>
      <c r="E1104" s="179">
        <v>310000</v>
      </c>
      <c r="F1104" s="324">
        <f>E1104*C1104</f>
        <v>5270000</v>
      </c>
      <c r="G1104" s="651"/>
    </row>
    <row r="1105" spans="1:24" x14ac:dyDescent="0.25">
      <c r="A1105" s="181"/>
      <c r="B1105" s="181"/>
      <c r="C1105" s="178"/>
      <c r="D1105" s="170"/>
      <c r="E1105" s="179"/>
      <c r="F1105" s="324"/>
      <c r="G1105" s="651"/>
    </row>
    <row r="1106" spans="1:24" x14ac:dyDescent="0.25">
      <c r="A1106" s="181" t="s">
        <v>919</v>
      </c>
      <c r="B1106" s="386" t="s">
        <v>273</v>
      </c>
      <c r="C1106" s="178"/>
      <c r="D1106" s="170"/>
      <c r="E1106" s="179"/>
      <c r="F1106" s="324"/>
      <c r="G1106" s="651"/>
    </row>
    <row r="1107" spans="1:24" x14ac:dyDescent="0.25">
      <c r="A1107" s="181"/>
      <c r="B1107" s="181" t="s">
        <v>422</v>
      </c>
      <c r="C1107" s="178">
        <v>1</v>
      </c>
      <c r="D1107" s="170" t="s">
        <v>90</v>
      </c>
      <c r="E1107" s="179">
        <v>50000</v>
      </c>
      <c r="F1107" s="324">
        <f>E1107*C1107</f>
        <v>50000</v>
      </c>
      <c r="G1107" s="651"/>
    </row>
    <row r="1108" spans="1:24" x14ac:dyDescent="0.25">
      <c r="A1108" s="181"/>
      <c r="B1108" s="181" t="s">
        <v>275</v>
      </c>
      <c r="C1108" s="178">
        <v>5</v>
      </c>
      <c r="D1108" s="170" t="s">
        <v>158</v>
      </c>
      <c r="E1108" s="179">
        <v>1000</v>
      </c>
      <c r="F1108" s="324">
        <f>E1108*C1108</f>
        <v>5000</v>
      </c>
      <c r="G1108" s="651"/>
    </row>
    <row r="1109" spans="1:24" x14ac:dyDescent="0.25">
      <c r="A1109" s="181"/>
      <c r="B1109" s="181" t="s">
        <v>289</v>
      </c>
      <c r="C1109" s="178">
        <v>1</v>
      </c>
      <c r="D1109" s="170" t="s">
        <v>290</v>
      </c>
      <c r="E1109" s="179">
        <v>10000</v>
      </c>
      <c r="F1109" s="324">
        <f>E1109*C1109</f>
        <v>10000</v>
      </c>
      <c r="G1109" s="651"/>
    </row>
    <row r="1110" spans="1:24" x14ac:dyDescent="0.25">
      <c r="A1110" s="181" t="s">
        <v>1048</v>
      </c>
      <c r="B1110" s="480" t="s">
        <v>478</v>
      </c>
      <c r="C1110" s="178"/>
      <c r="D1110" s="170"/>
      <c r="E1110" s="195"/>
      <c r="F1110" s="324"/>
      <c r="G1110" s="651"/>
    </row>
    <row r="1111" spans="1:24" ht="36.75" x14ac:dyDescent="0.25">
      <c r="A1111" s="181" t="s">
        <v>1049</v>
      </c>
      <c r="B1111" s="386" t="s">
        <v>842</v>
      </c>
      <c r="C1111" s="178"/>
      <c r="D1111" s="170"/>
      <c r="E1111" s="195"/>
      <c r="F1111" s="398"/>
      <c r="G1111" s="651"/>
    </row>
    <row r="1112" spans="1:24" x14ac:dyDescent="0.25">
      <c r="A1112" s="181"/>
      <c r="B1112" s="181" t="s">
        <v>1050</v>
      </c>
      <c r="C1112" s="178">
        <v>2</v>
      </c>
      <c r="D1112" s="170" t="s">
        <v>1533</v>
      </c>
      <c r="E1112" s="195">
        <v>300000</v>
      </c>
      <c r="F1112" s="398">
        <f>E1112*C1112</f>
        <v>600000</v>
      </c>
      <c r="G1112" s="651"/>
    </row>
    <row r="1113" spans="1:24" x14ac:dyDescent="0.25">
      <c r="A1113" s="181"/>
      <c r="B1113" s="636"/>
      <c r="C1113" s="198"/>
      <c r="D1113" s="400"/>
      <c r="E1113" s="377"/>
      <c r="F1113" s="323"/>
      <c r="G1113" s="651"/>
    </row>
    <row r="1114" spans="1:24" ht="36.75" x14ac:dyDescent="0.25">
      <c r="A1114" s="206"/>
      <c r="B1114" s="1990" t="s">
        <v>26</v>
      </c>
      <c r="C1114" s="1990"/>
      <c r="D1114" s="1990"/>
      <c r="E1114" s="1990"/>
      <c r="F1114" s="324">
        <f>SUM(F1097:F1112)</f>
        <v>11598584.66</v>
      </c>
      <c r="G1114" s="651" t="s">
        <v>3297</v>
      </c>
      <c r="K1114" s="23"/>
      <c r="X1114" s="23">
        <f>F1114</f>
        <v>11598584.66</v>
      </c>
    </row>
    <row r="1115" spans="1:24" x14ac:dyDescent="0.25">
      <c r="A1115" s="1926" t="s">
        <v>516</v>
      </c>
      <c r="B1115" s="1926"/>
      <c r="C1115" s="152" t="s">
        <v>27</v>
      </c>
      <c r="D1115" s="1926" t="s">
        <v>3654</v>
      </c>
      <c r="E1115" s="1926"/>
      <c r="F1115" s="1926"/>
      <c r="G1115" s="152"/>
    </row>
    <row r="1116" spans="1:24" x14ac:dyDescent="0.25">
      <c r="A1116" s="1926" t="s">
        <v>28</v>
      </c>
      <c r="B1116" s="1926"/>
      <c r="C1116" s="152"/>
      <c r="D1116" s="1927" t="s">
        <v>3570</v>
      </c>
      <c r="E1116" s="1927"/>
      <c r="F1116" s="1927"/>
      <c r="G1116" s="152"/>
    </row>
    <row r="1117" spans="1:24" x14ac:dyDescent="0.25">
      <c r="A1117" s="150"/>
      <c r="B1117" s="151"/>
      <c r="C1117" s="152"/>
      <c r="D1117" s="153"/>
      <c r="E1117" s="182"/>
      <c r="F1117" s="1208"/>
      <c r="G1117" s="152"/>
    </row>
    <row r="1118" spans="1:24" x14ac:dyDescent="0.25">
      <c r="A1118" s="150"/>
      <c r="B1118" s="151"/>
      <c r="C1118" s="152"/>
      <c r="D1118" s="153"/>
      <c r="E1118" s="182"/>
      <c r="F1118" s="1208"/>
      <c r="G1118" s="152"/>
    </row>
    <row r="1119" spans="1:24" x14ac:dyDescent="0.25">
      <c r="A1119" s="1926"/>
      <c r="B1119" s="1926"/>
      <c r="C1119" s="152"/>
      <c r="D1119" s="153"/>
      <c r="E1119" s="2003"/>
      <c r="F1119" s="2003"/>
      <c r="G1119" s="152"/>
    </row>
    <row r="1120" spans="1:24" x14ac:dyDescent="0.25">
      <c r="A1120" s="1926" t="s">
        <v>29</v>
      </c>
      <c r="B1120" s="1926"/>
      <c r="C1120" s="152"/>
      <c r="D1120" s="1926" t="s">
        <v>3548</v>
      </c>
      <c r="E1120" s="1926"/>
      <c r="F1120" s="1926"/>
      <c r="G1120" s="152"/>
    </row>
    <row r="1121" spans="1:11" x14ac:dyDescent="0.25">
      <c r="A1121" s="1956" t="s">
        <v>0</v>
      </c>
      <c r="B1121" s="1956"/>
      <c r="C1121" s="1956"/>
      <c r="D1121" s="1956"/>
      <c r="E1121" s="1956"/>
      <c r="F1121" s="1956"/>
      <c r="G1121" s="504"/>
    </row>
    <row r="1122" spans="1:11" x14ac:dyDescent="0.25">
      <c r="A1122" s="1956" t="s">
        <v>1</v>
      </c>
      <c r="B1122" s="1956"/>
      <c r="C1122" s="1956"/>
      <c r="D1122" s="1956"/>
      <c r="E1122" s="1956"/>
      <c r="F1122" s="1956"/>
      <c r="G1122" s="504"/>
    </row>
    <row r="1123" spans="1:11" x14ac:dyDescent="0.25">
      <c r="A1123" s="1956" t="s">
        <v>2398</v>
      </c>
      <c r="B1123" s="1956"/>
      <c r="C1123" s="1956"/>
      <c r="D1123" s="1956"/>
      <c r="E1123" s="1956"/>
      <c r="F1123" s="1956"/>
      <c r="G1123" s="504"/>
    </row>
    <row r="1124" spans="1:11" x14ac:dyDescent="0.25">
      <c r="A1124" s="259"/>
      <c r="B1124" s="259"/>
      <c r="C1124" s="259"/>
      <c r="D1124" s="259"/>
      <c r="E1124" s="259"/>
      <c r="F1124" s="259"/>
      <c r="G1124" s="504"/>
    </row>
    <row r="1125" spans="1:11" x14ac:dyDescent="0.25">
      <c r="A1125" s="187" t="s">
        <v>251</v>
      </c>
      <c r="B1125" s="187" t="s">
        <v>827</v>
      </c>
      <c r="C1125" s="187"/>
      <c r="D1125" s="187"/>
      <c r="E1125" s="187"/>
      <c r="F1125" s="187"/>
      <c r="G1125" s="405"/>
    </row>
    <row r="1126" spans="1:11" x14ac:dyDescent="0.25">
      <c r="A1126" s="187" t="s">
        <v>252</v>
      </c>
      <c r="B1126" s="187" t="s">
        <v>853</v>
      </c>
      <c r="C1126" s="187"/>
      <c r="D1126" s="187"/>
      <c r="E1126" s="187"/>
      <c r="F1126" s="187" t="s">
        <v>6</v>
      </c>
      <c r="G1126" s="405"/>
    </row>
    <row r="1127" spans="1:11" ht="45" x14ac:dyDescent="0.25">
      <c r="A1127" s="764" t="s">
        <v>253</v>
      </c>
      <c r="B1127" s="765" t="s">
        <v>1534</v>
      </c>
      <c r="C1127" s="765"/>
      <c r="D1127" s="765"/>
      <c r="E1127" s="765"/>
      <c r="F1127" s="765" t="s">
        <v>1257</v>
      </c>
      <c r="G1127" s="1170"/>
    </row>
    <row r="1128" spans="1:11" ht="30" x14ac:dyDescent="0.25">
      <c r="A1128" s="766" t="s">
        <v>428</v>
      </c>
      <c r="B1128" s="764" t="s">
        <v>60</v>
      </c>
      <c r="C1128" s="764"/>
      <c r="D1128" s="764"/>
      <c r="E1128" s="764"/>
      <c r="F1128" s="764"/>
      <c r="G1128" s="1170"/>
    </row>
    <row r="1129" spans="1:11" ht="30" x14ac:dyDescent="0.25">
      <c r="A1129" s="767" t="s">
        <v>61</v>
      </c>
      <c r="B1129" s="768" t="s">
        <v>62</v>
      </c>
      <c r="C1129" s="768"/>
      <c r="D1129" s="768"/>
      <c r="E1129" s="768"/>
      <c r="F1129" s="768"/>
      <c r="G1129" s="1171"/>
    </row>
    <row r="1130" spans="1:11" ht="30" x14ac:dyDescent="0.25">
      <c r="A1130" s="750" t="s">
        <v>255</v>
      </c>
      <c r="B1130" s="750" t="s">
        <v>11</v>
      </c>
      <c r="C1130" s="2112" t="s">
        <v>12</v>
      </c>
      <c r="D1130" s="2113"/>
      <c r="E1130" s="750" t="s">
        <v>13</v>
      </c>
      <c r="F1130" s="750" t="s">
        <v>14</v>
      </c>
      <c r="G1130" s="415" t="s">
        <v>256</v>
      </c>
    </row>
    <row r="1131" spans="1:11" x14ac:dyDescent="0.25">
      <c r="A1131" s="274">
        <v>1</v>
      </c>
      <c r="B1131" s="274">
        <v>2</v>
      </c>
      <c r="C1131" s="2114">
        <v>3</v>
      </c>
      <c r="D1131" s="2115"/>
      <c r="E1131" s="274">
        <v>4</v>
      </c>
      <c r="F1131" s="274">
        <v>5</v>
      </c>
      <c r="G1131" s="979">
        <v>6</v>
      </c>
    </row>
    <row r="1132" spans="1:11" x14ac:dyDescent="0.25">
      <c r="A1132" s="981" t="s">
        <v>925</v>
      </c>
      <c r="B1132" s="982" t="s">
        <v>277</v>
      </c>
      <c r="C1132" s="420"/>
      <c r="D1132" s="439"/>
      <c r="E1132" s="205"/>
      <c r="F1132" s="205"/>
      <c r="G1132" s="410"/>
    </row>
    <row r="1133" spans="1:11" x14ac:dyDescent="0.25">
      <c r="A1133" s="600" t="s">
        <v>1258</v>
      </c>
      <c r="B1133" s="495" t="s">
        <v>84</v>
      </c>
      <c r="C1133" s="446"/>
      <c r="D1133" s="447"/>
      <c r="E1133" s="410"/>
      <c r="F1133" s="410"/>
      <c r="G1133" s="410"/>
    </row>
    <row r="1134" spans="1:11" ht="24.75" x14ac:dyDescent="0.25">
      <c r="A1134" s="981"/>
      <c r="B1134" s="495" t="s">
        <v>679</v>
      </c>
      <c r="C1134" s="420"/>
      <c r="D1134" s="439"/>
      <c r="E1134" s="205"/>
      <c r="F1134" s="205"/>
      <c r="G1134" s="410"/>
    </row>
    <row r="1135" spans="1:11" x14ac:dyDescent="0.25">
      <c r="A1135" s="205"/>
      <c r="B1135" s="205" t="s">
        <v>1752</v>
      </c>
      <c r="C1135" s="420">
        <v>35</v>
      </c>
      <c r="D1135" s="439" t="s">
        <v>93</v>
      </c>
      <c r="E1135" s="983">
        <v>5000</v>
      </c>
      <c r="F1135" s="983">
        <f t="shared" ref="F1135:F1137" si="63">C1135*E1135</f>
        <v>175000</v>
      </c>
      <c r="G1135" s="415" t="s">
        <v>1220</v>
      </c>
      <c r="K1135" s="139">
        <f>F1135</f>
        <v>175000</v>
      </c>
    </row>
    <row r="1136" spans="1:11" x14ac:dyDescent="0.25">
      <c r="A1136" s="205"/>
      <c r="B1136" s="205" t="s">
        <v>105</v>
      </c>
      <c r="C1136" s="420">
        <v>35</v>
      </c>
      <c r="D1136" s="439" t="s">
        <v>93</v>
      </c>
      <c r="E1136" s="983">
        <v>7000</v>
      </c>
      <c r="F1136" s="983">
        <f t="shared" si="63"/>
        <v>245000</v>
      </c>
      <c r="G1136" s="415" t="s">
        <v>1220</v>
      </c>
      <c r="K1136" s="139">
        <f t="shared" ref="K1136:K1137" si="64">F1136</f>
        <v>245000</v>
      </c>
    </row>
    <row r="1137" spans="1:24" x14ac:dyDescent="0.25">
      <c r="A1137" s="205"/>
      <c r="B1137" s="205" t="s">
        <v>1456</v>
      </c>
      <c r="C1137" s="420">
        <v>35</v>
      </c>
      <c r="D1137" s="439" t="s">
        <v>93</v>
      </c>
      <c r="E1137" s="983">
        <v>38000</v>
      </c>
      <c r="F1137" s="983">
        <f t="shared" si="63"/>
        <v>1330000</v>
      </c>
      <c r="G1137" s="415" t="s">
        <v>1220</v>
      </c>
      <c r="K1137" s="139">
        <f t="shared" si="64"/>
        <v>1330000</v>
      </c>
    </row>
    <row r="1138" spans="1:24" ht="24.75" x14ac:dyDescent="0.25">
      <c r="A1138" s="981" t="s">
        <v>924</v>
      </c>
      <c r="B1138" s="495" t="s">
        <v>307</v>
      </c>
      <c r="C1138" s="347"/>
      <c r="D1138" s="425"/>
      <c r="E1138" s="984" t="s">
        <v>407</v>
      </c>
      <c r="F1138" s="984"/>
      <c r="G1138" s="410"/>
    </row>
    <row r="1139" spans="1:24" x14ac:dyDescent="0.25">
      <c r="A1139" s="600"/>
      <c r="B1139" s="410" t="s">
        <v>1535</v>
      </c>
      <c r="C1139" s="424">
        <v>40</v>
      </c>
      <c r="D1139" s="599" t="s">
        <v>269</v>
      </c>
      <c r="E1139" s="985">
        <v>20000</v>
      </c>
      <c r="F1139" s="985">
        <f>C1139*E1139</f>
        <v>800000</v>
      </c>
      <c r="G1139" s="415" t="s">
        <v>1220</v>
      </c>
      <c r="K1139" s="1175">
        <f>F1139</f>
        <v>800000</v>
      </c>
    </row>
    <row r="1140" spans="1:24" ht="24.75" x14ac:dyDescent="0.25">
      <c r="A1140" s="600"/>
      <c r="B1140" s="410" t="s">
        <v>1689</v>
      </c>
      <c r="C1140" s="424">
        <f>40*12</f>
        <v>480</v>
      </c>
      <c r="D1140" s="599" t="s">
        <v>269</v>
      </c>
      <c r="E1140" s="985">
        <v>20000</v>
      </c>
      <c r="F1140" s="985">
        <f>E1140*C1140</f>
        <v>9600000</v>
      </c>
      <c r="G1140" s="415" t="s">
        <v>3297</v>
      </c>
      <c r="X1140" s="1175">
        <f>F1140</f>
        <v>9600000</v>
      </c>
    </row>
    <row r="1141" spans="1:24" ht="24.75" x14ac:dyDescent="0.25">
      <c r="A1141" s="981" t="s">
        <v>923</v>
      </c>
      <c r="B1141" s="495" t="s">
        <v>325</v>
      </c>
      <c r="C1141" s="347"/>
      <c r="D1141" s="425"/>
      <c r="E1141" s="984"/>
      <c r="F1141" s="984"/>
      <c r="G1141" s="410"/>
    </row>
    <row r="1142" spans="1:24" x14ac:dyDescent="0.25">
      <c r="A1142" s="981"/>
      <c r="B1142" s="205" t="s">
        <v>326</v>
      </c>
      <c r="C1142" s="347">
        <v>1</v>
      </c>
      <c r="D1142" s="425" t="s">
        <v>93</v>
      </c>
      <c r="E1142" s="984">
        <v>90000</v>
      </c>
      <c r="F1142" s="984">
        <f>C1142*E1142</f>
        <v>90000</v>
      </c>
      <c r="G1142" s="415" t="s">
        <v>1220</v>
      </c>
      <c r="K1142" s="1175">
        <f>F1142</f>
        <v>90000</v>
      </c>
    </row>
    <row r="1143" spans="1:24" ht="24.75" x14ac:dyDescent="0.25">
      <c r="A1143" s="981" t="s">
        <v>1259</v>
      </c>
      <c r="B1143" s="495" t="s">
        <v>746</v>
      </c>
      <c r="C1143" s="347"/>
      <c r="D1143" s="425"/>
      <c r="E1143" s="984"/>
      <c r="F1143" s="984"/>
      <c r="G1143" s="410"/>
    </row>
    <row r="1144" spans="1:24" x14ac:dyDescent="0.25">
      <c r="A1144" s="981"/>
      <c r="B1144" s="205" t="s">
        <v>3513</v>
      </c>
      <c r="C1144" s="347">
        <v>35</v>
      </c>
      <c r="D1144" s="425" t="s">
        <v>93</v>
      </c>
      <c r="E1144" s="984">
        <v>1017000</v>
      </c>
      <c r="F1144" s="984">
        <f>C1144*E1144</f>
        <v>35595000</v>
      </c>
      <c r="G1144" s="415" t="s">
        <v>1220</v>
      </c>
      <c r="K1144" s="1175">
        <f>F1144</f>
        <v>35595000</v>
      </c>
    </row>
    <row r="1145" spans="1:24" x14ac:dyDescent="0.25">
      <c r="A1145" s="981" t="s">
        <v>922</v>
      </c>
      <c r="B1145" s="982" t="s">
        <v>349</v>
      </c>
      <c r="C1145" s="347"/>
      <c r="D1145" s="425"/>
      <c r="E1145" s="984"/>
      <c r="F1145" s="984"/>
      <c r="G1145" s="410"/>
    </row>
    <row r="1146" spans="1:24" ht="24" x14ac:dyDescent="0.25">
      <c r="A1146" s="600" t="s">
        <v>1260</v>
      </c>
      <c r="B1146" s="986" t="s">
        <v>1536</v>
      </c>
      <c r="C1146" s="424"/>
      <c r="D1146" s="599"/>
      <c r="E1146" s="985"/>
      <c r="F1146" s="985"/>
      <c r="G1146" s="410"/>
    </row>
    <row r="1147" spans="1:24" x14ac:dyDescent="0.25">
      <c r="A1147" s="205"/>
      <c r="B1147" s="205" t="s">
        <v>1537</v>
      </c>
      <c r="C1147" s="347">
        <v>2</v>
      </c>
      <c r="D1147" s="425" t="s">
        <v>1533</v>
      </c>
      <c r="E1147" s="984">
        <v>300000</v>
      </c>
      <c r="F1147" s="984">
        <f>C1147*E1147</f>
        <v>600000</v>
      </c>
      <c r="G1147" s="415" t="s">
        <v>1220</v>
      </c>
      <c r="K1147" s="1175">
        <f>F1147</f>
        <v>600000</v>
      </c>
    </row>
    <row r="1148" spans="1:24" x14ac:dyDescent="0.25">
      <c r="A1148" s="205"/>
      <c r="B1148" s="205"/>
      <c r="C1148" s="347"/>
      <c r="D1148" s="425"/>
      <c r="E1148" s="984"/>
      <c r="F1148" s="984"/>
      <c r="G1148" s="415"/>
    </row>
    <row r="1149" spans="1:24" x14ac:dyDescent="0.25">
      <c r="A1149" s="600" t="s">
        <v>3410</v>
      </c>
      <c r="B1149" s="410" t="s">
        <v>442</v>
      </c>
      <c r="C1149" s="347"/>
      <c r="D1149" s="425"/>
      <c r="E1149" s="984"/>
      <c r="F1149" s="984"/>
      <c r="G1149" s="415"/>
    </row>
    <row r="1150" spans="1:24" ht="24.75" x14ac:dyDescent="0.25">
      <c r="A1150" s="600" t="s">
        <v>3411</v>
      </c>
      <c r="B1150" s="410" t="s">
        <v>3514</v>
      </c>
      <c r="C1150" s="347"/>
      <c r="D1150" s="425"/>
      <c r="E1150" s="984"/>
      <c r="F1150" s="984"/>
      <c r="G1150" s="415"/>
    </row>
    <row r="1151" spans="1:24" x14ac:dyDescent="0.25">
      <c r="A1151" s="205"/>
      <c r="B1151" s="205" t="s">
        <v>3412</v>
      </c>
      <c r="C1151" s="420">
        <v>40</v>
      </c>
      <c r="D1151" s="439" t="s">
        <v>269</v>
      </c>
      <c r="E1151" s="984">
        <v>500000</v>
      </c>
      <c r="F1151" s="984">
        <f>E1151*C1151</f>
        <v>20000000</v>
      </c>
      <c r="G1151" s="410" t="s">
        <v>1223</v>
      </c>
      <c r="Q1151" s="1175">
        <f>F1151</f>
        <v>20000000</v>
      </c>
    </row>
    <row r="1152" spans="1:24" x14ac:dyDescent="0.25">
      <c r="A1152" s="205"/>
      <c r="B1152" s="700" t="s">
        <v>26</v>
      </c>
      <c r="C1152" s="987"/>
      <c r="D1152" s="988"/>
      <c r="E1152" s="989"/>
      <c r="F1152" s="989">
        <f>SUM(F1135:F1151)</f>
        <v>68435000</v>
      </c>
      <c r="G1152" s="415"/>
      <c r="K1152" s="1175"/>
    </row>
    <row r="1153" spans="1:7" x14ac:dyDescent="0.25">
      <c r="A1153" s="1926" t="s">
        <v>516</v>
      </c>
      <c r="B1153" s="1926"/>
      <c r="C1153" s="152" t="s">
        <v>27</v>
      </c>
      <c r="D1153" s="1926" t="s">
        <v>3654</v>
      </c>
      <c r="E1153" s="1926"/>
      <c r="F1153" s="1926"/>
      <c r="G1153" s="152"/>
    </row>
    <row r="1154" spans="1:7" x14ac:dyDescent="0.25">
      <c r="A1154" s="1926" t="s">
        <v>28</v>
      </c>
      <c r="B1154" s="1926"/>
      <c r="C1154" s="152"/>
      <c r="D1154" s="1927" t="s">
        <v>3570</v>
      </c>
      <c r="E1154" s="1927"/>
      <c r="F1154" s="1927"/>
      <c r="G1154" s="152"/>
    </row>
    <row r="1155" spans="1:7" x14ac:dyDescent="0.25">
      <c r="A1155" s="150"/>
      <c r="B1155" s="151"/>
      <c r="C1155" s="152"/>
      <c r="D1155" s="153"/>
      <c r="E1155" s="182"/>
      <c r="F1155" s="1208"/>
      <c r="G1155" s="152"/>
    </row>
    <row r="1156" spans="1:7" x14ac:dyDescent="0.25">
      <c r="A1156" s="150"/>
      <c r="B1156" s="151"/>
      <c r="C1156" s="152"/>
      <c r="D1156" s="153"/>
      <c r="E1156" s="182"/>
      <c r="F1156" s="1208"/>
      <c r="G1156" s="152"/>
    </row>
    <row r="1157" spans="1:7" x14ac:dyDescent="0.25">
      <c r="A1157" s="1926"/>
      <c r="B1157" s="1926"/>
      <c r="C1157" s="152"/>
      <c r="D1157" s="153"/>
      <c r="E1157" s="2003"/>
      <c r="F1157" s="2003"/>
      <c r="G1157" s="152"/>
    </row>
    <row r="1158" spans="1:7" x14ac:dyDescent="0.25">
      <c r="A1158" s="1926" t="s">
        <v>29</v>
      </c>
      <c r="B1158" s="1926"/>
      <c r="C1158" s="152"/>
      <c r="D1158" s="1926" t="s">
        <v>3548</v>
      </c>
      <c r="E1158" s="1926"/>
      <c r="F1158" s="1926"/>
      <c r="G1158" s="152"/>
    </row>
    <row r="1161" spans="1:7" ht="15.75" x14ac:dyDescent="0.25">
      <c r="A1161" s="2107" t="s">
        <v>0</v>
      </c>
      <c r="B1161" s="2107"/>
      <c r="C1161" s="2107"/>
      <c r="D1161" s="2107"/>
      <c r="E1161" s="2107"/>
      <c r="F1161" s="2107"/>
      <c r="G1161" s="504"/>
    </row>
    <row r="1162" spans="1:7" ht="15.75" x14ac:dyDescent="0.25">
      <c r="A1162" s="2107" t="s">
        <v>1</v>
      </c>
      <c r="B1162" s="2107"/>
      <c r="C1162" s="2107"/>
      <c r="D1162" s="2107"/>
      <c r="E1162" s="2107"/>
      <c r="F1162" s="2107"/>
      <c r="G1162" s="504"/>
    </row>
    <row r="1163" spans="1:7" ht="15.75" x14ac:dyDescent="0.25">
      <c r="A1163" s="2107" t="s">
        <v>2398</v>
      </c>
      <c r="B1163" s="2107"/>
      <c r="C1163" s="2107"/>
      <c r="D1163" s="2107"/>
      <c r="E1163" s="2107"/>
      <c r="F1163" s="2107"/>
      <c r="G1163" s="504"/>
    </row>
    <row r="1164" spans="1:7" ht="15.75" x14ac:dyDescent="0.25">
      <c r="A1164" s="771"/>
      <c r="B1164" s="771"/>
      <c r="C1164" s="771"/>
      <c r="D1164" s="771"/>
      <c r="E1164" s="771"/>
      <c r="F1164" s="771"/>
      <c r="G1164" s="504"/>
    </row>
    <row r="1165" spans="1:7" ht="15.75" x14ac:dyDescent="0.25">
      <c r="A1165" s="772" t="s">
        <v>251</v>
      </c>
      <c r="B1165" s="772" t="s">
        <v>827</v>
      </c>
      <c r="C1165" s="772"/>
      <c r="D1165" s="772"/>
      <c r="E1165" s="772"/>
      <c r="F1165" s="772"/>
      <c r="G1165" s="405"/>
    </row>
    <row r="1166" spans="1:7" ht="15.75" x14ac:dyDescent="0.25">
      <c r="A1166" s="772" t="s">
        <v>252</v>
      </c>
      <c r="B1166" s="772" t="s">
        <v>853</v>
      </c>
      <c r="C1166" s="772"/>
      <c r="D1166" s="772"/>
      <c r="E1166" s="772" t="s">
        <v>6</v>
      </c>
      <c r="F1166" s="772"/>
      <c r="G1166" s="405"/>
    </row>
    <row r="1167" spans="1:7" ht="47.25" x14ac:dyDescent="0.25">
      <c r="A1167" s="774" t="s">
        <v>253</v>
      </c>
      <c r="B1167" s="775" t="s">
        <v>955</v>
      </c>
      <c r="C1167" s="776"/>
      <c r="D1167" s="777"/>
      <c r="E1167" s="777" t="s">
        <v>1257</v>
      </c>
      <c r="F1167" s="774"/>
      <c r="G1167" s="1170"/>
    </row>
    <row r="1168" spans="1:7" ht="31.5" x14ac:dyDescent="0.25">
      <c r="A1168" s="776" t="s">
        <v>428</v>
      </c>
      <c r="B1168" s="778" t="s">
        <v>60</v>
      </c>
      <c r="C1168" s="778"/>
      <c r="D1168" s="778"/>
      <c r="E1168" s="778"/>
      <c r="F1168" s="778"/>
      <c r="G1168" s="1172"/>
    </row>
    <row r="1169" spans="1:24" ht="31.5" x14ac:dyDescent="0.25">
      <c r="A1169" s="773" t="s">
        <v>61</v>
      </c>
      <c r="B1169" s="772" t="s">
        <v>62</v>
      </c>
      <c r="C1169" s="772"/>
      <c r="D1169" s="772"/>
      <c r="E1169" s="772"/>
      <c r="F1169" s="772"/>
      <c r="G1169" s="405"/>
    </row>
    <row r="1170" spans="1:24" ht="31.5" x14ac:dyDescent="0.25">
      <c r="A1170" s="779" t="s">
        <v>30</v>
      </c>
      <c r="B1170" s="779" t="s">
        <v>11</v>
      </c>
      <c r="C1170" s="2108" t="s">
        <v>12</v>
      </c>
      <c r="D1170" s="2109"/>
      <c r="E1170" s="780" t="s">
        <v>13</v>
      </c>
      <c r="F1170" s="779" t="s">
        <v>14</v>
      </c>
      <c r="G1170" s="164" t="s">
        <v>34</v>
      </c>
    </row>
    <row r="1171" spans="1:24" ht="15.75" x14ac:dyDescent="0.25">
      <c r="A1171" s="781">
        <v>1</v>
      </c>
      <c r="B1171" s="781">
        <v>2</v>
      </c>
      <c r="C1171" s="2110">
        <v>3</v>
      </c>
      <c r="D1171" s="2111"/>
      <c r="E1171" s="782">
        <v>4</v>
      </c>
      <c r="F1171" s="783">
        <v>5</v>
      </c>
      <c r="G1171" s="166">
        <v>7</v>
      </c>
    </row>
    <row r="1172" spans="1:24" ht="15.75" x14ac:dyDescent="0.25">
      <c r="A1172" s="981" t="s">
        <v>1366</v>
      </c>
      <c r="B1172" s="784" t="s">
        <v>277</v>
      </c>
      <c r="C1172" s="785"/>
      <c r="D1172" s="786"/>
      <c r="E1172" s="19"/>
      <c r="F1172" s="19"/>
      <c r="G1172" s="981"/>
    </row>
    <row r="1173" spans="1:24" ht="31.5" x14ac:dyDescent="0.25">
      <c r="A1173" s="981" t="s">
        <v>1367</v>
      </c>
      <c r="B1173" s="784" t="s">
        <v>84</v>
      </c>
      <c r="C1173" s="785"/>
      <c r="D1173" s="786"/>
      <c r="E1173" s="19"/>
      <c r="F1173" s="19"/>
      <c r="G1173" s="981"/>
    </row>
    <row r="1174" spans="1:24" ht="31.5" x14ac:dyDescent="0.25">
      <c r="A1174" s="181" t="s">
        <v>1368</v>
      </c>
      <c r="B1174" s="788" t="s">
        <v>278</v>
      </c>
      <c r="C1174" s="789"/>
      <c r="D1174" s="790"/>
      <c r="E1174" s="791"/>
      <c r="F1174" s="789"/>
      <c r="G1174" s="186"/>
    </row>
    <row r="1175" spans="1:24" ht="24" x14ac:dyDescent="0.25">
      <c r="A1175" s="181"/>
      <c r="B1175" s="1571" t="s">
        <v>3520</v>
      </c>
      <c r="C1175" s="789">
        <v>17</v>
      </c>
      <c r="D1175" s="790" t="s">
        <v>93</v>
      </c>
      <c r="E1175" s="1572">
        <v>30000</v>
      </c>
      <c r="F1175" s="1573">
        <f>E1175*C1175</f>
        <v>510000</v>
      </c>
      <c r="G1175" s="415" t="s">
        <v>3297</v>
      </c>
      <c r="X1175" s="139">
        <f>F1175</f>
        <v>510000</v>
      </c>
    </row>
    <row r="1176" spans="1:24" ht="24" x14ac:dyDescent="0.25">
      <c r="A1176" s="186"/>
      <c r="B1176" s="770" t="s">
        <v>1455</v>
      </c>
      <c r="C1176" s="793">
        <v>17</v>
      </c>
      <c r="D1176" s="794" t="s">
        <v>93</v>
      </c>
      <c r="E1176" s="795">
        <v>5000</v>
      </c>
      <c r="F1176" s="796">
        <f>E1176*C1176</f>
        <v>85000</v>
      </c>
      <c r="G1176" s="415" t="s">
        <v>3297</v>
      </c>
      <c r="X1176" s="139">
        <f t="shared" ref="X1176:X1177" si="65">F1176</f>
        <v>85000</v>
      </c>
    </row>
    <row r="1177" spans="1:24" ht="24" x14ac:dyDescent="0.25">
      <c r="A1177" s="186"/>
      <c r="B1177" s="770" t="s">
        <v>1460</v>
      </c>
      <c r="C1177" s="793">
        <v>17</v>
      </c>
      <c r="D1177" s="794" t="s">
        <v>93</v>
      </c>
      <c r="E1177" s="795">
        <v>7000</v>
      </c>
      <c r="F1177" s="796">
        <f>E1177*C1177</f>
        <v>119000</v>
      </c>
      <c r="G1177" s="415" t="s">
        <v>3297</v>
      </c>
      <c r="X1177" s="139">
        <f t="shared" si="65"/>
        <v>119000</v>
      </c>
    </row>
    <row r="1178" spans="1:24" ht="15.75" x14ac:dyDescent="0.25">
      <c r="A1178" s="181" t="s">
        <v>3517</v>
      </c>
      <c r="B1178" s="1569" t="s">
        <v>328</v>
      </c>
      <c r="C1178" s="793"/>
      <c r="D1178" s="794"/>
      <c r="E1178" s="795"/>
      <c r="F1178" s="796"/>
      <c r="G1178" s="163"/>
    </row>
    <row r="1179" spans="1:24" ht="31.5" x14ac:dyDescent="0.25">
      <c r="A1179" s="186"/>
      <c r="B1179" s="1571" t="s">
        <v>3519</v>
      </c>
      <c r="C1179" s="793">
        <f>1970*2</f>
        <v>3940</v>
      </c>
      <c r="D1179" s="794" t="s">
        <v>104</v>
      </c>
      <c r="E1179" s="795">
        <v>350</v>
      </c>
      <c r="F1179" s="796">
        <f>E1179*C1179</f>
        <v>1379000</v>
      </c>
      <c r="G1179" s="163" t="s">
        <v>3534</v>
      </c>
      <c r="U1179" s="139">
        <f>F1179</f>
        <v>1379000</v>
      </c>
    </row>
    <row r="1180" spans="1:24" ht="31.5" x14ac:dyDescent="0.25">
      <c r="A1180" s="186"/>
      <c r="B1180" s="1571" t="s">
        <v>3518</v>
      </c>
      <c r="C1180" s="793">
        <v>7900</v>
      </c>
      <c r="D1180" s="794" t="s">
        <v>104</v>
      </c>
      <c r="E1180" s="795">
        <v>350</v>
      </c>
      <c r="F1180" s="796">
        <f>E1180*C1180</f>
        <v>2765000</v>
      </c>
      <c r="G1180" s="163" t="s">
        <v>3534</v>
      </c>
      <c r="U1180" s="139">
        <f>F1180</f>
        <v>2765000</v>
      </c>
    </row>
    <row r="1181" spans="1:24" ht="31.5" x14ac:dyDescent="0.25">
      <c r="A1181" s="181" t="s">
        <v>1369</v>
      </c>
      <c r="B1181" s="788" t="s">
        <v>307</v>
      </c>
      <c r="C1181" s="793"/>
      <c r="D1181" s="794"/>
      <c r="E1181" s="795"/>
      <c r="F1181" s="796"/>
      <c r="G1181" s="163"/>
      <c r="J1181" s="68"/>
    </row>
    <row r="1182" spans="1:24" ht="47.25" x14ac:dyDescent="0.25">
      <c r="A1182" s="186"/>
      <c r="B1182" s="1571" t="s">
        <v>3521</v>
      </c>
      <c r="C1182" s="793">
        <f>17+1+2+1</f>
        <v>21</v>
      </c>
      <c r="D1182" s="794" t="s">
        <v>269</v>
      </c>
      <c r="E1182" s="795">
        <v>20000</v>
      </c>
      <c r="F1182" s="796">
        <f>E1182*C1182</f>
        <v>420000</v>
      </c>
      <c r="G1182" s="415" t="s">
        <v>3297</v>
      </c>
      <c r="X1182" s="139">
        <f>F1182</f>
        <v>420000</v>
      </c>
    </row>
    <row r="1183" spans="1:24" ht="15.75" x14ac:dyDescent="0.25">
      <c r="A1183" s="181" t="s">
        <v>3515</v>
      </c>
      <c r="B1183" s="1569" t="s">
        <v>3516</v>
      </c>
      <c r="C1183" s="793"/>
      <c r="D1183" s="794"/>
      <c r="E1183" s="795"/>
      <c r="F1183" s="796"/>
      <c r="G1183" s="163"/>
      <c r="X1183" s="139">
        <f t="shared" ref="X1183:X1192" si="66">F1183</f>
        <v>0</v>
      </c>
    </row>
    <row r="1184" spans="1:24" ht="24" x14ac:dyDescent="0.25">
      <c r="A1184" s="186"/>
      <c r="B1184" s="787" t="s">
        <v>2572</v>
      </c>
      <c r="C1184" s="793">
        <v>1</v>
      </c>
      <c r="D1184" s="794" t="s">
        <v>106</v>
      </c>
      <c r="E1184" s="795">
        <v>90000</v>
      </c>
      <c r="F1184" s="796">
        <f>E1184*C1184</f>
        <v>90000</v>
      </c>
      <c r="G1184" s="415" t="s">
        <v>3297</v>
      </c>
      <c r="X1184" s="139">
        <f t="shared" si="66"/>
        <v>90000</v>
      </c>
    </row>
    <row r="1185" spans="1:24" ht="31.5" x14ac:dyDescent="0.25">
      <c r="A1185" s="181" t="s">
        <v>1370</v>
      </c>
      <c r="B1185" s="788" t="s">
        <v>273</v>
      </c>
      <c r="C1185" s="797"/>
      <c r="D1185" s="798"/>
      <c r="E1185" s="792"/>
      <c r="F1185" s="792"/>
      <c r="G1185" s="324"/>
      <c r="X1185" s="139">
        <f t="shared" si="66"/>
        <v>0</v>
      </c>
    </row>
    <row r="1186" spans="1:24" ht="24" x14ac:dyDescent="0.25">
      <c r="A1186" s="981"/>
      <c r="B1186" s="19" t="s">
        <v>327</v>
      </c>
      <c r="C1186" s="785">
        <v>1</v>
      </c>
      <c r="D1186" s="786" t="s">
        <v>287</v>
      </c>
      <c r="E1186" s="147">
        <v>50000</v>
      </c>
      <c r="F1186" s="796">
        <f>E1186*C1186</f>
        <v>50000</v>
      </c>
      <c r="G1186" s="415" t="s">
        <v>3297</v>
      </c>
      <c r="H1186" s="23"/>
      <c r="X1186" s="139">
        <f t="shared" si="66"/>
        <v>50000</v>
      </c>
    </row>
    <row r="1187" spans="1:24" ht="15.75" x14ac:dyDescent="0.25">
      <c r="A1187" s="981"/>
      <c r="B1187" s="19"/>
      <c r="C1187" s="785"/>
      <c r="D1187" s="786"/>
      <c r="E1187" s="147"/>
      <c r="F1187" s="796"/>
      <c r="G1187" s="418"/>
      <c r="X1187" s="139">
        <f t="shared" si="66"/>
        <v>0</v>
      </c>
    </row>
    <row r="1188" spans="1:24" ht="15.75" x14ac:dyDescent="0.25">
      <c r="A1188" s="981" t="s">
        <v>1371</v>
      </c>
      <c r="B1188" s="784" t="s">
        <v>294</v>
      </c>
      <c r="C1188" s="785"/>
      <c r="D1188" s="786"/>
      <c r="E1188" s="800"/>
      <c r="F1188" s="796"/>
      <c r="G1188" s="418"/>
      <c r="X1188" s="139">
        <f t="shared" si="66"/>
        <v>0</v>
      </c>
    </row>
    <row r="1189" spans="1:24" ht="47.25" x14ac:dyDescent="0.25">
      <c r="A1189" s="181" t="s">
        <v>1372</v>
      </c>
      <c r="B1189" s="788" t="s">
        <v>411</v>
      </c>
      <c r="C1189" s="793"/>
      <c r="D1189" s="794"/>
      <c r="E1189" s="801"/>
      <c r="F1189" s="796"/>
      <c r="G1189" s="163"/>
      <c r="X1189" s="139">
        <f t="shared" si="66"/>
        <v>0</v>
      </c>
    </row>
    <row r="1190" spans="1:24" ht="24" x14ac:dyDescent="0.25">
      <c r="A1190" s="186"/>
      <c r="B1190" s="787" t="s">
        <v>1373</v>
      </c>
      <c r="C1190" s="793">
        <v>1</v>
      </c>
      <c r="D1190" s="794" t="s">
        <v>392</v>
      </c>
      <c r="E1190" s="801">
        <v>300000</v>
      </c>
      <c r="F1190" s="796">
        <f>E1190*C1190</f>
        <v>300000</v>
      </c>
      <c r="G1190" s="415" t="s">
        <v>3297</v>
      </c>
      <c r="X1190" s="139">
        <f t="shared" si="66"/>
        <v>300000</v>
      </c>
    </row>
    <row r="1191" spans="1:24" ht="15.75" x14ac:dyDescent="0.25">
      <c r="A1191" s="186"/>
      <c r="B1191" s="787"/>
      <c r="C1191" s="793"/>
      <c r="D1191" s="794"/>
      <c r="E1191" s="801"/>
      <c r="F1191" s="796"/>
      <c r="G1191" s="163"/>
      <c r="X1191" s="139">
        <f t="shared" si="66"/>
        <v>0</v>
      </c>
    </row>
    <row r="1192" spans="1:24" ht="31.5" x14ac:dyDescent="0.25">
      <c r="A1192" s="981" t="s">
        <v>1374</v>
      </c>
      <c r="B1192" s="784" t="s">
        <v>333</v>
      </c>
      <c r="C1192" s="785"/>
      <c r="D1192" s="786"/>
      <c r="E1192" s="800"/>
      <c r="F1192" s="796"/>
      <c r="G1192" s="418"/>
      <c r="X1192" s="139">
        <f t="shared" si="66"/>
        <v>0</v>
      </c>
    </row>
    <row r="1193" spans="1:24" ht="24" x14ac:dyDescent="0.25">
      <c r="A1193" s="981"/>
      <c r="B1193" s="17" t="s">
        <v>3522</v>
      </c>
      <c r="C1193" s="785">
        <v>1970</v>
      </c>
      <c r="D1193" s="786" t="s">
        <v>334</v>
      </c>
      <c r="E1193" s="147">
        <v>3000</v>
      </c>
      <c r="F1193" s="796">
        <f>E1193*C1193</f>
        <v>5910000</v>
      </c>
      <c r="G1193" s="415" t="s">
        <v>3297</v>
      </c>
      <c r="X1193" s="139">
        <f>F1193</f>
        <v>5910000</v>
      </c>
    </row>
    <row r="1194" spans="1:24" ht="15.75" x14ac:dyDescent="0.25">
      <c r="A1194" s="981"/>
      <c r="B1194" s="19"/>
      <c r="C1194" s="785"/>
      <c r="D1194" s="786"/>
      <c r="E1194" s="19"/>
      <c r="F1194" s="802"/>
      <c r="G1194" s="981"/>
    </row>
    <row r="1195" spans="1:24" ht="15.75" x14ac:dyDescent="0.25">
      <c r="A1195" s="1570"/>
      <c r="B1195" s="799" t="s">
        <v>26</v>
      </c>
      <c r="C1195" s="803"/>
      <c r="D1195" s="804"/>
      <c r="E1195" s="799"/>
      <c r="F1195" s="805">
        <f>SUM(F1175:F1193)</f>
        <v>11628000</v>
      </c>
      <c r="G1195" s="1173"/>
      <c r="L1195" s="27"/>
      <c r="V1195" s="27"/>
    </row>
    <row r="1196" spans="1:24" ht="15.75" x14ac:dyDescent="0.25">
      <c r="A1196" s="806"/>
      <c r="B1196" s="806"/>
      <c r="C1196" s="806"/>
      <c r="D1196" s="806"/>
      <c r="E1196" s="806"/>
      <c r="F1196" s="807"/>
      <c r="G1196" s="1174"/>
    </row>
    <row r="1197" spans="1:24" x14ac:dyDescent="0.25">
      <c r="A1197" s="1926" t="s">
        <v>516</v>
      </c>
      <c r="B1197" s="1926"/>
      <c r="C1197" s="152" t="s">
        <v>27</v>
      </c>
      <c r="D1197" s="1926" t="s">
        <v>3654</v>
      </c>
      <c r="E1197" s="1926"/>
      <c r="F1197" s="1926"/>
      <c r="G1197" s="152"/>
    </row>
    <row r="1198" spans="1:24" x14ac:dyDescent="0.25">
      <c r="A1198" s="1926" t="s">
        <v>28</v>
      </c>
      <c r="B1198" s="1926"/>
      <c r="C1198" s="152"/>
      <c r="D1198" s="1927" t="s">
        <v>3570</v>
      </c>
      <c r="E1198" s="1927"/>
      <c r="F1198" s="1927"/>
      <c r="G1198" s="152"/>
    </row>
    <row r="1199" spans="1:24" x14ac:dyDescent="0.25">
      <c r="A1199" s="150"/>
      <c r="B1199" s="151"/>
      <c r="C1199" s="152"/>
      <c r="D1199" s="153"/>
      <c r="E1199" s="182"/>
      <c r="F1199" s="1208"/>
      <c r="G1199" s="152"/>
    </row>
    <row r="1200" spans="1:24" x14ac:dyDescent="0.25">
      <c r="A1200" s="150"/>
      <c r="B1200" s="151"/>
      <c r="C1200" s="152"/>
      <c r="D1200" s="153"/>
      <c r="E1200" s="182"/>
      <c r="F1200" s="1208"/>
      <c r="G1200" s="152"/>
    </row>
    <row r="1201" spans="1:7" x14ac:dyDescent="0.25">
      <c r="A1201" s="1926"/>
      <c r="B1201" s="1926"/>
      <c r="C1201" s="152"/>
      <c r="D1201" s="153"/>
      <c r="E1201" s="2003"/>
      <c r="F1201" s="2003"/>
      <c r="G1201" s="152"/>
    </row>
    <row r="1202" spans="1:7" x14ac:dyDescent="0.25">
      <c r="A1202" s="1926" t="s">
        <v>29</v>
      </c>
      <c r="B1202" s="1926"/>
      <c r="C1202" s="152"/>
      <c r="D1202" s="1926" t="s">
        <v>3548</v>
      </c>
      <c r="E1202" s="1926"/>
      <c r="F1202" s="1926"/>
      <c r="G1202" s="152"/>
    </row>
    <row r="1205" spans="1:7" x14ac:dyDescent="0.25">
      <c r="F1205" s="923">
        <f>F1195+F1152+F1114+F944+F907+F885+F855+F821+F783+F709+F668+F644+F621+F591+F559+F519+F416+F385+F220+F140+F101+F60+F26</f>
        <v>3777466716.8399997</v>
      </c>
    </row>
    <row r="1206" spans="1:7" x14ac:dyDescent="0.25">
      <c r="F1206" s="68">
        <f>'RKP 2026'!L160</f>
        <v>4158795716.8400002</v>
      </c>
    </row>
    <row r="1207" spans="1:7" x14ac:dyDescent="0.25">
      <c r="F1207" s="23">
        <f>F1205-F1206</f>
        <v>-381329000.00000048</v>
      </c>
    </row>
  </sheetData>
  <mergeCells count="422">
    <mergeCell ref="D950:F950"/>
    <mergeCell ref="A915:G915"/>
    <mergeCell ref="A916:G916"/>
    <mergeCell ref="A917:G917"/>
    <mergeCell ref="C925:D925"/>
    <mergeCell ref="C926:D926"/>
    <mergeCell ref="A1081:B1081"/>
    <mergeCell ref="D1081:F1081"/>
    <mergeCell ref="A1115:B1115"/>
    <mergeCell ref="D1115:F1115"/>
    <mergeCell ref="D1116:F1116"/>
    <mergeCell ref="A1119:B1119"/>
    <mergeCell ref="E1119:F1119"/>
    <mergeCell ref="A1120:B1120"/>
    <mergeCell ref="D1120:F1120"/>
    <mergeCell ref="A1082:G1082"/>
    <mergeCell ref="A1083:G1083"/>
    <mergeCell ref="A1084:G1084"/>
    <mergeCell ref="D1090:E1090"/>
    <mergeCell ref="A912:B912"/>
    <mergeCell ref="E912:F912"/>
    <mergeCell ref="A913:B913"/>
    <mergeCell ref="D913:F913"/>
    <mergeCell ref="A1076:B1076"/>
    <mergeCell ref="D1076:F1076"/>
    <mergeCell ref="A1077:B1077"/>
    <mergeCell ref="D1077:F1077"/>
    <mergeCell ref="A1080:B1080"/>
    <mergeCell ref="E1080:F1080"/>
    <mergeCell ref="A951:G951"/>
    <mergeCell ref="A952:G952"/>
    <mergeCell ref="A953:G953"/>
    <mergeCell ref="C961:D961"/>
    <mergeCell ref="C962:D962"/>
    <mergeCell ref="B1075:E1075"/>
    <mergeCell ref="B944:E944"/>
    <mergeCell ref="A945:B945"/>
    <mergeCell ref="D945:F945"/>
    <mergeCell ref="A946:B946"/>
    <mergeCell ref="D946:F946"/>
    <mergeCell ref="A949:B949"/>
    <mergeCell ref="E949:F949"/>
    <mergeCell ref="A950:B950"/>
    <mergeCell ref="A887:B887"/>
    <mergeCell ref="D887:F887"/>
    <mergeCell ref="A890:B890"/>
    <mergeCell ref="E890:F890"/>
    <mergeCell ref="A891:B891"/>
    <mergeCell ref="D891:F891"/>
    <mergeCell ref="A908:B908"/>
    <mergeCell ref="D908:F908"/>
    <mergeCell ref="A909:B909"/>
    <mergeCell ref="D909:F909"/>
    <mergeCell ref="A894:F894"/>
    <mergeCell ref="C900:D900"/>
    <mergeCell ref="C901:D901"/>
    <mergeCell ref="A907:E907"/>
    <mergeCell ref="A892:F892"/>
    <mergeCell ref="A893:F893"/>
    <mergeCell ref="D856:F856"/>
    <mergeCell ref="A857:B857"/>
    <mergeCell ref="D857:F857"/>
    <mergeCell ref="A860:B860"/>
    <mergeCell ref="E860:F860"/>
    <mergeCell ref="A861:B861"/>
    <mergeCell ref="D861:F861"/>
    <mergeCell ref="A886:B886"/>
    <mergeCell ref="D886:F886"/>
    <mergeCell ref="A856:B856"/>
    <mergeCell ref="A862:G862"/>
    <mergeCell ref="A863:G863"/>
    <mergeCell ref="A864:G864"/>
    <mergeCell ref="D870:E870"/>
    <mergeCell ref="C872:D872"/>
    <mergeCell ref="C873:D873"/>
    <mergeCell ref="B885:E885"/>
    <mergeCell ref="A527:G527"/>
    <mergeCell ref="A528:G528"/>
    <mergeCell ref="A529:G529"/>
    <mergeCell ref="B532:C532"/>
    <mergeCell ref="A459:G459"/>
    <mergeCell ref="A460:G460"/>
    <mergeCell ref="A461:G461"/>
    <mergeCell ref="B464:C464"/>
    <mergeCell ref="D467:E467"/>
    <mergeCell ref="C468:D468"/>
    <mergeCell ref="C469:D469"/>
    <mergeCell ref="B480:E480"/>
    <mergeCell ref="A481:B481"/>
    <mergeCell ref="D481:F481"/>
    <mergeCell ref="A482:B482"/>
    <mergeCell ref="D482:F482"/>
    <mergeCell ref="A485:B485"/>
    <mergeCell ref="E485:F485"/>
    <mergeCell ref="A486:B486"/>
    <mergeCell ref="D486:F486"/>
    <mergeCell ref="A560:B560"/>
    <mergeCell ref="D560:F560"/>
    <mergeCell ref="A561:B561"/>
    <mergeCell ref="D561:F561"/>
    <mergeCell ref="A564:B564"/>
    <mergeCell ref="E564:F564"/>
    <mergeCell ref="A565:B565"/>
    <mergeCell ref="D565:F565"/>
    <mergeCell ref="D535:E535"/>
    <mergeCell ref="C537:D537"/>
    <mergeCell ref="C538:D538"/>
    <mergeCell ref="B559:E559"/>
    <mergeCell ref="A390:B390"/>
    <mergeCell ref="E390:F390"/>
    <mergeCell ref="A391:B391"/>
    <mergeCell ref="D391:F391"/>
    <mergeCell ref="A453:B453"/>
    <mergeCell ref="D453:F453"/>
    <mergeCell ref="A454:B454"/>
    <mergeCell ref="D454:F454"/>
    <mergeCell ref="A457:B457"/>
    <mergeCell ref="E457:F457"/>
    <mergeCell ref="A392:G392"/>
    <mergeCell ref="A393:G393"/>
    <mergeCell ref="A394:G394"/>
    <mergeCell ref="B397:C397"/>
    <mergeCell ref="D400:E400"/>
    <mergeCell ref="C401:D401"/>
    <mergeCell ref="C402:D402"/>
    <mergeCell ref="B416:E416"/>
    <mergeCell ref="A417:B417"/>
    <mergeCell ref="D417:F417"/>
    <mergeCell ref="A418:B418"/>
    <mergeCell ref="D418:F418"/>
    <mergeCell ref="A421:B421"/>
    <mergeCell ref="E421:F421"/>
    <mergeCell ref="A350:B350"/>
    <mergeCell ref="D350:F350"/>
    <mergeCell ref="A353:B353"/>
    <mergeCell ref="E353:F353"/>
    <mergeCell ref="A354:B354"/>
    <mergeCell ref="D354:F354"/>
    <mergeCell ref="A386:B386"/>
    <mergeCell ref="D386:F386"/>
    <mergeCell ref="A387:B387"/>
    <mergeCell ref="D387:F387"/>
    <mergeCell ref="A355:G355"/>
    <mergeCell ref="A356:G356"/>
    <mergeCell ref="A357:G357"/>
    <mergeCell ref="B360:C360"/>
    <mergeCell ref="D363:E363"/>
    <mergeCell ref="C364:D364"/>
    <mergeCell ref="C365:D365"/>
    <mergeCell ref="B385:E385"/>
    <mergeCell ref="A283:B283"/>
    <mergeCell ref="D283:F283"/>
    <mergeCell ref="A284:B284"/>
    <mergeCell ref="D284:F284"/>
    <mergeCell ref="A287:B287"/>
    <mergeCell ref="E287:F287"/>
    <mergeCell ref="A288:B288"/>
    <mergeCell ref="D288:F288"/>
    <mergeCell ref="A150:G150"/>
    <mergeCell ref="D156:E156"/>
    <mergeCell ref="C157:D157"/>
    <mergeCell ref="C158:D158"/>
    <mergeCell ref="B220:E220"/>
    <mergeCell ref="A221:B221"/>
    <mergeCell ref="D221:F221"/>
    <mergeCell ref="A222:B222"/>
    <mergeCell ref="D222:F222"/>
    <mergeCell ref="A225:B225"/>
    <mergeCell ref="E225:F225"/>
    <mergeCell ref="A226:B226"/>
    <mergeCell ref="D226:F226"/>
    <mergeCell ref="A61:B61"/>
    <mergeCell ref="D61:F61"/>
    <mergeCell ref="A36:G36"/>
    <mergeCell ref="D42:E42"/>
    <mergeCell ref="C44:D44"/>
    <mergeCell ref="C45:D45"/>
    <mergeCell ref="C59:D59"/>
    <mergeCell ref="B60:E60"/>
    <mergeCell ref="A146:B146"/>
    <mergeCell ref="D146:F146"/>
    <mergeCell ref="A62:B62"/>
    <mergeCell ref="D62:F62"/>
    <mergeCell ref="A65:B65"/>
    <mergeCell ref="E65:F65"/>
    <mergeCell ref="A66:B66"/>
    <mergeCell ref="D66:F66"/>
    <mergeCell ref="D76:E76"/>
    <mergeCell ref="C77:D77"/>
    <mergeCell ref="C78:D78"/>
    <mergeCell ref="B101:E101"/>
    <mergeCell ref="A68:G68"/>
    <mergeCell ref="A69:G69"/>
    <mergeCell ref="A70:G70"/>
    <mergeCell ref="B73:C73"/>
    <mergeCell ref="A1:G1"/>
    <mergeCell ref="A2:G2"/>
    <mergeCell ref="A3:G3"/>
    <mergeCell ref="D9:E9"/>
    <mergeCell ref="C11:D11"/>
    <mergeCell ref="C12:D12"/>
    <mergeCell ref="A34:G34"/>
    <mergeCell ref="A35:G35"/>
    <mergeCell ref="C25:D25"/>
    <mergeCell ref="B26:E26"/>
    <mergeCell ref="A27:B27"/>
    <mergeCell ref="D27:F27"/>
    <mergeCell ref="A28:B28"/>
    <mergeCell ref="D28:F28"/>
    <mergeCell ref="A31:B31"/>
    <mergeCell ref="E31:F31"/>
    <mergeCell ref="A32:B32"/>
    <mergeCell ref="D32:F32"/>
    <mergeCell ref="A102:B102"/>
    <mergeCell ref="D102:F102"/>
    <mergeCell ref="A103:B103"/>
    <mergeCell ref="D103:F103"/>
    <mergeCell ref="A106:B106"/>
    <mergeCell ref="E106:F106"/>
    <mergeCell ref="A107:B107"/>
    <mergeCell ref="D107:F107"/>
    <mergeCell ref="D117:E117"/>
    <mergeCell ref="A109:G109"/>
    <mergeCell ref="A110:G110"/>
    <mergeCell ref="A111:G111"/>
    <mergeCell ref="A149:G149"/>
    <mergeCell ref="C118:D118"/>
    <mergeCell ref="C119:D119"/>
    <mergeCell ref="A148:G148"/>
    <mergeCell ref="B140:E140"/>
    <mergeCell ref="A141:B141"/>
    <mergeCell ref="D141:F141"/>
    <mergeCell ref="A142:B142"/>
    <mergeCell ref="D142:F142"/>
    <mergeCell ref="A145:B145"/>
    <mergeCell ref="E145:F145"/>
    <mergeCell ref="A289:G289"/>
    <mergeCell ref="A290:G290"/>
    <mergeCell ref="A291:G291"/>
    <mergeCell ref="B294:C294"/>
    <mergeCell ref="D297:E297"/>
    <mergeCell ref="C298:D298"/>
    <mergeCell ref="C299:D299"/>
    <mergeCell ref="B348:E348"/>
    <mergeCell ref="A349:B349"/>
    <mergeCell ref="D349:F349"/>
    <mergeCell ref="A566:G566"/>
    <mergeCell ref="A567:G567"/>
    <mergeCell ref="A568:G568"/>
    <mergeCell ref="D574:E574"/>
    <mergeCell ref="C576:D576"/>
    <mergeCell ref="C577:D577"/>
    <mergeCell ref="A598:G598"/>
    <mergeCell ref="A599:G599"/>
    <mergeCell ref="A600:G600"/>
    <mergeCell ref="D606:E606"/>
    <mergeCell ref="B591:E591"/>
    <mergeCell ref="A592:B592"/>
    <mergeCell ref="D592:F592"/>
    <mergeCell ref="A593:B593"/>
    <mergeCell ref="D593:F593"/>
    <mergeCell ref="A596:B596"/>
    <mergeCell ref="E596:F596"/>
    <mergeCell ref="A597:B597"/>
    <mergeCell ref="D597:F597"/>
    <mergeCell ref="A628:F628"/>
    <mergeCell ref="A629:F629"/>
    <mergeCell ref="C607:D607"/>
    <mergeCell ref="C608:D608"/>
    <mergeCell ref="B621:E621"/>
    <mergeCell ref="A622:B622"/>
    <mergeCell ref="D622:F622"/>
    <mergeCell ref="A623:B623"/>
    <mergeCell ref="D623:F623"/>
    <mergeCell ref="A626:B626"/>
    <mergeCell ref="E626:F626"/>
    <mergeCell ref="A627:B627"/>
    <mergeCell ref="D627:F627"/>
    <mergeCell ref="A630:F630"/>
    <mergeCell ref="A636:B636"/>
    <mergeCell ref="C637:D637"/>
    <mergeCell ref="C638:D638"/>
    <mergeCell ref="A644:E644"/>
    <mergeCell ref="A645:B645"/>
    <mergeCell ref="D645:F645"/>
    <mergeCell ref="A646:B646"/>
    <mergeCell ref="D646:F646"/>
    <mergeCell ref="A649:B649"/>
    <mergeCell ref="E649:F649"/>
    <mergeCell ref="A650:B650"/>
    <mergeCell ref="D650:F650"/>
    <mergeCell ref="A651:F651"/>
    <mergeCell ref="A652:F652"/>
    <mergeCell ref="A653:F653"/>
    <mergeCell ref="C660:D660"/>
    <mergeCell ref="C661:D661"/>
    <mergeCell ref="A668:E668"/>
    <mergeCell ref="A669:B669"/>
    <mergeCell ref="D669:F669"/>
    <mergeCell ref="A670:B670"/>
    <mergeCell ref="D670:F670"/>
    <mergeCell ref="A673:B673"/>
    <mergeCell ref="E673:F673"/>
    <mergeCell ref="A674:B674"/>
    <mergeCell ref="D674:F674"/>
    <mergeCell ref="C685:D685"/>
    <mergeCell ref="C686:D686"/>
    <mergeCell ref="B709:E709"/>
    <mergeCell ref="A676:G676"/>
    <mergeCell ref="A677:G677"/>
    <mergeCell ref="A678:G678"/>
    <mergeCell ref="B679:C679"/>
    <mergeCell ref="A710:B710"/>
    <mergeCell ref="D710:F710"/>
    <mergeCell ref="A711:B711"/>
    <mergeCell ref="D711:F711"/>
    <mergeCell ref="A714:B714"/>
    <mergeCell ref="E714:F714"/>
    <mergeCell ref="A715:B715"/>
    <mergeCell ref="D715:F715"/>
    <mergeCell ref="A719:G719"/>
    <mergeCell ref="D725:E725"/>
    <mergeCell ref="C726:D726"/>
    <mergeCell ref="C727:D727"/>
    <mergeCell ref="B783:E783"/>
    <mergeCell ref="A717:G717"/>
    <mergeCell ref="A718:G718"/>
    <mergeCell ref="A784:B784"/>
    <mergeCell ref="D784:F784"/>
    <mergeCell ref="A785:B785"/>
    <mergeCell ref="D785:F785"/>
    <mergeCell ref="A788:B788"/>
    <mergeCell ref="E788:F788"/>
    <mergeCell ref="A789:B789"/>
    <mergeCell ref="D789:F789"/>
    <mergeCell ref="A790:G790"/>
    <mergeCell ref="A791:G791"/>
    <mergeCell ref="A792:G792"/>
    <mergeCell ref="D798:E798"/>
    <mergeCell ref="C799:D799"/>
    <mergeCell ref="C800:D800"/>
    <mergeCell ref="A830:G830"/>
    <mergeCell ref="A831:G831"/>
    <mergeCell ref="A832:G832"/>
    <mergeCell ref="D838:E838"/>
    <mergeCell ref="B821:E821"/>
    <mergeCell ref="A822:B822"/>
    <mergeCell ref="D822:F822"/>
    <mergeCell ref="A823:B823"/>
    <mergeCell ref="D823:F823"/>
    <mergeCell ref="A826:B826"/>
    <mergeCell ref="E826:F826"/>
    <mergeCell ref="A827:B827"/>
    <mergeCell ref="D827:F827"/>
    <mergeCell ref="D1197:F1197"/>
    <mergeCell ref="A1198:B1198"/>
    <mergeCell ref="D1198:F1198"/>
    <mergeCell ref="A1201:B1201"/>
    <mergeCell ref="E1201:F1201"/>
    <mergeCell ref="A1121:F1121"/>
    <mergeCell ref="A1122:F1122"/>
    <mergeCell ref="C1092:D1092"/>
    <mergeCell ref="C1093:D1093"/>
    <mergeCell ref="B1114:E1114"/>
    <mergeCell ref="A1161:F1161"/>
    <mergeCell ref="A1162:F1162"/>
    <mergeCell ref="A1123:F1123"/>
    <mergeCell ref="C1130:D1130"/>
    <mergeCell ref="C1131:D1131"/>
    <mergeCell ref="A1153:B1153"/>
    <mergeCell ref="D1153:F1153"/>
    <mergeCell ref="A1154:B1154"/>
    <mergeCell ref="D1154:F1154"/>
    <mergeCell ref="A1157:B1157"/>
    <mergeCell ref="E1157:F1157"/>
    <mergeCell ref="A1158:B1158"/>
    <mergeCell ref="D1158:F1158"/>
    <mergeCell ref="A1116:B1116"/>
    <mergeCell ref="A1202:B1202"/>
    <mergeCell ref="D1202:F1202"/>
    <mergeCell ref="A227:G227"/>
    <mergeCell ref="A228:G228"/>
    <mergeCell ref="A229:G229"/>
    <mergeCell ref="D235:E235"/>
    <mergeCell ref="C236:D236"/>
    <mergeCell ref="C237:D237"/>
    <mergeCell ref="B282:E282"/>
    <mergeCell ref="A423:G423"/>
    <mergeCell ref="A424:G424"/>
    <mergeCell ref="A425:G425"/>
    <mergeCell ref="B428:C428"/>
    <mergeCell ref="D431:E431"/>
    <mergeCell ref="C432:D432"/>
    <mergeCell ref="C433:D433"/>
    <mergeCell ref="B452:E452"/>
    <mergeCell ref="C840:D840"/>
    <mergeCell ref="C841:D841"/>
    <mergeCell ref="B855:E855"/>
    <mergeCell ref="A1163:F1163"/>
    <mergeCell ref="C1170:D1170"/>
    <mergeCell ref="C1171:D1171"/>
    <mergeCell ref="A1197:B1197"/>
    <mergeCell ref="A422:B422"/>
    <mergeCell ref="D422:F422"/>
    <mergeCell ref="A521:B521"/>
    <mergeCell ref="D521:F521"/>
    <mergeCell ref="A524:B524"/>
    <mergeCell ref="E524:F524"/>
    <mergeCell ref="A525:B525"/>
    <mergeCell ref="D525:F525"/>
    <mergeCell ref="B519:E519"/>
    <mergeCell ref="A487:G487"/>
    <mergeCell ref="A488:G488"/>
    <mergeCell ref="A489:G489"/>
    <mergeCell ref="B492:C492"/>
    <mergeCell ref="D495:E495"/>
    <mergeCell ref="C496:D496"/>
    <mergeCell ref="C497:D497"/>
    <mergeCell ref="A520:B520"/>
    <mergeCell ref="D520:F520"/>
    <mergeCell ref="A458:B458"/>
    <mergeCell ref="D458:F458"/>
  </mergeCells>
  <pageMargins left="0.7" right="0.7" top="0.75" bottom="1" header="0.3" footer="0.3"/>
  <pageSetup paperSize="5" scale="9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399"/>
  <sheetViews>
    <sheetView zoomScaleNormal="100" workbookViewId="0">
      <pane ySplit="1815" activePane="bottomLeft"/>
      <selection activeCell="K2" sqref="K2"/>
      <selection pane="bottomLeft" sqref="A1:G55"/>
    </sheetView>
  </sheetViews>
  <sheetFormatPr defaultRowHeight="15" x14ac:dyDescent="0.25"/>
  <cols>
    <col min="1" max="1" width="16" customWidth="1"/>
    <col min="2" max="2" width="28.85546875" customWidth="1"/>
    <col min="3" max="3" width="7" customWidth="1"/>
    <col min="4" max="4" width="6.140625" customWidth="1"/>
    <col min="5" max="5" width="16.28515625" customWidth="1"/>
    <col min="6" max="6" width="16.7109375" customWidth="1"/>
    <col min="7" max="7" width="7.7109375" customWidth="1"/>
    <col min="10" max="10" width="25" customWidth="1"/>
    <col min="11" max="11" width="20.140625" customWidth="1"/>
    <col min="12" max="12" width="17.85546875" customWidth="1"/>
    <col min="13" max="13" width="19.85546875" customWidth="1"/>
    <col min="14" max="14" width="17.85546875" customWidth="1"/>
    <col min="15" max="15" width="16.140625" customWidth="1"/>
    <col min="16" max="16" width="16" customWidth="1"/>
    <col min="17" max="17" width="18.5703125" customWidth="1"/>
    <col min="18" max="18" width="16.42578125" customWidth="1"/>
    <col min="19" max="19" width="16.5703125" customWidth="1"/>
    <col min="20" max="20" width="17.85546875" customWidth="1"/>
    <col min="21" max="21" width="17" customWidth="1"/>
    <col min="22" max="22" width="16.28515625" customWidth="1"/>
    <col min="23" max="23" width="17.7109375" customWidth="1"/>
    <col min="24" max="24" width="15.42578125" customWidth="1"/>
    <col min="25" max="25" width="13.42578125" customWidth="1"/>
    <col min="26" max="26" width="15.28515625" customWidth="1"/>
    <col min="27" max="27" width="16.7109375" customWidth="1"/>
  </cols>
  <sheetData>
    <row r="1" spans="1:27" ht="30" x14ac:dyDescent="0.25">
      <c r="A1" s="2062" t="s">
        <v>0</v>
      </c>
      <c r="B1" s="2062"/>
      <c r="C1" s="2062"/>
      <c r="D1" s="2062"/>
      <c r="E1" s="2062"/>
      <c r="F1" s="2062"/>
      <c r="G1" s="2062"/>
      <c r="J1" s="105" t="s">
        <v>1410</v>
      </c>
      <c r="K1" s="105" t="s">
        <v>1220</v>
      </c>
      <c r="L1" s="105" t="s">
        <v>1506</v>
      </c>
      <c r="M1" s="105" t="s">
        <v>2177</v>
      </c>
      <c r="N1" s="105" t="s">
        <v>1365</v>
      </c>
      <c r="O1" s="1150" t="s">
        <v>3294</v>
      </c>
      <c r="P1" s="105" t="s">
        <v>3295</v>
      </c>
      <c r="Q1" s="105" t="s">
        <v>1223</v>
      </c>
      <c r="R1" s="105" t="s">
        <v>2178</v>
      </c>
      <c r="S1" s="105" t="s">
        <v>2179</v>
      </c>
      <c r="T1" s="105" t="s">
        <v>1777</v>
      </c>
      <c r="U1" s="105" t="s">
        <v>1775</v>
      </c>
      <c r="V1" s="105" t="s">
        <v>2253</v>
      </c>
      <c r="W1" s="105" t="s">
        <v>3296</v>
      </c>
      <c r="X1" s="1150" t="s">
        <v>3297</v>
      </c>
      <c r="Y1" s="1150" t="s">
        <v>3298</v>
      </c>
      <c r="Z1" s="105" t="s">
        <v>3299</v>
      </c>
      <c r="AA1" s="105" t="s">
        <v>3300</v>
      </c>
    </row>
    <row r="2" spans="1:27" x14ac:dyDescent="0.25">
      <c r="A2" s="2062" t="s">
        <v>1</v>
      </c>
      <c r="B2" s="2062"/>
      <c r="C2" s="2062"/>
      <c r="D2" s="2062"/>
      <c r="E2" s="2062"/>
      <c r="F2" s="2062"/>
      <c r="G2" s="2062"/>
      <c r="J2" s="68">
        <f t="shared" ref="J2:AA2" si="0">SUM(J3:J1389)</f>
        <v>75742000</v>
      </c>
      <c r="K2" s="68">
        <f t="shared" si="0"/>
        <v>186526495</v>
      </c>
      <c r="L2" s="68">
        <f t="shared" si="0"/>
        <v>1380000</v>
      </c>
      <c r="M2" s="68">
        <f t="shared" si="0"/>
        <v>0</v>
      </c>
      <c r="N2" s="68">
        <f t="shared" si="0"/>
        <v>0</v>
      </c>
      <c r="O2" s="68">
        <f t="shared" si="0"/>
        <v>0</v>
      </c>
      <c r="P2" s="68">
        <f t="shared" si="0"/>
        <v>0</v>
      </c>
      <c r="Q2" s="68">
        <f t="shared" si="0"/>
        <v>13855000</v>
      </c>
      <c r="R2" s="68">
        <f t="shared" si="0"/>
        <v>0</v>
      </c>
      <c r="S2" s="68">
        <f t="shared" si="0"/>
        <v>175300000</v>
      </c>
      <c r="T2" s="68">
        <f t="shared" si="0"/>
        <v>56220000</v>
      </c>
      <c r="U2" s="68">
        <f t="shared" si="0"/>
        <v>1955204.83</v>
      </c>
      <c r="V2" s="68">
        <f t="shared" si="0"/>
        <v>0</v>
      </c>
      <c r="W2" s="68">
        <f t="shared" si="0"/>
        <v>0</v>
      </c>
      <c r="X2" s="68">
        <f t="shared" si="0"/>
        <v>1820000</v>
      </c>
      <c r="Y2" s="68">
        <f t="shared" si="0"/>
        <v>0</v>
      </c>
      <c r="Z2" s="68">
        <f t="shared" si="0"/>
        <v>0</v>
      </c>
      <c r="AA2" s="68">
        <f t="shared" si="0"/>
        <v>0</v>
      </c>
    </row>
    <row r="3" spans="1:27" x14ac:dyDescent="0.25">
      <c r="A3" s="2062" t="s">
        <v>2398</v>
      </c>
      <c r="B3" s="2062"/>
      <c r="C3" s="2062"/>
      <c r="D3" s="2062"/>
      <c r="E3" s="2062"/>
      <c r="F3" s="2062"/>
      <c r="G3" s="2062"/>
    </row>
    <row r="4" spans="1:27" x14ac:dyDescent="0.25">
      <c r="A4" s="260"/>
      <c r="B4" s="260"/>
      <c r="C4" s="578"/>
      <c r="D4" s="578"/>
      <c r="E4" s="265"/>
      <c r="F4" s="260"/>
      <c r="G4" s="187"/>
    </row>
    <row r="5" spans="1:27" x14ac:dyDescent="0.25">
      <c r="A5" s="563" t="s">
        <v>491</v>
      </c>
      <c r="B5" s="563" t="s">
        <v>412</v>
      </c>
      <c r="C5" s="563"/>
      <c r="D5" s="563"/>
      <c r="E5" s="567"/>
      <c r="F5" s="563"/>
      <c r="G5" s="187"/>
    </row>
    <row r="6" spans="1:27" x14ac:dyDescent="0.25">
      <c r="A6" s="563" t="s">
        <v>492</v>
      </c>
      <c r="B6" s="706" t="s">
        <v>1809</v>
      </c>
      <c r="C6" s="563"/>
      <c r="D6" s="563"/>
      <c r="E6" s="187"/>
      <c r="F6" s="187"/>
      <c r="G6" s="187"/>
    </row>
    <row r="7" spans="1:27" ht="45" x14ac:dyDescent="0.25">
      <c r="A7" s="266" t="s">
        <v>493</v>
      </c>
      <c r="B7" s="616" t="s">
        <v>2777</v>
      </c>
      <c r="C7" s="563"/>
      <c r="D7" s="563"/>
      <c r="E7" s="187"/>
      <c r="F7" s="187"/>
      <c r="G7" s="187"/>
    </row>
    <row r="8" spans="1:27" ht="30" x14ac:dyDescent="0.25">
      <c r="A8" s="264" t="s">
        <v>469</v>
      </c>
      <c r="B8" s="263" t="s">
        <v>60</v>
      </c>
      <c r="C8" s="260"/>
      <c r="D8" s="260"/>
      <c r="E8" s="260"/>
      <c r="F8" s="260"/>
      <c r="G8" s="187"/>
    </row>
    <row r="9" spans="1:27" x14ac:dyDescent="0.25">
      <c r="A9" s="1957" t="s">
        <v>470</v>
      </c>
      <c r="B9" s="1957"/>
      <c r="C9" s="578"/>
      <c r="D9" s="578"/>
      <c r="E9" s="265"/>
      <c r="F9" s="260"/>
      <c r="G9" s="258"/>
    </row>
    <row r="10" spans="1:27" ht="30" x14ac:dyDescent="0.25">
      <c r="A10" s="568" t="s">
        <v>30</v>
      </c>
      <c r="B10" s="568" t="s">
        <v>11</v>
      </c>
      <c r="C10" s="2065" t="s">
        <v>12</v>
      </c>
      <c r="D10" s="2066"/>
      <c r="E10" s="582" t="s">
        <v>13</v>
      </c>
      <c r="F10" s="583" t="s">
        <v>14</v>
      </c>
      <c r="G10" s="297" t="s">
        <v>34</v>
      </c>
    </row>
    <row r="11" spans="1:27" x14ac:dyDescent="0.25">
      <c r="A11" s="281">
        <v>1</v>
      </c>
      <c r="B11" s="281">
        <v>2</v>
      </c>
      <c r="C11" s="1965">
        <v>3</v>
      </c>
      <c r="D11" s="1966"/>
      <c r="E11" s="569">
        <v>4</v>
      </c>
      <c r="F11" s="279">
        <v>5</v>
      </c>
      <c r="G11" s="298">
        <v>6</v>
      </c>
    </row>
    <row r="12" spans="1:27" x14ac:dyDescent="0.25">
      <c r="A12" s="304" t="s">
        <v>2778</v>
      </c>
      <c r="B12" s="290" t="s">
        <v>462</v>
      </c>
      <c r="C12" s="584"/>
      <c r="D12" s="585"/>
      <c r="E12" s="586"/>
      <c r="F12" s="584"/>
      <c r="G12" s="299"/>
    </row>
    <row r="13" spans="1:27" x14ac:dyDescent="0.25">
      <c r="A13" s="304" t="s">
        <v>2779</v>
      </c>
      <c r="B13" s="290" t="s">
        <v>84</v>
      </c>
      <c r="C13" s="584"/>
      <c r="D13" s="585"/>
      <c r="E13" s="586"/>
      <c r="F13" s="584"/>
      <c r="G13" s="299"/>
    </row>
    <row r="14" spans="1:27" ht="30" x14ac:dyDescent="0.25">
      <c r="A14" s="304" t="s">
        <v>2780</v>
      </c>
      <c r="B14" s="290" t="s">
        <v>307</v>
      </c>
      <c r="C14" s="301"/>
      <c r="D14" s="300"/>
      <c r="E14" s="294"/>
      <c r="F14" s="587"/>
      <c r="G14" s="282"/>
    </row>
    <row r="15" spans="1:27" ht="30" x14ac:dyDescent="0.25">
      <c r="A15" s="299"/>
      <c r="B15" s="290" t="s">
        <v>2781</v>
      </c>
      <c r="C15" s="301">
        <v>20</v>
      </c>
      <c r="D15" s="300" t="s">
        <v>269</v>
      </c>
      <c r="E15" s="294">
        <v>20000</v>
      </c>
      <c r="F15" s="587">
        <f>E15*C15</f>
        <v>400000</v>
      </c>
      <c r="G15" s="282"/>
    </row>
    <row r="16" spans="1:27" x14ac:dyDescent="0.25">
      <c r="A16" s="299"/>
      <c r="B16" s="287"/>
      <c r="C16" s="301"/>
      <c r="D16" s="300"/>
      <c r="E16" s="294"/>
      <c r="F16" s="587"/>
      <c r="G16" s="282"/>
    </row>
    <row r="17" spans="1:7" ht="30" x14ac:dyDescent="0.25">
      <c r="A17" s="304" t="s">
        <v>2782</v>
      </c>
      <c r="B17" s="290" t="s">
        <v>325</v>
      </c>
      <c r="C17" s="301"/>
      <c r="D17" s="300"/>
      <c r="E17" s="294"/>
      <c r="F17" s="587"/>
      <c r="G17" s="282"/>
    </row>
    <row r="18" spans="1:7" x14ac:dyDescent="0.25">
      <c r="A18" s="299"/>
      <c r="B18" s="287" t="s">
        <v>326</v>
      </c>
      <c r="C18" s="301">
        <v>1</v>
      </c>
      <c r="D18" s="300" t="s">
        <v>93</v>
      </c>
      <c r="E18" s="294">
        <v>90000</v>
      </c>
      <c r="F18" s="587">
        <f>E18*C18</f>
        <v>90000</v>
      </c>
      <c r="G18" s="282"/>
    </row>
    <row r="19" spans="1:7" x14ac:dyDescent="0.25">
      <c r="A19" s="299"/>
      <c r="B19" s="287"/>
      <c r="C19" s="301"/>
      <c r="D19" s="300"/>
      <c r="E19" s="294"/>
      <c r="F19" s="587"/>
      <c r="G19" s="282"/>
    </row>
    <row r="20" spans="1:7" ht="30" x14ac:dyDescent="0.25">
      <c r="A20" s="287" t="s">
        <v>2783</v>
      </c>
      <c r="B20" s="290" t="s">
        <v>421</v>
      </c>
      <c r="C20" s="301"/>
      <c r="D20" s="300"/>
      <c r="E20" s="294"/>
      <c r="F20" s="588"/>
      <c r="G20" s="282"/>
    </row>
    <row r="21" spans="1:7" x14ac:dyDescent="0.25">
      <c r="A21" s="287"/>
      <c r="B21" s="287" t="s">
        <v>422</v>
      </c>
      <c r="C21" s="301">
        <v>1</v>
      </c>
      <c r="D21" s="300" t="s">
        <v>93</v>
      </c>
      <c r="E21" s="294">
        <v>50000</v>
      </c>
      <c r="F21" s="588">
        <f>E21*C21</f>
        <v>50000</v>
      </c>
      <c r="G21" s="282"/>
    </row>
    <row r="22" spans="1:7" x14ac:dyDescent="0.25">
      <c r="A22" s="287"/>
      <c r="B22" s="287" t="s">
        <v>275</v>
      </c>
      <c r="C22" s="301">
        <v>5</v>
      </c>
      <c r="D22" s="300" t="s">
        <v>606</v>
      </c>
      <c r="E22" s="294">
        <v>3000</v>
      </c>
      <c r="F22" s="588">
        <f>E22*C22</f>
        <v>15000</v>
      </c>
      <c r="G22" s="282"/>
    </row>
    <row r="23" spans="1:7" x14ac:dyDescent="0.25">
      <c r="A23" s="287"/>
      <c r="B23" s="287" t="s">
        <v>289</v>
      </c>
      <c r="C23" s="301">
        <v>1</v>
      </c>
      <c r="D23" s="300" t="s">
        <v>152</v>
      </c>
      <c r="E23" s="294">
        <v>10000</v>
      </c>
      <c r="F23" s="588">
        <f>E23*C23</f>
        <v>10000</v>
      </c>
      <c r="G23" s="282"/>
    </row>
    <row r="24" spans="1:7" x14ac:dyDescent="0.25">
      <c r="A24" s="287"/>
      <c r="B24" s="287"/>
      <c r="C24" s="301"/>
      <c r="D24" s="300"/>
      <c r="E24" s="294"/>
      <c r="F24" s="588"/>
      <c r="G24" s="282"/>
    </row>
    <row r="25" spans="1:7" x14ac:dyDescent="0.25">
      <c r="A25" s="304" t="s">
        <v>2784</v>
      </c>
      <c r="B25" s="287" t="s">
        <v>294</v>
      </c>
      <c r="C25" s="301"/>
      <c r="D25" s="300"/>
      <c r="E25" s="574"/>
      <c r="F25" s="587"/>
      <c r="G25" s="282"/>
    </row>
    <row r="26" spans="1:7" ht="30" x14ac:dyDescent="0.25">
      <c r="A26" s="304" t="s">
        <v>2785</v>
      </c>
      <c r="B26" s="290" t="s">
        <v>484</v>
      </c>
      <c r="C26" s="301"/>
      <c r="D26" s="300"/>
      <c r="E26" s="574"/>
      <c r="F26" s="587"/>
      <c r="G26" s="282"/>
    </row>
    <row r="27" spans="1:7" x14ac:dyDescent="0.25">
      <c r="A27" s="299"/>
      <c r="B27" s="287" t="s">
        <v>402</v>
      </c>
      <c r="C27" s="301">
        <v>1</v>
      </c>
      <c r="D27" s="300" t="s">
        <v>269</v>
      </c>
      <c r="E27" s="574">
        <v>300000</v>
      </c>
      <c r="F27" s="587">
        <f>E27*C27</f>
        <v>300000</v>
      </c>
      <c r="G27" s="282"/>
    </row>
    <row r="28" spans="1:7" x14ac:dyDescent="0.25">
      <c r="A28" s="299"/>
      <c r="B28" s="287" t="s">
        <v>502</v>
      </c>
      <c r="C28" s="301">
        <v>1</v>
      </c>
      <c r="D28" s="300" t="s">
        <v>269</v>
      </c>
      <c r="E28" s="574">
        <v>250000</v>
      </c>
      <c r="F28" s="587">
        <f>E28*C28</f>
        <v>250000</v>
      </c>
      <c r="G28" s="282"/>
    </row>
    <row r="29" spans="1:7" x14ac:dyDescent="0.25">
      <c r="A29" s="299"/>
      <c r="B29" s="287" t="s">
        <v>485</v>
      </c>
      <c r="C29" s="301">
        <v>3</v>
      </c>
      <c r="D29" s="300" t="s">
        <v>269</v>
      </c>
      <c r="E29" s="574">
        <v>200000</v>
      </c>
      <c r="F29" s="587">
        <f>E29*C29</f>
        <v>600000</v>
      </c>
      <c r="G29" s="282"/>
    </row>
    <row r="30" spans="1:7" x14ac:dyDescent="0.25">
      <c r="A30" s="299"/>
      <c r="B30" s="287"/>
      <c r="C30" s="301"/>
      <c r="D30" s="300"/>
      <c r="E30" s="574"/>
      <c r="F30" s="587"/>
      <c r="G30" s="282"/>
    </row>
    <row r="31" spans="1:7" ht="45" x14ac:dyDescent="0.25">
      <c r="A31" s="287" t="s">
        <v>2786</v>
      </c>
      <c r="B31" s="290" t="s">
        <v>411</v>
      </c>
      <c r="C31" s="301"/>
      <c r="D31" s="300"/>
      <c r="E31" s="574"/>
      <c r="F31" s="587"/>
      <c r="G31" s="282"/>
    </row>
    <row r="32" spans="1:7" ht="30" x14ac:dyDescent="0.25">
      <c r="A32" s="299"/>
      <c r="B32" s="290" t="s">
        <v>2445</v>
      </c>
      <c r="C32" s="301">
        <v>2</v>
      </c>
      <c r="D32" s="300" t="s">
        <v>392</v>
      </c>
      <c r="E32" s="574">
        <v>300000</v>
      </c>
      <c r="F32" s="587">
        <f>E32*C32</f>
        <v>600000</v>
      </c>
      <c r="G32" s="282"/>
    </row>
    <row r="33" spans="1:7" x14ac:dyDescent="0.25">
      <c r="A33" s="299"/>
      <c r="B33" s="287"/>
      <c r="C33" s="301"/>
      <c r="D33" s="300"/>
      <c r="E33" s="294"/>
      <c r="F33" s="587"/>
      <c r="G33" s="282"/>
    </row>
    <row r="34" spans="1:7" ht="30" x14ac:dyDescent="0.25">
      <c r="A34" s="304" t="s">
        <v>2787</v>
      </c>
      <c r="B34" s="290" t="s">
        <v>486</v>
      </c>
      <c r="C34" s="301"/>
      <c r="D34" s="300"/>
      <c r="E34" s="294"/>
      <c r="F34" s="587"/>
      <c r="G34" s="282"/>
    </row>
    <row r="35" spans="1:7" ht="30" x14ac:dyDescent="0.25">
      <c r="A35" s="287" t="s">
        <v>2788</v>
      </c>
      <c r="B35" s="290" t="s">
        <v>2789</v>
      </c>
      <c r="C35" s="301"/>
      <c r="D35" s="300"/>
      <c r="E35" s="294"/>
      <c r="F35" s="587"/>
      <c r="G35" s="282"/>
    </row>
    <row r="36" spans="1:7" x14ac:dyDescent="0.25">
      <c r="A36" s="299"/>
      <c r="B36" s="1000" t="s">
        <v>2790</v>
      </c>
      <c r="C36" s="301"/>
      <c r="D36" s="300"/>
      <c r="E36" s="294"/>
      <c r="F36" s="587">
        <f>E36*C36</f>
        <v>0</v>
      </c>
      <c r="G36" s="282"/>
    </row>
    <row r="37" spans="1:7" x14ac:dyDescent="0.25">
      <c r="A37" s="299"/>
      <c r="B37" s="734" t="s">
        <v>2791</v>
      </c>
      <c r="C37" s="301">
        <v>10</v>
      </c>
      <c r="D37" s="300" t="s">
        <v>102</v>
      </c>
      <c r="E37" s="294">
        <v>1840000</v>
      </c>
      <c r="F37" s="587">
        <f>E37*C37</f>
        <v>18400000</v>
      </c>
      <c r="G37" s="282"/>
    </row>
    <row r="38" spans="1:7" x14ac:dyDescent="0.25">
      <c r="A38" s="299"/>
      <c r="B38" s="287" t="s">
        <v>2792</v>
      </c>
      <c r="C38" s="809">
        <v>100</v>
      </c>
      <c r="D38" s="810" t="s">
        <v>1274</v>
      </c>
      <c r="E38" s="811">
        <v>16500</v>
      </c>
      <c r="F38" s="812">
        <f>E38*C38</f>
        <v>1650000</v>
      </c>
      <c r="G38" s="282"/>
    </row>
    <row r="39" spans="1:7" x14ac:dyDescent="0.25">
      <c r="A39" s="299"/>
      <c r="B39" s="808" t="s">
        <v>2793</v>
      </c>
      <c r="C39" s="809">
        <v>10</v>
      </c>
      <c r="D39" s="810" t="s">
        <v>154</v>
      </c>
      <c r="E39" s="811">
        <v>56000</v>
      </c>
      <c r="F39" s="812">
        <f t="shared" ref="F39:F47" si="1">E39*C39</f>
        <v>560000</v>
      </c>
      <c r="G39" s="282"/>
    </row>
    <row r="40" spans="1:7" x14ac:dyDescent="0.25">
      <c r="A40" s="299"/>
      <c r="B40" s="808" t="s">
        <v>2794</v>
      </c>
      <c r="C40" s="809">
        <v>4</v>
      </c>
      <c r="D40" s="810" t="s">
        <v>2795</v>
      </c>
      <c r="E40" s="811">
        <f>9200000+4400000</f>
        <v>13600000</v>
      </c>
      <c r="F40" s="812">
        <f t="shared" si="1"/>
        <v>54400000</v>
      </c>
      <c r="G40" s="282"/>
    </row>
    <row r="41" spans="1:7" x14ac:dyDescent="0.25">
      <c r="A41" s="299"/>
      <c r="B41" s="290" t="s">
        <v>2796</v>
      </c>
      <c r="C41" s="809"/>
      <c r="D41" s="810"/>
      <c r="E41" s="811"/>
      <c r="F41" s="812">
        <f t="shared" si="1"/>
        <v>0</v>
      </c>
      <c r="G41" s="282"/>
    </row>
    <row r="42" spans="1:7" x14ac:dyDescent="0.25">
      <c r="A42" s="299"/>
      <c r="B42" s="290" t="s">
        <v>1811</v>
      </c>
      <c r="C42" s="809">
        <v>10</v>
      </c>
      <c r="D42" s="810" t="s">
        <v>90</v>
      </c>
      <c r="E42" s="1001">
        <v>6982500</v>
      </c>
      <c r="F42" s="812">
        <f t="shared" si="1"/>
        <v>69825000</v>
      </c>
      <c r="G42" s="282"/>
    </row>
    <row r="43" spans="1:7" x14ac:dyDescent="0.25">
      <c r="A43" s="299"/>
      <c r="B43" s="290" t="s">
        <v>2797</v>
      </c>
      <c r="C43" s="809">
        <f>2000*20</f>
        <v>40000</v>
      </c>
      <c r="D43" s="810" t="s">
        <v>858</v>
      </c>
      <c r="E43" s="811">
        <v>400</v>
      </c>
      <c r="F43" s="812">
        <f t="shared" si="1"/>
        <v>16000000</v>
      </c>
      <c r="G43" s="282"/>
    </row>
    <row r="44" spans="1:7" x14ac:dyDescent="0.25">
      <c r="A44" s="299"/>
      <c r="B44" s="290" t="s">
        <v>2798</v>
      </c>
      <c r="C44" s="809">
        <v>500</v>
      </c>
      <c r="D44" s="810" t="s">
        <v>1274</v>
      </c>
      <c r="E44" s="811">
        <v>16500</v>
      </c>
      <c r="F44" s="812">
        <f t="shared" si="1"/>
        <v>8250000</v>
      </c>
      <c r="G44" s="282"/>
    </row>
    <row r="45" spans="1:7" x14ac:dyDescent="0.25">
      <c r="A45" s="299"/>
      <c r="B45" s="290" t="s">
        <v>2799</v>
      </c>
      <c r="C45" s="809">
        <v>10</v>
      </c>
      <c r="D45" s="810" t="s">
        <v>90</v>
      </c>
      <c r="E45" s="811">
        <v>200000</v>
      </c>
      <c r="F45" s="812">
        <f t="shared" si="1"/>
        <v>2000000</v>
      </c>
      <c r="G45" s="282"/>
    </row>
    <row r="46" spans="1:7" x14ac:dyDescent="0.25">
      <c r="A46" s="299"/>
      <c r="B46" s="290" t="s">
        <v>2800</v>
      </c>
      <c r="C46" s="809">
        <v>10</v>
      </c>
      <c r="D46" s="810" t="s">
        <v>93</v>
      </c>
      <c r="E46" s="811">
        <v>56000</v>
      </c>
      <c r="F46" s="812">
        <f t="shared" si="1"/>
        <v>560000</v>
      </c>
      <c r="G46" s="282"/>
    </row>
    <row r="47" spans="1:7" x14ac:dyDescent="0.25">
      <c r="A47" s="299"/>
      <c r="B47" s="290" t="s">
        <v>1812</v>
      </c>
      <c r="C47" s="809">
        <v>20</v>
      </c>
      <c r="D47" s="810" t="s">
        <v>124</v>
      </c>
      <c r="E47" s="811">
        <v>67000</v>
      </c>
      <c r="F47" s="812">
        <f t="shared" si="1"/>
        <v>1340000</v>
      </c>
      <c r="G47" s="282"/>
    </row>
    <row r="48" spans="1:7" x14ac:dyDescent="0.25">
      <c r="A48" s="299"/>
      <c r="B48" s="813"/>
      <c r="C48" s="814"/>
      <c r="D48" s="815"/>
      <c r="E48" s="816"/>
      <c r="F48" s="812"/>
      <c r="G48" s="817"/>
    </row>
    <row r="49" spans="1:19" ht="30" x14ac:dyDescent="0.25">
      <c r="A49" s="589"/>
      <c r="B49" s="2067" t="s">
        <v>26</v>
      </c>
      <c r="C49" s="2067"/>
      <c r="D49" s="2067"/>
      <c r="E49" s="2067"/>
      <c r="F49" s="590">
        <f>SUM(F15:F47)</f>
        <v>175300000</v>
      </c>
      <c r="G49" s="944" t="s">
        <v>2179</v>
      </c>
      <c r="J49" s="23"/>
      <c r="S49" s="23">
        <f>F49</f>
        <v>175300000</v>
      </c>
    </row>
    <row r="50" spans="1:19" x14ac:dyDescent="0.25">
      <c r="A50" s="1926" t="s">
        <v>516</v>
      </c>
      <c r="B50" s="1926"/>
      <c r="C50" s="152" t="s">
        <v>27</v>
      </c>
      <c r="D50" s="1926" t="s">
        <v>3654</v>
      </c>
      <c r="E50" s="1926"/>
      <c r="F50" s="1926"/>
      <c r="G50" s="152"/>
    </row>
    <row r="51" spans="1:19" x14ac:dyDescent="0.25">
      <c r="A51" s="1926" t="s">
        <v>28</v>
      </c>
      <c r="B51" s="1926"/>
      <c r="C51" s="152"/>
      <c r="D51" s="1927" t="s">
        <v>3565</v>
      </c>
      <c r="E51" s="1927"/>
      <c r="F51" s="1927"/>
      <c r="G51" s="152"/>
    </row>
    <row r="52" spans="1:19" x14ac:dyDescent="0.25">
      <c r="A52" s="150"/>
      <c r="B52" s="151"/>
      <c r="C52" s="152"/>
      <c r="D52" s="153"/>
      <c r="E52" s="1770"/>
      <c r="F52" s="182"/>
      <c r="G52" s="152"/>
    </row>
    <row r="53" spans="1:19" x14ac:dyDescent="0.25">
      <c r="A53" s="150"/>
      <c r="B53" s="151"/>
      <c r="C53" s="152"/>
      <c r="D53" s="153"/>
      <c r="E53" s="1770"/>
      <c r="F53" s="182"/>
      <c r="G53" s="152"/>
    </row>
    <row r="54" spans="1:19" x14ac:dyDescent="0.25">
      <c r="A54" s="1926"/>
      <c r="B54" s="1926"/>
      <c r="C54" s="152"/>
      <c r="D54" s="153"/>
      <c r="E54" s="1926"/>
      <c r="F54" s="1926"/>
      <c r="G54" s="152"/>
    </row>
    <row r="55" spans="1:19" x14ac:dyDescent="0.25">
      <c r="A55" s="1926" t="s">
        <v>29</v>
      </c>
      <c r="B55" s="1926"/>
      <c r="C55" s="152"/>
      <c r="D55" s="1926" t="s">
        <v>3564</v>
      </c>
      <c r="E55" s="1926"/>
      <c r="F55" s="1926"/>
      <c r="G55" s="152"/>
    </row>
    <row r="56" spans="1:19" x14ac:dyDescent="0.25">
      <c r="A56" s="2062" t="s">
        <v>0</v>
      </c>
      <c r="B56" s="2062"/>
      <c r="C56" s="2062"/>
      <c r="D56" s="2062"/>
      <c r="E56" s="2062"/>
      <c r="F56" s="2062"/>
      <c r="G56" s="2062"/>
    </row>
    <row r="57" spans="1:19" x14ac:dyDescent="0.25">
      <c r="A57" s="2062" t="s">
        <v>1</v>
      </c>
      <c r="B57" s="2062"/>
      <c r="C57" s="2062"/>
      <c r="D57" s="2062"/>
      <c r="E57" s="2062"/>
      <c r="F57" s="2062"/>
      <c r="G57" s="2062"/>
    </row>
    <row r="58" spans="1:19" x14ac:dyDescent="0.25">
      <c r="A58" s="2062" t="s">
        <v>2398</v>
      </c>
      <c r="B58" s="2062"/>
      <c r="C58" s="2062"/>
      <c r="D58" s="2062"/>
      <c r="E58" s="2062"/>
      <c r="F58" s="2062"/>
      <c r="G58" s="2062"/>
    </row>
    <row r="59" spans="1:19" x14ac:dyDescent="0.25">
      <c r="A59" s="260"/>
      <c r="B59" s="260"/>
      <c r="C59" s="578"/>
      <c r="D59" s="578"/>
      <c r="E59" s="265"/>
      <c r="F59" s="260"/>
      <c r="G59" s="187"/>
    </row>
    <row r="60" spans="1:19" x14ac:dyDescent="0.25">
      <c r="A60" s="563" t="s">
        <v>491</v>
      </c>
      <c r="B60" s="563" t="s">
        <v>412</v>
      </c>
      <c r="C60" s="563"/>
      <c r="D60" s="563"/>
      <c r="E60" s="567"/>
      <c r="F60" s="563"/>
      <c r="G60" s="187"/>
    </row>
    <row r="61" spans="1:19" x14ac:dyDescent="0.25">
      <c r="A61" s="563" t="s">
        <v>492</v>
      </c>
      <c r="B61" s="563" t="s">
        <v>1646</v>
      </c>
      <c r="C61" s="563"/>
      <c r="D61" s="563"/>
      <c r="E61" s="187"/>
      <c r="F61" s="187"/>
      <c r="G61" s="187"/>
    </row>
    <row r="62" spans="1:19" ht="45" x14ac:dyDescent="0.25">
      <c r="A62" s="266" t="s">
        <v>493</v>
      </c>
      <c r="B62" s="616" t="s">
        <v>2764</v>
      </c>
      <c r="C62" s="563"/>
      <c r="D62" s="563"/>
      <c r="E62" s="187"/>
      <c r="F62" s="187"/>
      <c r="G62" s="187"/>
    </row>
    <row r="63" spans="1:19" ht="30" x14ac:dyDescent="0.25">
      <c r="A63" s="264" t="s">
        <v>469</v>
      </c>
      <c r="B63" s="263" t="s">
        <v>60</v>
      </c>
      <c r="C63" s="260"/>
      <c r="D63" s="260"/>
      <c r="E63" s="260"/>
      <c r="F63" s="260"/>
      <c r="G63" s="187"/>
    </row>
    <row r="64" spans="1:19" x14ac:dyDescent="0.25">
      <c r="A64" s="1957" t="s">
        <v>470</v>
      </c>
      <c r="B64" s="1957"/>
      <c r="C64" s="578"/>
      <c r="D64" s="578"/>
      <c r="E64" s="265"/>
      <c r="F64" s="260"/>
      <c r="G64" s="258"/>
    </row>
    <row r="65" spans="1:7" ht="30" x14ac:dyDescent="0.25">
      <c r="A65" s="568" t="s">
        <v>30</v>
      </c>
      <c r="B65" s="568" t="s">
        <v>11</v>
      </c>
      <c r="C65" s="2065" t="s">
        <v>12</v>
      </c>
      <c r="D65" s="2066"/>
      <c r="E65" s="582" t="s">
        <v>13</v>
      </c>
      <c r="F65" s="583" t="s">
        <v>14</v>
      </c>
      <c r="G65" s="297" t="s">
        <v>34</v>
      </c>
    </row>
    <row r="66" spans="1:7" x14ac:dyDescent="0.25">
      <c r="A66" s="281">
        <v>1</v>
      </c>
      <c r="B66" s="281">
        <v>2</v>
      </c>
      <c r="C66" s="1965">
        <v>3</v>
      </c>
      <c r="D66" s="1966"/>
      <c r="E66" s="569">
        <v>4</v>
      </c>
      <c r="F66" s="279">
        <v>5</v>
      </c>
      <c r="G66" s="298">
        <v>6</v>
      </c>
    </row>
    <row r="67" spans="1:7" x14ac:dyDescent="0.25">
      <c r="A67" s="304" t="s">
        <v>495</v>
      </c>
      <c r="B67" s="290" t="s">
        <v>462</v>
      </c>
      <c r="C67" s="584"/>
      <c r="D67" s="585"/>
      <c r="E67" s="586"/>
      <c r="F67" s="584"/>
      <c r="G67" s="299"/>
    </row>
    <row r="68" spans="1:7" x14ac:dyDescent="0.25">
      <c r="A68" s="304" t="s">
        <v>496</v>
      </c>
      <c r="B68" s="290" t="s">
        <v>84</v>
      </c>
      <c r="C68" s="584"/>
      <c r="D68" s="585"/>
      <c r="E68" s="586"/>
      <c r="F68" s="584"/>
      <c r="G68" s="299"/>
    </row>
    <row r="69" spans="1:7" ht="30" x14ac:dyDescent="0.25">
      <c r="A69" s="304" t="s">
        <v>497</v>
      </c>
      <c r="B69" s="290" t="s">
        <v>307</v>
      </c>
      <c r="C69" s="301"/>
      <c r="D69" s="300"/>
      <c r="E69" s="294"/>
      <c r="F69" s="587"/>
      <c r="G69" s="282"/>
    </row>
    <row r="70" spans="1:7" x14ac:dyDescent="0.25">
      <c r="A70" s="299"/>
      <c r="B70" s="287" t="s">
        <v>2765</v>
      </c>
      <c r="C70" s="301">
        <v>10</v>
      </c>
      <c r="D70" s="300" t="s">
        <v>269</v>
      </c>
      <c r="E70" s="294">
        <v>20000</v>
      </c>
      <c r="F70" s="587">
        <f>E70*C70</f>
        <v>200000</v>
      </c>
      <c r="G70" s="282"/>
    </row>
    <row r="71" spans="1:7" x14ac:dyDescent="0.25">
      <c r="A71" s="299"/>
      <c r="B71" s="287"/>
      <c r="C71" s="301"/>
      <c r="D71" s="300"/>
      <c r="E71" s="294"/>
      <c r="F71" s="587"/>
      <c r="G71" s="282"/>
    </row>
    <row r="72" spans="1:7" ht="30" x14ac:dyDescent="0.25">
      <c r="A72" s="304" t="s">
        <v>498</v>
      </c>
      <c r="B72" s="290" t="s">
        <v>325</v>
      </c>
      <c r="C72" s="301"/>
      <c r="D72" s="300"/>
      <c r="E72" s="294"/>
      <c r="F72" s="587"/>
      <c r="G72" s="282"/>
    </row>
    <row r="73" spans="1:7" x14ac:dyDescent="0.25">
      <c r="A73" s="299"/>
      <c r="B73" s="287" t="s">
        <v>326</v>
      </c>
      <c r="C73" s="301">
        <v>1</v>
      </c>
      <c r="D73" s="300" t="s">
        <v>93</v>
      </c>
      <c r="E73" s="294">
        <v>90000</v>
      </c>
      <c r="F73" s="587">
        <f>E73*C73</f>
        <v>90000</v>
      </c>
      <c r="G73" s="282"/>
    </row>
    <row r="74" spans="1:7" x14ac:dyDescent="0.25">
      <c r="A74" s="299"/>
      <c r="B74" s="287"/>
      <c r="C74" s="301"/>
      <c r="D74" s="300"/>
      <c r="E74" s="294"/>
      <c r="F74" s="587"/>
      <c r="G74" s="282"/>
    </row>
    <row r="75" spans="1:7" ht="30" x14ac:dyDescent="0.25">
      <c r="A75" s="287" t="s">
        <v>499</v>
      </c>
      <c r="B75" s="290" t="s">
        <v>421</v>
      </c>
      <c r="C75" s="301"/>
      <c r="D75" s="300"/>
      <c r="E75" s="294"/>
      <c r="F75" s="588"/>
      <c r="G75" s="282"/>
    </row>
    <row r="76" spans="1:7" x14ac:dyDescent="0.25">
      <c r="A76" s="287"/>
      <c r="B76" s="287" t="s">
        <v>422</v>
      </c>
      <c r="C76" s="301">
        <v>1</v>
      </c>
      <c r="D76" s="300" t="s">
        <v>93</v>
      </c>
      <c r="E76" s="294">
        <v>50000</v>
      </c>
      <c r="F76" s="588">
        <f>E76*C76</f>
        <v>50000</v>
      </c>
      <c r="G76" s="282"/>
    </row>
    <row r="77" spans="1:7" x14ac:dyDescent="0.25">
      <c r="A77" s="287"/>
      <c r="B77" s="287" t="s">
        <v>275</v>
      </c>
      <c r="C77" s="301">
        <v>5</v>
      </c>
      <c r="D77" s="300" t="s">
        <v>606</v>
      </c>
      <c r="E77" s="294">
        <v>3000</v>
      </c>
      <c r="F77" s="588">
        <f>E77*C77</f>
        <v>15000</v>
      </c>
      <c r="G77" s="282"/>
    </row>
    <row r="78" spans="1:7" x14ac:dyDescent="0.25">
      <c r="A78" s="287"/>
      <c r="B78" s="287" t="s">
        <v>289</v>
      </c>
      <c r="C78" s="301">
        <v>1</v>
      </c>
      <c r="D78" s="300" t="s">
        <v>152</v>
      </c>
      <c r="E78" s="294">
        <v>10000</v>
      </c>
      <c r="F78" s="588">
        <f>E78*C78</f>
        <v>10000</v>
      </c>
      <c r="G78" s="282"/>
    </row>
    <row r="79" spans="1:7" x14ac:dyDescent="0.25">
      <c r="A79" s="287"/>
      <c r="B79" s="287"/>
      <c r="C79" s="301"/>
      <c r="D79" s="300"/>
      <c r="E79" s="294"/>
      <c r="F79" s="588"/>
      <c r="G79" s="282"/>
    </row>
    <row r="80" spans="1:7" x14ac:dyDescent="0.25">
      <c r="A80" s="304" t="s">
        <v>500</v>
      </c>
      <c r="B80" s="287" t="s">
        <v>294</v>
      </c>
      <c r="C80" s="301"/>
      <c r="D80" s="300"/>
      <c r="E80" s="574"/>
      <c r="F80" s="587"/>
      <c r="G80" s="282"/>
    </row>
    <row r="81" spans="1:8" ht="30" x14ac:dyDescent="0.25">
      <c r="A81" s="304" t="s">
        <v>501</v>
      </c>
      <c r="B81" s="290" t="s">
        <v>484</v>
      </c>
      <c r="C81" s="301"/>
      <c r="D81" s="300"/>
      <c r="E81" s="574"/>
      <c r="F81" s="587"/>
      <c r="G81" s="282"/>
    </row>
    <row r="82" spans="1:8" x14ac:dyDescent="0.25">
      <c r="A82" s="299"/>
      <c r="B82" s="287" t="s">
        <v>402</v>
      </c>
      <c r="C82" s="301">
        <v>1</v>
      </c>
      <c r="D82" s="300" t="s">
        <v>269</v>
      </c>
      <c r="E82" s="574">
        <v>300000</v>
      </c>
      <c r="F82" s="587">
        <f>E82*C82</f>
        <v>300000</v>
      </c>
      <c r="G82" s="282"/>
    </row>
    <row r="83" spans="1:8" x14ac:dyDescent="0.25">
      <c r="A83" s="299"/>
      <c r="B83" s="287" t="s">
        <v>502</v>
      </c>
      <c r="C83" s="301">
        <v>1</v>
      </c>
      <c r="D83" s="300" t="s">
        <v>269</v>
      </c>
      <c r="E83" s="574">
        <v>250000</v>
      </c>
      <c r="F83" s="587">
        <f>E83*C83</f>
        <v>250000</v>
      </c>
      <c r="G83" s="282"/>
    </row>
    <row r="84" spans="1:8" x14ac:dyDescent="0.25">
      <c r="A84" s="299"/>
      <c r="B84" s="287" t="s">
        <v>485</v>
      </c>
      <c r="C84" s="301">
        <v>3</v>
      </c>
      <c r="D84" s="300" t="s">
        <v>269</v>
      </c>
      <c r="E84" s="574">
        <v>200000</v>
      </c>
      <c r="F84" s="587">
        <f>E84*C84</f>
        <v>600000</v>
      </c>
      <c r="G84" s="282"/>
    </row>
    <row r="85" spans="1:8" x14ac:dyDescent="0.25">
      <c r="A85" s="299"/>
      <c r="B85" s="287"/>
      <c r="C85" s="301"/>
      <c r="D85" s="300"/>
      <c r="E85" s="574"/>
      <c r="F85" s="587"/>
      <c r="G85" s="282"/>
    </row>
    <row r="86" spans="1:8" ht="45" x14ac:dyDescent="0.25">
      <c r="A86" s="287" t="s">
        <v>503</v>
      </c>
      <c r="B86" s="290" t="s">
        <v>411</v>
      </c>
      <c r="C86" s="301"/>
      <c r="D86" s="300"/>
      <c r="E86" s="574"/>
      <c r="F86" s="587"/>
      <c r="G86" s="282"/>
    </row>
    <row r="87" spans="1:8" ht="30" x14ac:dyDescent="0.25">
      <c r="A87" s="299"/>
      <c r="B87" s="290" t="s">
        <v>2445</v>
      </c>
      <c r="C87" s="301">
        <v>2</v>
      </c>
      <c r="D87" s="300" t="s">
        <v>392</v>
      </c>
      <c r="E87" s="574">
        <v>300000</v>
      </c>
      <c r="F87" s="587">
        <f>E87*C87</f>
        <v>600000</v>
      </c>
      <c r="G87" s="282"/>
    </row>
    <row r="88" spans="1:8" x14ac:dyDescent="0.25">
      <c r="A88" s="299"/>
      <c r="B88" s="287"/>
      <c r="C88" s="301"/>
      <c r="D88" s="300"/>
      <c r="E88" s="294"/>
      <c r="F88" s="587"/>
      <c r="G88" s="282"/>
    </row>
    <row r="89" spans="1:8" ht="30" x14ac:dyDescent="0.25">
      <c r="A89" s="304" t="s">
        <v>504</v>
      </c>
      <c r="B89" s="290" t="s">
        <v>486</v>
      </c>
      <c r="C89" s="301"/>
      <c r="D89" s="300"/>
      <c r="E89" s="294"/>
      <c r="F89" s="587"/>
      <c r="G89" s="282"/>
    </row>
    <row r="90" spans="1:8" ht="45" x14ac:dyDescent="0.25">
      <c r="A90" s="287" t="s">
        <v>505</v>
      </c>
      <c r="B90" s="290" t="s">
        <v>487</v>
      </c>
      <c r="C90" s="301"/>
      <c r="D90" s="300"/>
      <c r="E90" s="294"/>
      <c r="F90" s="587"/>
      <c r="G90" s="282"/>
    </row>
    <row r="91" spans="1:8" x14ac:dyDescent="0.25">
      <c r="A91" s="299"/>
      <c r="B91" s="734" t="s">
        <v>2766</v>
      </c>
      <c r="C91" s="301">
        <v>1</v>
      </c>
      <c r="D91" s="300" t="s">
        <v>2767</v>
      </c>
      <c r="E91" s="294">
        <v>858000</v>
      </c>
      <c r="F91" s="587">
        <f>E91*C91</f>
        <v>858000</v>
      </c>
      <c r="G91" s="282"/>
    </row>
    <row r="92" spans="1:8" x14ac:dyDescent="0.25">
      <c r="A92" s="299"/>
      <c r="B92" s="734" t="s">
        <v>2768</v>
      </c>
      <c r="C92" s="301">
        <v>10</v>
      </c>
      <c r="D92" s="300" t="s">
        <v>1801</v>
      </c>
      <c r="E92" s="294">
        <v>62000</v>
      </c>
      <c r="F92" s="587">
        <f t="shared" ref="F92:F100" si="2">E92*C92</f>
        <v>620000</v>
      </c>
      <c r="G92" s="282"/>
      <c r="H92" s="96"/>
    </row>
    <row r="93" spans="1:8" x14ac:dyDescent="0.25">
      <c r="A93" s="299"/>
      <c r="B93" s="734" t="s">
        <v>2769</v>
      </c>
      <c r="C93" s="301">
        <v>10</v>
      </c>
      <c r="D93" s="300" t="s">
        <v>1801</v>
      </c>
      <c r="E93" s="294">
        <v>37000</v>
      </c>
      <c r="F93" s="587">
        <f t="shared" si="2"/>
        <v>370000</v>
      </c>
      <c r="G93" s="282"/>
      <c r="H93" s="96"/>
    </row>
    <row r="94" spans="1:8" x14ac:dyDescent="0.25">
      <c r="A94" s="299"/>
      <c r="B94" s="734" t="s">
        <v>2770</v>
      </c>
      <c r="C94" s="301">
        <v>20</v>
      </c>
      <c r="D94" s="300" t="s">
        <v>1801</v>
      </c>
      <c r="E94" s="294">
        <v>37000</v>
      </c>
      <c r="F94" s="587">
        <f t="shared" si="2"/>
        <v>740000</v>
      </c>
      <c r="G94" s="282"/>
      <c r="H94" s="96"/>
    </row>
    <row r="95" spans="1:8" x14ac:dyDescent="0.25">
      <c r="A95" s="299"/>
      <c r="B95" s="734" t="s">
        <v>2771</v>
      </c>
      <c r="C95" s="301">
        <v>100</v>
      </c>
      <c r="D95" s="300" t="s">
        <v>1801</v>
      </c>
      <c r="E95" s="294">
        <v>7000</v>
      </c>
      <c r="F95" s="587">
        <f t="shared" si="2"/>
        <v>700000</v>
      </c>
      <c r="G95" s="282"/>
    </row>
    <row r="96" spans="1:8" x14ac:dyDescent="0.25">
      <c r="A96" s="299"/>
      <c r="B96" s="734" t="s">
        <v>2772</v>
      </c>
      <c r="C96" s="301">
        <v>10</v>
      </c>
      <c r="D96" s="300" t="s">
        <v>1801</v>
      </c>
      <c r="E96" s="294">
        <v>64000</v>
      </c>
      <c r="F96" s="587">
        <f t="shared" si="2"/>
        <v>640000</v>
      </c>
      <c r="G96" s="282"/>
    </row>
    <row r="97" spans="1:20" x14ac:dyDescent="0.25">
      <c r="A97" s="299"/>
      <c r="B97" s="734" t="s">
        <v>2773</v>
      </c>
      <c r="C97" s="301">
        <v>20</v>
      </c>
      <c r="D97" s="300" t="s">
        <v>450</v>
      </c>
      <c r="E97" s="294">
        <v>110000</v>
      </c>
      <c r="F97" s="587">
        <f t="shared" si="2"/>
        <v>2200000</v>
      </c>
      <c r="G97" s="282"/>
      <c r="H97" s="96"/>
    </row>
    <row r="98" spans="1:20" x14ac:dyDescent="0.25">
      <c r="A98" s="299"/>
      <c r="B98" s="734" t="s">
        <v>2774</v>
      </c>
      <c r="C98" s="301">
        <v>50</v>
      </c>
      <c r="D98" s="300" t="s">
        <v>124</v>
      </c>
      <c r="E98" s="294">
        <v>80000</v>
      </c>
      <c r="F98" s="587">
        <f t="shared" si="2"/>
        <v>4000000</v>
      </c>
      <c r="G98" s="282"/>
      <c r="H98" s="96"/>
    </row>
    <row r="99" spans="1:20" x14ac:dyDescent="0.25">
      <c r="A99" s="299"/>
      <c r="B99" s="734" t="s">
        <v>2775</v>
      </c>
      <c r="C99" s="301">
        <v>1</v>
      </c>
      <c r="D99" s="300" t="s">
        <v>110</v>
      </c>
      <c r="E99" s="294">
        <v>1178000</v>
      </c>
      <c r="F99" s="587">
        <f t="shared" si="2"/>
        <v>1178000</v>
      </c>
      <c r="G99" s="282"/>
    </row>
    <row r="100" spans="1:20" x14ac:dyDescent="0.25">
      <c r="A100" s="299"/>
      <c r="B100" s="734" t="s">
        <v>2776</v>
      </c>
      <c r="C100" s="301">
        <v>1</v>
      </c>
      <c r="D100" s="300" t="s">
        <v>110</v>
      </c>
      <c r="E100" s="294">
        <v>19000000</v>
      </c>
      <c r="F100" s="587">
        <f t="shared" si="2"/>
        <v>19000000</v>
      </c>
      <c r="G100" s="282"/>
      <c r="H100" s="96"/>
    </row>
    <row r="101" spans="1:20" x14ac:dyDescent="0.25">
      <c r="A101" s="589"/>
      <c r="B101" s="2067" t="s">
        <v>26</v>
      </c>
      <c r="C101" s="2067"/>
      <c r="D101" s="2067"/>
      <c r="E101" s="2067"/>
      <c r="F101" s="590">
        <f>SUM(F69:F100)</f>
        <v>32421000</v>
      </c>
      <c r="G101" s="944" t="s">
        <v>1410</v>
      </c>
      <c r="J101" s="23">
        <f>F101</f>
        <v>32421000</v>
      </c>
      <c r="T101" s="23"/>
    </row>
    <row r="102" spans="1:20" x14ac:dyDescent="0.25">
      <c r="A102" s="1926" t="s">
        <v>516</v>
      </c>
      <c r="B102" s="1926"/>
      <c r="C102" s="152" t="s">
        <v>27</v>
      </c>
      <c r="D102" s="1926" t="s">
        <v>3654</v>
      </c>
      <c r="E102" s="1926"/>
      <c r="F102" s="1926"/>
      <c r="G102" s="152"/>
    </row>
    <row r="103" spans="1:20" x14ac:dyDescent="0.25">
      <c r="A103" s="1926" t="s">
        <v>28</v>
      </c>
      <c r="B103" s="1926"/>
      <c r="C103" s="152"/>
      <c r="D103" s="1927" t="s">
        <v>3565</v>
      </c>
      <c r="E103" s="1927"/>
      <c r="F103" s="1927"/>
      <c r="G103" s="152"/>
    </row>
    <row r="104" spans="1:20" x14ac:dyDescent="0.25">
      <c r="A104" s="150"/>
      <c r="B104" s="151"/>
      <c r="C104" s="152"/>
      <c r="D104" s="153"/>
      <c r="E104" s="1770"/>
      <c r="F104" s="182"/>
      <c r="G104" s="152"/>
    </row>
    <row r="105" spans="1:20" x14ac:dyDescent="0.25">
      <c r="A105" s="150"/>
      <c r="B105" s="151"/>
      <c r="C105" s="152"/>
      <c r="D105" s="153"/>
      <c r="E105" s="1770"/>
      <c r="F105" s="182"/>
      <c r="G105" s="152"/>
    </row>
    <row r="106" spans="1:20" x14ac:dyDescent="0.25">
      <c r="A106" s="1926" t="s">
        <v>29</v>
      </c>
      <c r="B106" s="1926"/>
      <c r="C106" s="152"/>
      <c r="D106" s="1926" t="s">
        <v>3564</v>
      </c>
      <c r="E106" s="1926"/>
      <c r="F106" s="1926"/>
      <c r="G106" s="152"/>
    </row>
    <row r="107" spans="1:20" x14ac:dyDescent="0.25">
      <c r="A107" s="2181" t="s">
        <v>0</v>
      </c>
      <c r="B107" s="2181"/>
      <c r="C107" s="2181"/>
      <c r="D107" s="2181"/>
      <c r="E107" s="2181"/>
      <c r="F107" s="2181"/>
      <c r="G107" s="2181"/>
    </row>
    <row r="108" spans="1:20" x14ac:dyDescent="0.25">
      <c r="A108" s="2181" t="s">
        <v>1</v>
      </c>
      <c r="B108" s="2181"/>
      <c r="C108" s="2181"/>
      <c r="D108" s="2181"/>
      <c r="E108" s="2181"/>
      <c r="F108" s="2181"/>
      <c r="G108" s="2181"/>
    </row>
    <row r="109" spans="1:20" x14ac:dyDescent="0.25">
      <c r="A109" s="2181" t="s">
        <v>2398</v>
      </c>
      <c r="B109" s="2181"/>
      <c r="C109" s="2181"/>
      <c r="D109" s="2181"/>
      <c r="E109" s="2181"/>
      <c r="F109" s="2181"/>
      <c r="G109" s="2181"/>
    </row>
    <row r="110" spans="1:20" x14ac:dyDescent="0.25">
      <c r="A110" s="1330"/>
      <c r="B110" s="1330"/>
      <c r="C110" s="1380"/>
      <c r="D110" s="1380"/>
      <c r="E110" s="1381"/>
      <c r="F110" s="1330"/>
      <c r="G110" s="1269"/>
    </row>
    <row r="111" spans="1:20" x14ac:dyDescent="0.25">
      <c r="A111" s="1376" t="s">
        <v>491</v>
      </c>
      <c r="B111" s="1376" t="s">
        <v>412</v>
      </c>
      <c r="C111" s="1376"/>
      <c r="D111" s="1376"/>
      <c r="E111" s="1435"/>
      <c r="F111" s="1376"/>
      <c r="G111" s="1269"/>
    </row>
    <row r="112" spans="1:20" x14ac:dyDescent="0.25">
      <c r="A112" s="1376" t="s">
        <v>492</v>
      </c>
      <c r="B112" s="1376" t="s">
        <v>1646</v>
      </c>
      <c r="C112" s="1376"/>
      <c r="D112" s="1376"/>
      <c r="E112" s="1269"/>
      <c r="F112" s="1269"/>
      <c r="G112" s="1269"/>
    </row>
    <row r="113" spans="1:7" ht="45" x14ac:dyDescent="0.25">
      <c r="A113" s="1437" t="s">
        <v>493</v>
      </c>
      <c r="B113" s="1436" t="s">
        <v>2804</v>
      </c>
      <c r="C113" s="1376"/>
      <c r="D113" s="1376"/>
      <c r="E113" s="1269"/>
      <c r="F113" s="1269"/>
      <c r="G113" s="1269"/>
    </row>
    <row r="114" spans="1:7" ht="30" x14ac:dyDescent="0.25">
      <c r="A114" s="1438" t="s">
        <v>469</v>
      </c>
      <c r="B114" s="1439" t="s">
        <v>60</v>
      </c>
      <c r="C114" s="1330"/>
      <c r="D114" s="1330"/>
      <c r="E114" s="1330"/>
      <c r="F114" s="1330"/>
      <c r="G114" s="1269"/>
    </row>
    <row r="115" spans="1:7" x14ac:dyDescent="0.25">
      <c r="A115" s="2088" t="s">
        <v>470</v>
      </c>
      <c r="B115" s="2088"/>
      <c r="C115" s="1380"/>
      <c r="D115" s="1380"/>
      <c r="E115" s="1381"/>
      <c r="F115" s="1330"/>
      <c r="G115" s="1382"/>
    </row>
    <row r="116" spans="1:7" ht="30" x14ac:dyDescent="0.25">
      <c r="A116" s="1440" t="s">
        <v>30</v>
      </c>
      <c r="B116" s="1440" t="s">
        <v>11</v>
      </c>
      <c r="C116" s="2182" t="s">
        <v>12</v>
      </c>
      <c r="D116" s="2183"/>
      <c r="E116" s="1442" t="s">
        <v>13</v>
      </c>
      <c r="F116" s="1441" t="s">
        <v>14</v>
      </c>
      <c r="G116" s="1443" t="s">
        <v>34</v>
      </c>
    </row>
    <row r="117" spans="1:7" x14ac:dyDescent="0.25">
      <c r="A117" s="1336">
        <v>1</v>
      </c>
      <c r="B117" s="1336">
        <v>2</v>
      </c>
      <c r="C117" s="2090">
        <v>3</v>
      </c>
      <c r="D117" s="2091"/>
      <c r="E117" s="1338">
        <v>4</v>
      </c>
      <c r="F117" s="1337">
        <v>5</v>
      </c>
      <c r="G117" s="1444">
        <v>6</v>
      </c>
    </row>
    <row r="118" spans="1:7" x14ac:dyDescent="0.25">
      <c r="A118" s="1415" t="s">
        <v>2805</v>
      </c>
      <c r="B118" s="1403" t="s">
        <v>462</v>
      </c>
      <c r="C118" s="1445"/>
      <c r="D118" s="1446"/>
      <c r="E118" s="1447"/>
      <c r="F118" s="1445"/>
      <c r="G118" s="1448"/>
    </row>
    <row r="119" spans="1:7" x14ac:dyDescent="0.25">
      <c r="A119" s="1415" t="s">
        <v>2806</v>
      </c>
      <c r="B119" s="1403" t="s">
        <v>84</v>
      </c>
      <c r="C119" s="1445"/>
      <c r="D119" s="1446"/>
      <c r="E119" s="1447"/>
      <c r="F119" s="1445"/>
      <c r="G119" s="1448"/>
    </row>
    <row r="120" spans="1:7" ht="30" x14ac:dyDescent="0.25">
      <c r="A120" s="1415" t="s">
        <v>2807</v>
      </c>
      <c r="B120" s="1403" t="s">
        <v>307</v>
      </c>
      <c r="C120" s="1449"/>
      <c r="D120" s="1450"/>
      <c r="E120" s="1451"/>
      <c r="F120" s="1407"/>
      <c r="G120" s="1404"/>
    </row>
    <row r="121" spans="1:7" x14ac:dyDescent="0.25">
      <c r="A121" s="1448"/>
      <c r="B121" s="1402" t="s">
        <v>2808</v>
      </c>
      <c r="C121" s="1449">
        <v>25</v>
      </c>
      <c r="D121" s="1450" t="s">
        <v>474</v>
      </c>
      <c r="E121" s="1451">
        <v>20000</v>
      </c>
      <c r="F121" s="1407">
        <f>E121*C121</f>
        <v>500000</v>
      </c>
      <c r="G121" s="1404"/>
    </row>
    <row r="122" spans="1:7" x14ac:dyDescent="0.25">
      <c r="A122" s="1448"/>
      <c r="B122" s="1402"/>
      <c r="C122" s="1449"/>
      <c r="D122" s="1450"/>
      <c r="E122" s="1451"/>
      <c r="F122" s="1407"/>
      <c r="G122" s="1404"/>
    </row>
    <row r="123" spans="1:7" ht="30" x14ac:dyDescent="0.25">
      <c r="A123" s="1415" t="s">
        <v>2809</v>
      </c>
      <c r="B123" s="1403" t="s">
        <v>325</v>
      </c>
      <c r="C123" s="1449"/>
      <c r="D123" s="1450"/>
      <c r="E123" s="1451"/>
      <c r="F123" s="1407"/>
      <c r="G123" s="1404"/>
    </row>
    <row r="124" spans="1:7" x14ac:dyDescent="0.25">
      <c r="A124" s="1448"/>
      <c r="B124" s="1402" t="s">
        <v>326</v>
      </c>
      <c r="C124" s="1449">
        <v>1</v>
      </c>
      <c r="D124" s="1450" t="s">
        <v>93</v>
      </c>
      <c r="E124" s="1451">
        <v>90000</v>
      </c>
      <c r="F124" s="1407">
        <f>E124*C124</f>
        <v>90000</v>
      </c>
      <c r="G124" s="1404"/>
    </row>
    <row r="125" spans="1:7" x14ac:dyDescent="0.25">
      <c r="A125" s="1448"/>
      <c r="B125" s="1402"/>
      <c r="C125" s="1449"/>
      <c r="D125" s="1450"/>
      <c r="E125" s="1451"/>
      <c r="F125" s="1407"/>
      <c r="G125" s="1404"/>
    </row>
    <row r="126" spans="1:7" ht="30" x14ac:dyDescent="0.25">
      <c r="A126" s="1402" t="s">
        <v>2810</v>
      </c>
      <c r="B126" s="1403" t="s">
        <v>421</v>
      </c>
      <c r="C126" s="1449"/>
      <c r="D126" s="1450"/>
      <c r="E126" s="1451"/>
      <c r="F126" s="1465"/>
      <c r="G126" s="1404"/>
    </row>
    <row r="127" spans="1:7" x14ac:dyDescent="0.25">
      <c r="A127" s="1402"/>
      <c r="B127" s="1402" t="s">
        <v>422</v>
      </c>
      <c r="C127" s="1449">
        <v>1</v>
      </c>
      <c r="D127" s="1450" t="s">
        <v>93</v>
      </c>
      <c r="E127" s="1451">
        <v>50000</v>
      </c>
      <c r="F127" s="1465">
        <f>E127*C127</f>
        <v>50000</v>
      </c>
      <c r="G127" s="1404"/>
    </row>
    <row r="128" spans="1:7" x14ac:dyDescent="0.25">
      <c r="A128" s="1402"/>
      <c r="B128" s="1402" t="s">
        <v>275</v>
      </c>
      <c r="C128" s="1449">
        <v>5</v>
      </c>
      <c r="D128" s="1450" t="s">
        <v>606</v>
      </c>
      <c r="E128" s="1451">
        <v>3000</v>
      </c>
      <c r="F128" s="1465">
        <f>E128*C128</f>
        <v>15000</v>
      </c>
      <c r="G128" s="1404"/>
    </row>
    <row r="129" spans="1:7" x14ac:dyDescent="0.25">
      <c r="A129" s="1402"/>
      <c r="B129" s="1402" t="s">
        <v>289</v>
      </c>
      <c r="C129" s="1449">
        <v>1</v>
      </c>
      <c r="D129" s="1450" t="s">
        <v>152</v>
      </c>
      <c r="E129" s="1451">
        <v>10000</v>
      </c>
      <c r="F129" s="1465">
        <f>E129*C129</f>
        <v>10000</v>
      </c>
      <c r="G129" s="1404"/>
    </row>
    <row r="130" spans="1:7" x14ac:dyDescent="0.25">
      <c r="A130" s="1402"/>
      <c r="B130" s="1402"/>
      <c r="C130" s="1449"/>
      <c r="D130" s="1450"/>
      <c r="E130" s="1451"/>
      <c r="F130" s="1465"/>
      <c r="G130" s="1404"/>
    </row>
    <row r="131" spans="1:7" x14ac:dyDescent="0.25">
      <c r="A131" s="1415" t="s">
        <v>2811</v>
      </c>
      <c r="B131" s="1402" t="s">
        <v>294</v>
      </c>
      <c r="C131" s="1449"/>
      <c r="D131" s="1450"/>
      <c r="E131" s="1406"/>
      <c r="F131" s="1407"/>
      <c r="G131" s="1404"/>
    </row>
    <row r="132" spans="1:7" ht="30" x14ac:dyDescent="0.25">
      <c r="A132" s="1415" t="s">
        <v>2812</v>
      </c>
      <c r="B132" s="1403" t="s">
        <v>484</v>
      </c>
      <c r="C132" s="1449"/>
      <c r="D132" s="1450"/>
      <c r="E132" s="1406"/>
      <c r="F132" s="1407"/>
      <c r="G132" s="1404"/>
    </row>
    <row r="133" spans="1:7" x14ac:dyDescent="0.25">
      <c r="A133" s="1448"/>
      <c r="B133" s="1402" t="s">
        <v>402</v>
      </c>
      <c r="C133" s="1449">
        <v>1</v>
      </c>
      <c r="D133" s="1450" t="s">
        <v>269</v>
      </c>
      <c r="E133" s="1406">
        <v>300000</v>
      </c>
      <c r="F133" s="1407">
        <f>E133*C133</f>
        <v>300000</v>
      </c>
      <c r="G133" s="1404"/>
    </row>
    <row r="134" spans="1:7" x14ac:dyDescent="0.25">
      <c r="A134" s="1448"/>
      <c r="B134" s="1402" t="s">
        <v>502</v>
      </c>
      <c r="C134" s="1449">
        <v>1</v>
      </c>
      <c r="D134" s="1450" t="s">
        <v>269</v>
      </c>
      <c r="E134" s="1406">
        <v>250000</v>
      </c>
      <c r="F134" s="1407">
        <f>E134*C134</f>
        <v>250000</v>
      </c>
      <c r="G134" s="1404"/>
    </row>
    <row r="135" spans="1:7" x14ac:dyDescent="0.25">
      <c r="A135" s="1448"/>
      <c r="B135" s="1402" t="s">
        <v>485</v>
      </c>
      <c r="C135" s="1449">
        <v>3</v>
      </c>
      <c r="D135" s="1450" t="s">
        <v>269</v>
      </c>
      <c r="E135" s="1406">
        <v>200000</v>
      </c>
      <c r="F135" s="1407">
        <f>E135*C135</f>
        <v>600000</v>
      </c>
      <c r="G135" s="1404"/>
    </row>
    <row r="136" spans="1:7" x14ac:dyDescent="0.25">
      <c r="A136" s="1448"/>
      <c r="B136" s="1402"/>
      <c r="C136" s="1449"/>
      <c r="D136" s="1450"/>
      <c r="E136" s="1406"/>
      <c r="F136" s="1407"/>
      <c r="G136" s="1404"/>
    </row>
    <row r="137" spans="1:7" ht="45" x14ac:dyDescent="0.25">
      <c r="A137" s="1402" t="s">
        <v>2813</v>
      </c>
      <c r="B137" s="1403" t="s">
        <v>411</v>
      </c>
      <c r="C137" s="1449"/>
      <c r="D137" s="1450"/>
      <c r="E137" s="1406"/>
      <c r="F137" s="1407"/>
      <c r="G137" s="1404"/>
    </row>
    <row r="138" spans="1:7" ht="30" x14ac:dyDescent="0.25">
      <c r="A138" s="1448"/>
      <c r="B138" s="1403" t="s">
        <v>2814</v>
      </c>
      <c r="C138" s="1449">
        <v>1</v>
      </c>
      <c r="D138" s="1450" t="s">
        <v>392</v>
      </c>
      <c r="E138" s="1406">
        <v>900000</v>
      </c>
      <c r="F138" s="1407">
        <f>E138*C138</f>
        <v>900000</v>
      </c>
      <c r="G138" s="1404"/>
    </row>
    <row r="139" spans="1:7" x14ac:dyDescent="0.25">
      <c r="A139" s="1448"/>
      <c r="B139" s="1402"/>
      <c r="C139" s="1449"/>
      <c r="D139" s="1450"/>
      <c r="E139" s="1451"/>
      <c r="F139" s="1407"/>
      <c r="G139" s="1404"/>
    </row>
    <row r="140" spans="1:7" ht="30" x14ac:dyDescent="0.25">
      <c r="A140" s="1415" t="s">
        <v>2815</v>
      </c>
      <c r="B140" s="1403" t="s">
        <v>486</v>
      </c>
      <c r="C140" s="1449"/>
      <c r="D140" s="1450"/>
      <c r="E140" s="1451"/>
      <c r="F140" s="1407"/>
      <c r="G140" s="1404"/>
    </row>
    <row r="141" spans="1:7" ht="45" x14ac:dyDescent="0.25">
      <c r="A141" s="1402" t="s">
        <v>2816</v>
      </c>
      <c r="B141" s="1403" t="s">
        <v>487</v>
      </c>
      <c r="C141" s="1449"/>
      <c r="D141" s="1450"/>
      <c r="E141" s="1451"/>
      <c r="F141" s="1407"/>
      <c r="G141" s="1404"/>
    </row>
    <row r="142" spans="1:7" x14ac:dyDescent="0.25">
      <c r="A142" s="1448"/>
      <c r="B142" s="1452" t="s">
        <v>2817</v>
      </c>
      <c r="C142" s="1449">
        <v>21</v>
      </c>
      <c r="D142" s="1450" t="s">
        <v>89</v>
      </c>
      <c r="E142" s="1451">
        <v>980000</v>
      </c>
      <c r="F142" s="1407">
        <f>E142*C142</f>
        <v>20580000</v>
      </c>
      <c r="G142" s="1404"/>
    </row>
    <row r="143" spans="1:7" x14ac:dyDescent="0.25">
      <c r="A143" s="1448"/>
      <c r="B143" s="1402" t="s">
        <v>2818</v>
      </c>
      <c r="C143" s="1449">
        <v>21</v>
      </c>
      <c r="D143" s="1450" t="s">
        <v>110</v>
      </c>
      <c r="E143" s="1451">
        <v>2329000</v>
      </c>
      <c r="F143" s="1407">
        <f>E143*C143</f>
        <v>48909000</v>
      </c>
      <c r="G143" s="1404"/>
    </row>
    <row r="144" spans="1:7" x14ac:dyDescent="0.25">
      <c r="A144" s="1448"/>
      <c r="B144" s="1466" t="s">
        <v>2819</v>
      </c>
      <c r="C144" s="1467">
        <v>1680</v>
      </c>
      <c r="D144" s="1468" t="s">
        <v>1274</v>
      </c>
      <c r="E144" s="1469">
        <v>6000</v>
      </c>
      <c r="F144" s="1470">
        <f>E144*C144</f>
        <v>10080000</v>
      </c>
      <c r="G144" s="1404"/>
    </row>
    <row r="145" spans="1:20" ht="30" x14ac:dyDescent="0.25">
      <c r="A145" s="1448"/>
      <c r="B145" s="1466" t="s">
        <v>2820</v>
      </c>
      <c r="C145" s="1467">
        <v>21</v>
      </c>
      <c r="D145" s="1468" t="s">
        <v>93</v>
      </c>
      <c r="E145" s="1469">
        <v>502250</v>
      </c>
      <c r="F145" s="1470">
        <f>E145*C145</f>
        <v>10547250</v>
      </c>
      <c r="G145" s="1404"/>
    </row>
    <row r="146" spans="1:20" x14ac:dyDescent="0.25">
      <c r="A146" s="1448"/>
      <c r="B146" s="1471"/>
      <c r="C146" s="1472"/>
      <c r="D146" s="1473"/>
      <c r="E146" s="1474"/>
      <c r="F146" s="1470"/>
      <c r="G146" s="1475"/>
    </row>
    <row r="147" spans="1:20" x14ac:dyDescent="0.25">
      <c r="A147" s="1453"/>
      <c r="B147" s="2184" t="s">
        <v>26</v>
      </c>
      <c r="C147" s="2184"/>
      <c r="D147" s="2184"/>
      <c r="E147" s="2184"/>
      <c r="F147" s="1454"/>
      <c r="G147" s="1455"/>
      <c r="J147" s="23"/>
      <c r="T147" s="23">
        <f>F147</f>
        <v>0</v>
      </c>
    </row>
    <row r="148" spans="1:20" x14ac:dyDescent="0.25">
      <c r="A148" s="1969" t="s">
        <v>516</v>
      </c>
      <c r="B148" s="1969"/>
      <c r="C148" s="1259" t="s">
        <v>27</v>
      </c>
      <c r="D148" s="1970" t="s">
        <v>1224</v>
      </c>
      <c r="E148" s="1970"/>
      <c r="F148" s="1970"/>
      <c r="G148" s="1259"/>
    </row>
    <row r="149" spans="1:20" x14ac:dyDescent="0.25">
      <c r="A149" s="1969" t="s">
        <v>28</v>
      </c>
      <c r="B149" s="1969"/>
      <c r="C149" s="1259"/>
      <c r="D149" s="1971" t="s">
        <v>2443</v>
      </c>
      <c r="E149" s="1971"/>
      <c r="F149" s="1971"/>
      <c r="G149" s="1259"/>
    </row>
    <row r="150" spans="1:20" x14ac:dyDescent="0.25">
      <c r="A150" s="1261"/>
      <c r="B150" s="1262"/>
      <c r="C150" s="1259"/>
      <c r="D150" s="1260"/>
      <c r="E150" s="948"/>
      <c r="F150" s="993"/>
      <c r="G150" s="1259"/>
    </row>
    <row r="151" spans="1:20" x14ac:dyDescent="0.25">
      <c r="A151" s="1261"/>
      <c r="B151" s="1262"/>
      <c r="C151" s="1259"/>
      <c r="D151" s="1260"/>
      <c r="E151" s="948"/>
      <c r="F151" s="948"/>
      <c r="G151" s="1259"/>
    </row>
    <row r="152" spans="1:20" x14ac:dyDescent="0.25">
      <c r="A152" s="1969"/>
      <c r="B152" s="1969"/>
      <c r="C152" s="1259"/>
      <c r="D152" s="1260"/>
      <c r="E152" s="1969"/>
      <c r="F152" s="1969"/>
      <c r="G152" s="1259"/>
      <c r="K152" s="68"/>
    </row>
    <row r="153" spans="1:20" x14ac:dyDescent="0.25">
      <c r="A153" s="1969" t="s">
        <v>29</v>
      </c>
      <c r="B153" s="1969"/>
      <c r="C153" s="1259"/>
      <c r="D153" s="1969" t="s">
        <v>517</v>
      </c>
      <c r="E153" s="1969"/>
      <c r="F153" s="1969"/>
      <c r="G153" s="1259"/>
    </row>
    <row r="154" spans="1:20" x14ac:dyDescent="0.25">
      <c r="A154" s="2181" t="s">
        <v>0</v>
      </c>
      <c r="B154" s="2181"/>
      <c r="C154" s="2181"/>
      <c r="D154" s="2181"/>
      <c r="E154" s="2181"/>
      <c r="F154" s="2181"/>
      <c r="G154" s="2181"/>
      <c r="K154" s="68"/>
    </row>
    <row r="155" spans="1:20" x14ac:dyDescent="0.25">
      <c r="A155" s="2181" t="s">
        <v>1</v>
      </c>
      <c r="B155" s="2181"/>
      <c r="C155" s="2181"/>
      <c r="D155" s="2181"/>
      <c r="E155" s="2181"/>
      <c r="F155" s="2181"/>
      <c r="G155" s="2181"/>
    </row>
    <row r="156" spans="1:20" x14ac:dyDescent="0.25">
      <c r="A156" s="2181" t="s">
        <v>2398</v>
      </c>
      <c r="B156" s="2181"/>
      <c r="C156" s="2181"/>
      <c r="D156" s="2181"/>
      <c r="E156" s="2181"/>
      <c r="F156" s="2181"/>
      <c r="G156" s="2181"/>
    </row>
    <row r="157" spans="1:20" x14ac:dyDescent="0.25">
      <c r="A157" s="1330"/>
      <c r="B157" s="1330"/>
      <c r="C157" s="1380"/>
      <c r="D157" s="1380"/>
      <c r="E157" s="1381"/>
      <c r="F157" s="1330"/>
      <c r="G157" s="1269"/>
    </row>
    <row r="158" spans="1:20" x14ac:dyDescent="0.25">
      <c r="A158" s="1376" t="s">
        <v>491</v>
      </c>
      <c r="B158" s="1376" t="s">
        <v>412</v>
      </c>
      <c r="C158" s="1376"/>
      <c r="D158" s="1376"/>
      <c r="E158" s="1435"/>
      <c r="F158" s="1376"/>
      <c r="G158" s="1269"/>
    </row>
    <row r="159" spans="1:20" x14ac:dyDescent="0.25">
      <c r="A159" s="1376" t="s">
        <v>492</v>
      </c>
      <c r="B159" s="1376" t="s">
        <v>1646</v>
      </c>
      <c r="C159" s="1376"/>
      <c r="D159" s="1376"/>
      <c r="E159" s="1269"/>
      <c r="F159" s="1269"/>
      <c r="G159" s="1269"/>
    </row>
    <row r="160" spans="1:20" ht="45" x14ac:dyDescent="0.25">
      <c r="A160" s="1437" t="s">
        <v>493</v>
      </c>
      <c r="B160" s="1436" t="s">
        <v>2844</v>
      </c>
      <c r="C160" s="1376"/>
      <c r="D160" s="1376"/>
      <c r="E160" s="1269"/>
      <c r="F160" s="1269"/>
      <c r="G160" s="1269"/>
    </row>
    <row r="161" spans="1:7" ht="30" x14ac:dyDescent="0.25">
      <c r="A161" s="1438" t="s">
        <v>469</v>
      </c>
      <c r="B161" s="1439" t="s">
        <v>60</v>
      </c>
      <c r="C161" s="1330"/>
      <c r="D161" s="1330"/>
      <c r="E161" s="1330"/>
      <c r="F161" s="1330"/>
      <c r="G161" s="1269"/>
    </row>
    <row r="162" spans="1:7" x14ac:dyDescent="0.25">
      <c r="A162" s="2088" t="s">
        <v>470</v>
      </c>
      <c r="B162" s="2088"/>
      <c r="C162" s="1380"/>
      <c r="D162" s="1380"/>
      <c r="E162" s="1381"/>
      <c r="F162" s="1330"/>
      <c r="G162" s="1382"/>
    </row>
    <row r="163" spans="1:7" ht="30" x14ac:dyDescent="0.25">
      <c r="A163" s="1440" t="s">
        <v>30</v>
      </c>
      <c r="B163" s="1440" t="s">
        <v>11</v>
      </c>
      <c r="C163" s="2182" t="s">
        <v>12</v>
      </c>
      <c r="D163" s="2183"/>
      <c r="E163" s="1442" t="s">
        <v>13</v>
      </c>
      <c r="F163" s="1441" t="s">
        <v>14</v>
      </c>
      <c r="G163" s="1443" t="s">
        <v>34</v>
      </c>
    </row>
    <row r="164" spans="1:7" x14ac:dyDescent="0.25">
      <c r="A164" s="1336">
        <v>1</v>
      </c>
      <c r="B164" s="1336">
        <v>2</v>
      </c>
      <c r="C164" s="2090">
        <v>3</v>
      </c>
      <c r="D164" s="2091"/>
      <c r="E164" s="1338">
        <v>4</v>
      </c>
      <c r="F164" s="1337">
        <v>5</v>
      </c>
      <c r="G164" s="1444">
        <v>6</v>
      </c>
    </row>
    <row r="165" spans="1:7" x14ac:dyDescent="0.25">
      <c r="A165" s="1415" t="s">
        <v>2805</v>
      </c>
      <c r="B165" s="1403" t="s">
        <v>462</v>
      </c>
      <c r="C165" s="1445"/>
      <c r="D165" s="1446"/>
      <c r="E165" s="1447"/>
      <c r="F165" s="1445"/>
      <c r="G165" s="1448"/>
    </row>
    <row r="166" spans="1:7" x14ac:dyDescent="0.25">
      <c r="A166" s="1415" t="s">
        <v>2806</v>
      </c>
      <c r="B166" s="1403" t="s">
        <v>84</v>
      </c>
      <c r="C166" s="1445"/>
      <c r="D166" s="1446"/>
      <c r="E166" s="1447"/>
      <c r="F166" s="1445"/>
      <c r="G166" s="1448"/>
    </row>
    <row r="167" spans="1:7" ht="30" x14ac:dyDescent="0.25">
      <c r="A167" s="1415" t="s">
        <v>2807</v>
      </c>
      <c r="B167" s="1403" t="s">
        <v>307</v>
      </c>
      <c r="C167" s="1449"/>
      <c r="D167" s="1450"/>
      <c r="E167" s="1451"/>
      <c r="F167" s="1407"/>
      <c r="G167" s="1404"/>
    </row>
    <row r="168" spans="1:7" x14ac:dyDescent="0.25">
      <c r="A168" s="1448"/>
      <c r="B168" s="1402" t="s">
        <v>2845</v>
      </c>
      <c r="C168" s="1449">
        <v>15</v>
      </c>
      <c r="D168" s="1450" t="s">
        <v>474</v>
      </c>
      <c r="E168" s="1451">
        <v>20000</v>
      </c>
      <c r="F168" s="1407">
        <f>E168*C168</f>
        <v>300000</v>
      </c>
      <c r="G168" s="1404"/>
    </row>
    <row r="169" spans="1:7" x14ac:dyDescent="0.25">
      <c r="A169" s="1448"/>
      <c r="B169" s="1402"/>
      <c r="C169" s="1449"/>
      <c r="D169" s="1450"/>
      <c r="E169" s="1451"/>
      <c r="F169" s="1407"/>
      <c r="G169" s="1404"/>
    </row>
    <row r="170" spans="1:7" ht="30" x14ac:dyDescent="0.25">
      <c r="A170" s="1415" t="s">
        <v>2809</v>
      </c>
      <c r="B170" s="1403" t="s">
        <v>325</v>
      </c>
      <c r="C170" s="1449"/>
      <c r="D170" s="1450"/>
      <c r="E170" s="1451"/>
      <c r="F170" s="1407"/>
      <c r="G170" s="1404"/>
    </row>
    <row r="171" spans="1:7" x14ac:dyDescent="0.25">
      <c r="A171" s="1448"/>
      <c r="B171" s="1402" t="s">
        <v>326</v>
      </c>
      <c r="C171" s="1449">
        <v>1</v>
      </c>
      <c r="D171" s="1450" t="s">
        <v>93</v>
      </c>
      <c r="E171" s="1451">
        <v>90000</v>
      </c>
      <c r="F171" s="1407">
        <f>E171*C171</f>
        <v>90000</v>
      </c>
      <c r="G171" s="1404"/>
    </row>
    <row r="172" spans="1:7" x14ac:dyDescent="0.25">
      <c r="A172" s="1448"/>
      <c r="B172" s="1402"/>
      <c r="C172" s="1449"/>
      <c r="D172" s="1450"/>
      <c r="E172" s="1451"/>
      <c r="F172" s="1407"/>
      <c r="G172" s="1404"/>
    </row>
    <row r="173" spans="1:7" ht="30" x14ac:dyDescent="0.25">
      <c r="A173" s="1402" t="s">
        <v>2810</v>
      </c>
      <c r="B173" s="1403" t="s">
        <v>421</v>
      </c>
      <c r="C173" s="1449"/>
      <c r="D173" s="1450"/>
      <c r="E173" s="1451"/>
      <c r="F173" s="1465"/>
      <c r="G173" s="1404"/>
    </row>
    <row r="174" spans="1:7" x14ac:dyDescent="0.25">
      <c r="A174" s="1402"/>
      <c r="B174" s="1402" t="s">
        <v>422</v>
      </c>
      <c r="C174" s="1449">
        <v>1</v>
      </c>
      <c r="D174" s="1450" t="s">
        <v>93</v>
      </c>
      <c r="E174" s="1451">
        <v>50000</v>
      </c>
      <c r="F174" s="1465">
        <f>E174*C174</f>
        <v>50000</v>
      </c>
      <c r="G174" s="1404"/>
    </row>
    <row r="175" spans="1:7" x14ac:dyDescent="0.25">
      <c r="A175" s="1402"/>
      <c r="B175" s="1402" t="s">
        <v>275</v>
      </c>
      <c r="C175" s="1449">
        <v>5</v>
      </c>
      <c r="D175" s="1450" t="s">
        <v>606</v>
      </c>
      <c r="E175" s="1451">
        <v>3000</v>
      </c>
      <c r="F175" s="1465">
        <f>E175*C175</f>
        <v>15000</v>
      </c>
      <c r="G175" s="1404"/>
    </row>
    <row r="176" spans="1:7" x14ac:dyDescent="0.25">
      <c r="A176" s="1402"/>
      <c r="B176" s="1402" t="s">
        <v>289</v>
      </c>
      <c r="C176" s="1449">
        <v>1</v>
      </c>
      <c r="D176" s="1450" t="s">
        <v>152</v>
      </c>
      <c r="E176" s="1451">
        <v>10000</v>
      </c>
      <c r="F176" s="1465">
        <f>E176*C176</f>
        <v>10000</v>
      </c>
      <c r="G176" s="1404"/>
    </row>
    <row r="177" spans="1:7" x14ac:dyDescent="0.25">
      <c r="A177" s="1402"/>
      <c r="B177" s="1402"/>
      <c r="C177" s="1449"/>
      <c r="D177" s="1450"/>
      <c r="E177" s="1451"/>
      <c r="F177" s="1465"/>
      <c r="G177" s="1404"/>
    </row>
    <row r="178" spans="1:7" x14ac:dyDescent="0.25">
      <c r="A178" s="1415" t="s">
        <v>2811</v>
      </c>
      <c r="B178" s="1402" t="s">
        <v>294</v>
      </c>
      <c r="C178" s="1449"/>
      <c r="D178" s="1450"/>
      <c r="E178" s="1406"/>
      <c r="F178" s="1407"/>
      <c r="G178" s="1404"/>
    </row>
    <row r="179" spans="1:7" ht="30" x14ac:dyDescent="0.25">
      <c r="A179" s="1415" t="s">
        <v>2812</v>
      </c>
      <c r="B179" s="1403" t="s">
        <v>484</v>
      </c>
      <c r="C179" s="1449"/>
      <c r="D179" s="1450"/>
      <c r="E179" s="1406"/>
      <c r="F179" s="1407"/>
      <c r="G179" s="1404"/>
    </row>
    <row r="180" spans="1:7" x14ac:dyDescent="0.25">
      <c r="A180" s="1448"/>
      <c r="B180" s="1402" t="s">
        <v>402</v>
      </c>
      <c r="C180" s="1449">
        <v>1</v>
      </c>
      <c r="D180" s="1450" t="s">
        <v>269</v>
      </c>
      <c r="E180" s="1406">
        <v>300000</v>
      </c>
      <c r="F180" s="1407">
        <f>E180*C180</f>
        <v>300000</v>
      </c>
      <c r="G180" s="1404"/>
    </row>
    <row r="181" spans="1:7" x14ac:dyDescent="0.25">
      <c r="A181" s="1448"/>
      <c r="B181" s="1402" t="s">
        <v>502</v>
      </c>
      <c r="C181" s="1449">
        <v>1</v>
      </c>
      <c r="D181" s="1450" t="s">
        <v>269</v>
      </c>
      <c r="E181" s="1406">
        <v>250000</v>
      </c>
      <c r="F181" s="1407">
        <f>E181*C181</f>
        <v>250000</v>
      </c>
      <c r="G181" s="1404"/>
    </row>
    <row r="182" spans="1:7" x14ac:dyDescent="0.25">
      <c r="A182" s="1448"/>
      <c r="B182" s="1402" t="s">
        <v>485</v>
      </c>
      <c r="C182" s="1449">
        <v>3</v>
      </c>
      <c r="D182" s="1450" t="s">
        <v>269</v>
      </c>
      <c r="E182" s="1406">
        <v>200000</v>
      </c>
      <c r="F182" s="1407">
        <f>E182*C182</f>
        <v>600000</v>
      </c>
      <c r="G182" s="1404"/>
    </row>
    <row r="183" spans="1:7" x14ac:dyDescent="0.25">
      <c r="A183" s="1448"/>
      <c r="B183" s="1402"/>
      <c r="C183" s="1449"/>
      <c r="D183" s="1450"/>
      <c r="E183" s="1406"/>
      <c r="F183" s="1407"/>
      <c r="G183" s="1404"/>
    </row>
    <row r="184" spans="1:7" ht="45" x14ac:dyDescent="0.25">
      <c r="A184" s="1402" t="s">
        <v>2813</v>
      </c>
      <c r="B184" s="1403" t="s">
        <v>411</v>
      </c>
      <c r="C184" s="1449"/>
      <c r="D184" s="1450"/>
      <c r="E184" s="1406"/>
      <c r="F184" s="1407"/>
      <c r="G184" s="1404"/>
    </row>
    <row r="185" spans="1:7" ht="30" x14ac:dyDescent="0.25">
      <c r="A185" s="1448"/>
      <c r="B185" s="1403" t="s">
        <v>2445</v>
      </c>
      <c r="C185" s="1449">
        <v>2</v>
      </c>
      <c r="D185" s="1450" t="s">
        <v>392</v>
      </c>
      <c r="E185" s="1406">
        <v>900000</v>
      </c>
      <c r="F185" s="1407">
        <f>E185*C185</f>
        <v>1800000</v>
      </c>
      <c r="G185" s="1404"/>
    </row>
    <row r="186" spans="1:7" x14ac:dyDescent="0.25">
      <c r="A186" s="1448"/>
      <c r="B186" s="1402"/>
      <c r="C186" s="1449"/>
      <c r="D186" s="1450"/>
      <c r="E186" s="1451"/>
      <c r="F186" s="1407"/>
      <c r="G186" s="1404"/>
    </row>
    <row r="187" spans="1:7" ht="30" x14ac:dyDescent="0.25">
      <c r="A187" s="1415" t="s">
        <v>2815</v>
      </c>
      <c r="B187" s="1403" t="s">
        <v>486</v>
      </c>
      <c r="C187" s="1449"/>
      <c r="D187" s="1450"/>
      <c r="E187" s="1451"/>
      <c r="F187" s="1407"/>
      <c r="G187" s="1404"/>
    </row>
    <row r="188" spans="1:7" ht="45" x14ac:dyDescent="0.25">
      <c r="A188" s="1402" t="s">
        <v>2816</v>
      </c>
      <c r="B188" s="1403" t="s">
        <v>487</v>
      </c>
      <c r="C188" s="1449"/>
      <c r="D188" s="1450"/>
      <c r="E188" s="1451"/>
      <c r="F188" s="1407"/>
      <c r="G188" s="1404"/>
    </row>
    <row r="189" spans="1:7" x14ac:dyDescent="0.25">
      <c r="A189" s="1448"/>
      <c r="B189" s="1452" t="s">
        <v>1641</v>
      </c>
      <c r="C189" s="1449">
        <v>100</v>
      </c>
      <c r="D189" s="1450" t="s">
        <v>2846</v>
      </c>
      <c r="E189" s="1451">
        <v>150000</v>
      </c>
      <c r="F189" s="1407">
        <f>E189*C189</f>
        <v>15000000</v>
      </c>
      <c r="G189" s="1404"/>
    </row>
    <row r="190" spans="1:7" x14ac:dyDescent="0.25">
      <c r="A190" s="1448"/>
      <c r="B190" s="1452" t="s">
        <v>2511</v>
      </c>
      <c r="C190" s="1449">
        <v>50</v>
      </c>
      <c r="D190" s="1450" t="s">
        <v>1274</v>
      </c>
      <c r="E190" s="1451">
        <v>27000</v>
      </c>
      <c r="F190" s="1407">
        <f t="shared" ref="F190:F203" si="3">E190*C190</f>
        <v>1350000</v>
      </c>
      <c r="G190" s="1404"/>
    </row>
    <row r="191" spans="1:7" x14ac:dyDescent="0.25">
      <c r="A191" s="1448"/>
      <c r="B191" s="1452" t="s">
        <v>2847</v>
      </c>
      <c r="C191" s="1449">
        <v>200</v>
      </c>
      <c r="D191" s="1450" t="s">
        <v>1274</v>
      </c>
      <c r="E191" s="1451">
        <v>6740</v>
      </c>
      <c r="F191" s="1407">
        <f t="shared" si="3"/>
        <v>1348000</v>
      </c>
      <c r="G191" s="1404"/>
    </row>
    <row r="192" spans="1:7" x14ac:dyDescent="0.25">
      <c r="A192" s="1448"/>
      <c r="B192" s="1452" t="s">
        <v>2848</v>
      </c>
      <c r="C192" s="1449">
        <v>100</v>
      </c>
      <c r="D192" s="1450" t="s">
        <v>152</v>
      </c>
      <c r="E192" s="1451">
        <v>13000</v>
      </c>
      <c r="F192" s="1407">
        <f t="shared" si="3"/>
        <v>1300000</v>
      </c>
      <c r="G192" s="1404"/>
    </row>
    <row r="193" spans="1:7" x14ac:dyDescent="0.25">
      <c r="A193" s="1448"/>
      <c r="B193" s="1452" t="s">
        <v>2849</v>
      </c>
      <c r="C193" s="1449">
        <v>50</v>
      </c>
      <c r="D193" s="1450" t="s">
        <v>1274</v>
      </c>
      <c r="E193" s="1451">
        <v>18500</v>
      </c>
      <c r="F193" s="1407">
        <f t="shared" si="3"/>
        <v>925000</v>
      </c>
      <c r="G193" s="1404"/>
    </row>
    <row r="194" spans="1:7" x14ac:dyDescent="0.25">
      <c r="A194" s="1448"/>
      <c r="B194" s="1452" t="s">
        <v>2850</v>
      </c>
      <c r="C194" s="1449">
        <v>50</v>
      </c>
      <c r="D194" s="1450" t="s">
        <v>1274</v>
      </c>
      <c r="E194" s="1451">
        <v>55000</v>
      </c>
      <c r="F194" s="1407">
        <f t="shared" si="3"/>
        <v>2750000</v>
      </c>
      <c r="G194" s="1404"/>
    </row>
    <row r="195" spans="1:7" x14ac:dyDescent="0.25">
      <c r="A195" s="1448"/>
      <c r="B195" s="1452" t="s">
        <v>2851</v>
      </c>
      <c r="C195" s="1449">
        <v>50</v>
      </c>
      <c r="D195" s="1450" t="s">
        <v>1274</v>
      </c>
      <c r="E195" s="1451">
        <v>23900</v>
      </c>
      <c r="F195" s="1407">
        <f t="shared" si="3"/>
        <v>1195000</v>
      </c>
      <c r="G195" s="1404"/>
    </row>
    <row r="196" spans="1:7" x14ac:dyDescent="0.25">
      <c r="A196" s="1448"/>
      <c r="B196" s="1452" t="s">
        <v>2852</v>
      </c>
      <c r="C196" s="1449">
        <v>10</v>
      </c>
      <c r="D196" s="1450" t="s">
        <v>1424</v>
      </c>
      <c r="E196" s="1451">
        <v>82000</v>
      </c>
      <c r="F196" s="1407">
        <f t="shared" si="3"/>
        <v>820000</v>
      </c>
      <c r="G196" s="1404"/>
    </row>
    <row r="197" spans="1:7" x14ac:dyDescent="0.25">
      <c r="A197" s="1448"/>
      <c r="B197" s="1452" t="s">
        <v>2853</v>
      </c>
      <c r="C197" s="1449">
        <v>50</v>
      </c>
      <c r="D197" s="1450" t="s">
        <v>1424</v>
      </c>
      <c r="E197" s="1451">
        <v>4000</v>
      </c>
      <c r="F197" s="1407">
        <f t="shared" si="3"/>
        <v>200000</v>
      </c>
      <c r="G197" s="1404"/>
    </row>
    <row r="198" spans="1:7" x14ac:dyDescent="0.25">
      <c r="A198" s="1448"/>
      <c r="B198" s="1452" t="s">
        <v>2854</v>
      </c>
      <c r="C198" s="1449">
        <v>100</v>
      </c>
      <c r="D198" s="1450" t="s">
        <v>1424</v>
      </c>
      <c r="E198" s="1451">
        <v>160000</v>
      </c>
      <c r="F198" s="1407">
        <f t="shared" si="3"/>
        <v>16000000</v>
      </c>
      <c r="G198" s="1404"/>
    </row>
    <row r="199" spans="1:7" x14ac:dyDescent="0.25">
      <c r="A199" s="1448"/>
      <c r="B199" s="1452" t="s">
        <v>1431</v>
      </c>
      <c r="C199" s="1449">
        <v>10</v>
      </c>
      <c r="D199" s="1450" t="s">
        <v>124</v>
      </c>
      <c r="E199" s="1451">
        <v>30000</v>
      </c>
      <c r="F199" s="1407">
        <f t="shared" si="3"/>
        <v>300000</v>
      </c>
      <c r="G199" s="1404"/>
    </row>
    <row r="200" spans="1:7" x14ac:dyDescent="0.25">
      <c r="A200" s="1448"/>
      <c r="B200" s="1452" t="s">
        <v>2855</v>
      </c>
      <c r="C200" s="1449">
        <v>50</v>
      </c>
      <c r="D200" s="1450" t="s">
        <v>904</v>
      </c>
      <c r="E200" s="1451">
        <v>22000</v>
      </c>
      <c r="F200" s="1407">
        <f t="shared" si="3"/>
        <v>1100000</v>
      </c>
      <c r="G200" s="1404"/>
    </row>
    <row r="201" spans="1:7" x14ac:dyDescent="0.25">
      <c r="A201" s="1448"/>
      <c r="B201" s="1452" t="s">
        <v>2856</v>
      </c>
      <c r="C201" s="1449">
        <v>1</v>
      </c>
      <c r="D201" s="1450" t="s">
        <v>110</v>
      </c>
      <c r="E201" s="1451">
        <v>735000</v>
      </c>
      <c r="F201" s="1407">
        <f t="shared" si="3"/>
        <v>735000</v>
      </c>
      <c r="G201" s="1404"/>
    </row>
    <row r="202" spans="1:7" x14ac:dyDescent="0.25">
      <c r="A202" s="1448"/>
      <c r="B202" s="1452" t="s">
        <v>2857</v>
      </c>
      <c r="C202" s="1449">
        <v>2</v>
      </c>
      <c r="D202" s="1450" t="s">
        <v>110</v>
      </c>
      <c r="E202" s="1451">
        <v>69000</v>
      </c>
      <c r="F202" s="1407">
        <f t="shared" si="3"/>
        <v>138000</v>
      </c>
      <c r="G202" s="1404"/>
    </row>
    <row r="203" spans="1:7" x14ac:dyDescent="0.25">
      <c r="A203" s="1448"/>
      <c r="B203" s="1452" t="s">
        <v>2858</v>
      </c>
      <c r="C203" s="1449">
        <v>10</v>
      </c>
      <c r="D203" s="1450" t="s">
        <v>1424</v>
      </c>
      <c r="E203" s="1451">
        <v>281000</v>
      </c>
      <c r="F203" s="1407">
        <f t="shared" si="3"/>
        <v>2810000</v>
      </c>
      <c r="G203" s="1404"/>
    </row>
    <row r="204" spans="1:7" x14ac:dyDescent="0.25">
      <c r="A204" s="1453"/>
      <c r="B204" s="2184" t="s">
        <v>26</v>
      </c>
      <c r="C204" s="2184"/>
      <c r="D204" s="2184"/>
      <c r="E204" s="2184"/>
      <c r="F204" s="1454">
        <f>SUM(F167:F203)</f>
        <v>49386000</v>
      </c>
      <c r="G204" s="1455"/>
    </row>
    <row r="205" spans="1:7" x14ac:dyDescent="0.25">
      <c r="A205" s="1969" t="s">
        <v>516</v>
      </c>
      <c r="B205" s="1969"/>
      <c r="C205" s="1259" t="s">
        <v>27</v>
      </c>
      <c r="D205" s="1970" t="s">
        <v>1224</v>
      </c>
      <c r="E205" s="1970"/>
      <c r="F205" s="1970"/>
      <c r="G205" s="1259"/>
    </row>
    <row r="206" spans="1:7" x14ac:dyDescent="0.25">
      <c r="A206" s="1969" t="s">
        <v>28</v>
      </c>
      <c r="B206" s="1969"/>
      <c r="C206" s="1259"/>
      <c r="D206" s="1971" t="s">
        <v>2443</v>
      </c>
      <c r="E206" s="1971"/>
      <c r="F206" s="1971"/>
      <c r="G206" s="1259"/>
    </row>
    <row r="207" spans="1:7" x14ac:dyDescent="0.25">
      <c r="A207" s="1261"/>
      <c r="B207" s="1262"/>
      <c r="C207" s="1259"/>
      <c r="D207" s="1260"/>
      <c r="E207" s="948"/>
      <c r="F207" s="993"/>
      <c r="G207" s="1259"/>
    </row>
    <row r="208" spans="1:7" x14ac:dyDescent="0.25">
      <c r="A208" s="1261"/>
      <c r="B208" s="1262"/>
      <c r="C208" s="1259"/>
      <c r="D208" s="1260"/>
      <c r="E208" s="948"/>
      <c r="F208" s="948"/>
      <c r="G208" s="1259"/>
    </row>
    <row r="209" spans="1:7" x14ac:dyDescent="0.25">
      <c r="A209" s="1969"/>
      <c r="B209" s="1969"/>
      <c r="C209" s="1259"/>
      <c r="D209" s="1260"/>
      <c r="E209" s="1969"/>
      <c r="F209" s="1969"/>
      <c r="G209" s="1259"/>
    </row>
    <row r="210" spans="1:7" x14ac:dyDescent="0.25">
      <c r="A210" s="1969" t="s">
        <v>29</v>
      </c>
      <c r="B210" s="1969"/>
      <c r="C210" s="1259"/>
      <c r="D210" s="1969" t="s">
        <v>517</v>
      </c>
      <c r="E210" s="1969"/>
      <c r="F210" s="1969"/>
      <c r="G210" s="1259"/>
    </row>
    <row r="211" spans="1:7" x14ac:dyDescent="0.25">
      <c r="A211" s="2181" t="s">
        <v>1796</v>
      </c>
      <c r="B211" s="2181"/>
      <c r="C211" s="2181"/>
      <c r="D211" s="2181"/>
      <c r="E211" s="2181"/>
      <c r="F211" s="2181"/>
      <c r="G211" s="2181"/>
    </row>
    <row r="212" spans="1:7" x14ac:dyDescent="0.25">
      <c r="A212" s="2181" t="s">
        <v>1</v>
      </c>
      <c r="B212" s="2181"/>
      <c r="C212" s="2181"/>
      <c r="D212" s="2181"/>
      <c r="E212" s="2181"/>
      <c r="F212" s="2181"/>
      <c r="G212" s="2181"/>
    </row>
    <row r="213" spans="1:7" x14ac:dyDescent="0.25">
      <c r="A213" s="2181" t="s">
        <v>2398</v>
      </c>
      <c r="B213" s="2181"/>
      <c r="C213" s="2181"/>
      <c r="D213" s="2181"/>
      <c r="E213" s="2181"/>
      <c r="F213" s="2181"/>
      <c r="G213" s="2181"/>
    </row>
    <row r="214" spans="1:7" x14ac:dyDescent="0.25">
      <c r="A214" s="1330"/>
      <c r="B214" s="1330"/>
      <c r="C214" s="1380"/>
      <c r="D214" s="1380"/>
      <c r="E214" s="1381"/>
      <c r="F214" s="1330"/>
      <c r="G214" s="1269"/>
    </row>
    <row r="215" spans="1:7" x14ac:dyDescent="0.25">
      <c r="A215" s="1382" t="s">
        <v>458</v>
      </c>
      <c r="B215" s="1382" t="s">
        <v>412</v>
      </c>
      <c r="C215" s="1382"/>
      <c r="D215" s="1382"/>
      <c r="E215" s="1269"/>
      <c r="F215" s="1269"/>
      <c r="G215" s="1381"/>
    </row>
    <row r="216" spans="1:7" x14ac:dyDescent="0.25">
      <c r="A216" s="1383" t="s">
        <v>459</v>
      </c>
      <c r="B216" s="1384" t="s">
        <v>1646</v>
      </c>
      <c r="C216" s="1382"/>
      <c r="D216" s="1382"/>
      <c r="E216" s="1327" t="s">
        <v>6</v>
      </c>
      <c r="F216" s="1327"/>
      <c r="G216" s="1382"/>
    </row>
    <row r="217" spans="1:7" ht="45" x14ac:dyDescent="0.25">
      <c r="A217" s="1383" t="s">
        <v>460</v>
      </c>
      <c r="B217" s="1384" t="s">
        <v>1797</v>
      </c>
      <c r="C217" s="1382"/>
      <c r="D217" s="1382"/>
      <c r="E217" s="1329" t="s">
        <v>9</v>
      </c>
      <c r="F217" s="1385"/>
      <c r="G217" s="1382"/>
    </row>
    <row r="218" spans="1:7" ht="30" x14ac:dyDescent="0.25">
      <c r="A218" s="1384" t="s">
        <v>395</v>
      </c>
      <c r="B218" s="1383" t="s">
        <v>60</v>
      </c>
      <c r="C218" s="1382"/>
      <c r="D218" s="1382"/>
      <c r="E218" s="1382"/>
      <c r="F218" s="1382"/>
      <c r="G218" s="1382"/>
    </row>
    <row r="219" spans="1:7" x14ac:dyDescent="0.25">
      <c r="A219" s="1382" t="s">
        <v>61</v>
      </c>
      <c r="B219" s="1382"/>
      <c r="C219" s="1382"/>
      <c r="D219" s="1386"/>
      <c r="E219" s="1387"/>
      <c r="F219" s="1382"/>
      <c r="G219" s="1382"/>
    </row>
    <row r="220" spans="1:7" x14ac:dyDescent="0.25">
      <c r="A220" s="1269"/>
      <c r="B220" s="1269"/>
      <c r="C220" s="1269"/>
      <c r="D220" s="1269"/>
      <c r="E220" s="1269"/>
      <c r="F220" s="1269"/>
      <c r="G220" s="1269"/>
    </row>
    <row r="221" spans="1:7" ht="30" x14ac:dyDescent="0.25">
      <c r="A221" s="1388" t="s">
        <v>30</v>
      </c>
      <c r="B221" s="1388" t="s">
        <v>11</v>
      </c>
      <c r="C221" s="2193" t="s">
        <v>12</v>
      </c>
      <c r="D221" s="2194"/>
      <c r="E221" s="1390" t="s">
        <v>13</v>
      </c>
      <c r="F221" s="1389" t="s">
        <v>14</v>
      </c>
      <c r="G221" s="1391" t="s">
        <v>341</v>
      </c>
    </row>
    <row r="222" spans="1:7" x14ac:dyDescent="0.25">
      <c r="A222" s="1392">
        <v>1</v>
      </c>
      <c r="B222" s="1392">
        <v>2</v>
      </c>
      <c r="C222" s="2195">
        <v>3</v>
      </c>
      <c r="D222" s="2196"/>
      <c r="E222" s="1395">
        <v>4</v>
      </c>
      <c r="F222" s="1393">
        <v>5</v>
      </c>
      <c r="G222" s="1391">
        <v>6</v>
      </c>
    </row>
    <row r="223" spans="1:7" x14ac:dyDescent="0.25">
      <c r="A223" s="1396"/>
      <c r="B223" s="1397"/>
      <c r="C223" s="1393"/>
      <c r="D223" s="1394"/>
      <c r="E223" s="1398"/>
      <c r="F223" s="1399"/>
      <c r="G223" s="1392"/>
    </row>
    <row r="224" spans="1:7" x14ac:dyDescent="0.25">
      <c r="A224" s="1400" t="s">
        <v>1413</v>
      </c>
      <c r="B224" s="1401" t="s">
        <v>462</v>
      </c>
      <c r="C224" s="1393"/>
      <c r="D224" s="1394"/>
      <c r="E224" s="1395"/>
      <c r="F224" s="1393"/>
      <c r="G224" s="1392"/>
    </row>
    <row r="225" spans="1:12" x14ac:dyDescent="0.25">
      <c r="A225" s="1400" t="s">
        <v>1414</v>
      </c>
      <c r="B225" s="1401" t="s">
        <v>84</v>
      </c>
      <c r="C225" s="1393"/>
      <c r="D225" s="1394"/>
      <c r="E225" s="1395"/>
      <c r="F225" s="1393"/>
      <c r="G225" s="1392"/>
    </row>
    <row r="226" spans="1:12" ht="30" x14ac:dyDescent="0.25">
      <c r="A226" s="1400" t="s">
        <v>1415</v>
      </c>
      <c r="B226" s="1401" t="s">
        <v>307</v>
      </c>
      <c r="C226" s="1392"/>
      <c r="D226" s="1392"/>
      <c r="E226" s="1398"/>
      <c r="F226" s="1399"/>
      <c r="G226" s="1392"/>
      <c r="J226" s="68"/>
      <c r="K226" s="68"/>
    </row>
    <row r="227" spans="1:12" ht="45" x14ac:dyDescent="0.25">
      <c r="A227" s="1396"/>
      <c r="B227" s="1401" t="s">
        <v>1798</v>
      </c>
      <c r="C227" s="1392">
        <v>56</v>
      </c>
      <c r="D227" s="1400" t="s">
        <v>269</v>
      </c>
      <c r="E227" s="1398">
        <v>20000</v>
      </c>
      <c r="F227" s="1399">
        <f>E227*C227</f>
        <v>1120000</v>
      </c>
      <c r="G227" s="1392"/>
      <c r="K227" s="23"/>
      <c r="L227" s="23"/>
    </row>
    <row r="228" spans="1:12" x14ac:dyDescent="0.25">
      <c r="A228" s="1396"/>
      <c r="B228" s="1396"/>
      <c r="C228" s="1392"/>
      <c r="D228" s="1400"/>
      <c r="E228" s="1398"/>
      <c r="F228" s="1399"/>
      <c r="G228" s="1392"/>
    </row>
    <row r="229" spans="1:12" ht="30" x14ac:dyDescent="0.25">
      <c r="A229" s="1400" t="s">
        <v>1416</v>
      </c>
      <c r="B229" s="1401" t="s">
        <v>325</v>
      </c>
      <c r="C229" s="1392"/>
      <c r="D229" s="1400"/>
      <c r="E229" s="1398"/>
      <c r="F229" s="1399"/>
      <c r="G229" s="1392"/>
    </row>
    <row r="230" spans="1:12" x14ac:dyDescent="0.25">
      <c r="A230" s="1396"/>
      <c r="B230" s="1401" t="s">
        <v>326</v>
      </c>
      <c r="C230" s="1392">
        <v>1</v>
      </c>
      <c r="D230" s="1400" t="s">
        <v>93</v>
      </c>
      <c r="E230" s="1398">
        <v>90000</v>
      </c>
      <c r="F230" s="1399">
        <f>E230*C230</f>
        <v>90000</v>
      </c>
      <c r="G230" s="1392"/>
    </row>
    <row r="231" spans="1:12" x14ac:dyDescent="0.25">
      <c r="A231" s="1396"/>
      <c r="B231" s="1401"/>
      <c r="C231" s="1392"/>
      <c r="D231" s="1400"/>
      <c r="E231" s="1398"/>
      <c r="F231" s="1399"/>
      <c r="G231" s="1392"/>
    </row>
    <row r="232" spans="1:12" x14ac:dyDescent="0.25">
      <c r="A232" s="1400" t="s">
        <v>1417</v>
      </c>
      <c r="B232" s="1401" t="s">
        <v>483</v>
      </c>
      <c r="C232" s="1392"/>
      <c r="D232" s="1400"/>
      <c r="E232" s="1398"/>
      <c r="F232" s="1399"/>
      <c r="G232" s="1392"/>
    </row>
    <row r="233" spans="1:12" x14ac:dyDescent="0.25">
      <c r="A233" s="1396"/>
      <c r="B233" s="1401" t="s">
        <v>422</v>
      </c>
      <c r="C233" s="1392">
        <v>1</v>
      </c>
      <c r="D233" s="1400" t="s">
        <v>93</v>
      </c>
      <c r="E233" s="1398">
        <v>50000</v>
      </c>
      <c r="F233" s="1399">
        <f>E233*C233</f>
        <v>50000</v>
      </c>
      <c r="G233" s="1392"/>
    </row>
    <row r="234" spans="1:12" x14ac:dyDescent="0.25">
      <c r="A234" s="1396"/>
      <c r="B234" s="1401" t="s">
        <v>275</v>
      </c>
      <c r="C234" s="1392">
        <v>5</v>
      </c>
      <c r="D234" s="1400" t="s">
        <v>606</v>
      </c>
      <c r="E234" s="1398">
        <v>1000</v>
      </c>
      <c r="F234" s="1399">
        <f>E234*C234</f>
        <v>5000</v>
      </c>
      <c r="G234" s="1392"/>
    </row>
    <row r="235" spans="1:12" x14ac:dyDescent="0.25">
      <c r="A235" s="1396"/>
      <c r="B235" s="1401" t="s">
        <v>289</v>
      </c>
      <c r="C235" s="1392">
        <v>1</v>
      </c>
      <c r="D235" s="1400" t="s">
        <v>152</v>
      </c>
      <c r="E235" s="1398">
        <v>10000</v>
      </c>
      <c r="F235" s="1399">
        <f>E235*C235</f>
        <v>10000</v>
      </c>
      <c r="G235" s="1392"/>
    </row>
    <row r="236" spans="1:12" x14ac:dyDescent="0.25">
      <c r="A236" s="1396"/>
      <c r="B236" s="1401"/>
      <c r="C236" s="1392"/>
      <c r="D236" s="1400"/>
      <c r="E236" s="1398"/>
      <c r="F236" s="1399"/>
      <c r="G236" s="1392"/>
    </row>
    <row r="237" spans="1:12" x14ac:dyDescent="0.25">
      <c r="A237" s="1396"/>
      <c r="B237" s="1402" t="s">
        <v>294</v>
      </c>
      <c r="C237" s="1392"/>
      <c r="D237" s="1400"/>
      <c r="E237" s="1398"/>
      <c r="F237" s="1399"/>
      <c r="G237" s="1392"/>
      <c r="J237" s="68"/>
      <c r="K237" s="23"/>
    </row>
    <row r="238" spans="1:12" ht="30" x14ac:dyDescent="0.25">
      <c r="A238" s="1396"/>
      <c r="B238" s="1403" t="s">
        <v>484</v>
      </c>
      <c r="C238" s="1392"/>
      <c r="D238" s="1400"/>
      <c r="E238" s="1398"/>
      <c r="F238" s="1399"/>
      <c r="G238" s="1392"/>
      <c r="K238" s="23"/>
    </row>
    <row r="239" spans="1:12" x14ac:dyDescent="0.25">
      <c r="A239" s="1396"/>
      <c r="B239" s="1402" t="s">
        <v>402</v>
      </c>
      <c r="C239" s="1404">
        <v>1</v>
      </c>
      <c r="D239" s="1405" t="s">
        <v>269</v>
      </c>
      <c r="E239" s="1406">
        <v>300000</v>
      </c>
      <c r="F239" s="1407">
        <f>E239*C239</f>
        <v>300000</v>
      </c>
      <c r="G239" s="1392"/>
    </row>
    <row r="240" spans="1:12" x14ac:dyDescent="0.25">
      <c r="A240" s="1396"/>
      <c r="B240" s="1402" t="s">
        <v>502</v>
      </c>
      <c r="C240" s="1404">
        <v>1</v>
      </c>
      <c r="D240" s="1405" t="s">
        <v>269</v>
      </c>
      <c r="E240" s="1406">
        <v>250000</v>
      </c>
      <c r="F240" s="1407">
        <f>E240*C240</f>
        <v>250000</v>
      </c>
      <c r="G240" s="1392"/>
    </row>
    <row r="241" spans="1:7" x14ac:dyDescent="0.25">
      <c r="A241" s="1396"/>
      <c r="B241" s="1402" t="s">
        <v>485</v>
      </c>
      <c r="C241" s="1404">
        <v>3</v>
      </c>
      <c r="D241" s="1405" t="s">
        <v>269</v>
      </c>
      <c r="E241" s="1406">
        <v>200000</v>
      </c>
      <c r="F241" s="1407">
        <f>E241*C241</f>
        <v>600000</v>
      </c>
      <c r="G241" s="1392"/>
    </row>
    <row r="242" spans="1:7" x14ac:dyDescent="0.25">
      <c r="A242" s="1396"/>
      <c r="B242" s="1401"/>
      <c r="C242" s="1392"/>
      <c r="D242" s="1400"/>
      <c r="E242" s="1398"/>
      <c r="F242" s="1399"/>
      <c r="G242" s="1392"/>
    </row>
    <row r="243" spans="1:7" ht="30" x14ac:dyDescent="0.25">
      <c r="A243" s="1400" t="s">
        <v>1418</v>
      </c>
      <c r="B243" s="1401" t="s">
        <v>1810</v>
      </c>
      <c r="C243" s="1392">
        <f>2*2</f>
        <v>4</v>
      </c>
      <c r="D243" s="1400" t="s">
        <v>392</v>
      </c>
      <c r="E243" s="1408">
        <v>900000</v>
      </c>
      <c r="F243" s="1399">
        <f>E243*C243</f>
        <v>3600000</v>
      </c>
      <c r="G243" s="1392"/>
    </row>
    <row r="244" spans="1:7" ht="30" x14ac:dyDescent="0.25">
      <c r="A244" s="1400" t="s">
        <v>1419</v>
      </c>
      <c r="B244" s="1401" t="s">
        <v>1420</v>
      </c>
      <c r="C244" s="1392"/>
      <c r="D244" s="1400"/>
      <c r="E244" s="1398"/>
      <c r="F244" s="1399"/>
      <c r="G244" s="1392"/>
    </row>
    <row r="245" spans="1:7" ht="45" x14ac:dyDescent="0.25">
      <c r="A245" s="1400" t="s">
        <v>1421</v>
      </c>
      <c r="B245" s="1401" t="s">
        <v>487</v>
      </c>
      <c r="C245" s="1392"/>
      <c r="D245" s="1400"/>
      <c r="E245" s="1398"/>
      <c r="F245" s="1399"/>
      <c r="G245" s="1392"/>
    </row>
    <row r="246" spans="1:7" x14ac:dyDescent="0.25">
      <c r="A246" s="1400"/>
      <c r="B246" s="1401" t="s">
        <v>2434</v>
      </c>
      <c r="C246" s="1392">
        <v>1</v>
      </c>
      <c r="D246" s="1400" t="s">
        <v>220</v>
      </c>
      <c r="E246" s="1398">
        <v>25000000</v>
      </c>
      <c r="F246" s="1399">
        <f t="shared" ref="F246:F252" si="4">E246*C246</f>
        <v>25000000</v>
      </c>
      <c r="G246" s="1392"/>
    </row>
    <row r="247" spans="1:7" x14ac:dyDescent="0.25">
      <c r="A247" s="1400"/>
      <c r="B247" s="1401" t="s">
        <v>2435</v>
      </c>
      <c r="C247" s="1392">
        <v>5</v>
      </c>
      <c r="D247" s="1400" t="s">
        <v>220</v>
      </c>
      <c r="E247" s="1398">
        <v>1336000</v>
      </c>
      <c r="F247" s="1399">
        <f t="shared" si="4"/>
        <v>6680000</v>
      </c>
      <c r="G247" s="1392"/>
    </row>
    <row r="248" spans="1:7" x14ac:dyDescent="0.25">
      <c r="A248" s="1400"/>
      <c r="B248" s="1401" t="s">
        <v>1807</v>
      </c>
      <c r="C248" s="1392">
        <v>26</v>
      </c>
      <c r="D248" s="1400" t="s">
        <v>124</v>
      </c>
      <c r="E248" s="1398">
        <v>12500</v>
      </c>
      <c r="F248" s="1399">
        <f t="shared" si="4"/>
        <v>325000</v>
      </c>
      <c r="G248" s="1392"/>
    </row>
    <row r="249" spans="1:7" x14ac:dyDescent="0.25">
      <c r="A249" s="1400"/>
      <c r="B249" s="1401" t="s">
        <v>1808</v>
      </c>
      <c r="C249" s="1392">
        <v>13</v>
      </c>
      <c r="D249" s="1400" t="s">
        <v>118</v>
      </c>
      <c r="E249" s="1398">
        <v>70000</v>
      </c>
      <c r="F249" s="1399">
        <f t="shared" si="4"/>
        <v>910000</v>
      </c>
      <c r="G249" s="1392"/>
    </row>
    <row r="250" spans="1:7" x14ac:dyDescent="0.25">
      <c r="A250" s="1400"/>
      <c r="B250" s="1401" t="s">
        <v>2436</v>
      </c>
      <c r="C250" s="1392">
        <v>15</v>
      </c>
      <c r="D250" s="1400" t="s">
        <v>124</v>
      </c>
      <c r="E250" s="1398">
        <v>13000</v>
      </c>
      <c r="F250" s="1399">
        <f t="shared" si="4"/>
        <v>195000</v>
      </c>
      <c r="G250" s="1392"/>
    </row>
    <row r="251" spans="1:7" x14ac:dyDescent="0.25">
      <c r="A251" s="1400"/>
      <c r="B251" s="1401" t="s">
        <v>2437</v>
      </c>
      <c r="C251" s="1392">
        <v>5</v>
      </c>
      <c r="D251" s="1400" t="s">
        <v>124</v>
      </c>
      <c r="E251" s="1398">
        <v>12500</v>
      </c>
      <c r="F251" s="1399">
        <f t="shared" si="4"/>
        <v>62500</v>
      </c>
      <c r="G251" s="1392"/>
    </row>
    <row r="252" spans="1:7" x14ac:dyDescent="0.25">
      <c r="A252" s="1396"/>
      <c r="B252" s="1401" t="s">
        <v>1799</v>
      </c>
      <c r="C252" s="1409">
        <v>13</v>
      </c>
      <c r="D252" s="1400" t="s">
        <v>110</v>
      </c>
      <c r="E252" s="1410">
        <v>2000000</v>
      </c>
      <c r="F252" s="1399">
        <f t="shared" si="4"/>
        <v>26000000</v>
      </c>
      <c r="G252" s="1411"/>
    </row>
    <row r="253" spans="1:7" x14ac:dyDescent="0.25">
      <c r="A253" s="1396"/>
      <c r="B253" s="1401" t="s">
        <v>1800</v>
      </c>
      <c r="C253" s="1412">
        <v>26</v>
      </c>
      <c r="D253" s="1400" t="s">
        <v>1801</v>
      </c>
      <c r="E253" s="1398">
        <v>100000</v>
      </c>
      <c r="F253" s="1399">
        <f t="shared" ref="F253:F257" si="5">E253*C253</f>
        <v>2600000</v>
      </c>
      <c r="G253" s="1412"/>
    </row>
    <row r="254" spans="1:7" x14ac:dyDescent="0.25">
      <c r="A254" s="1413"/>
      <c r="B254" s="1401" t="s">
        <v>1802</v>
      </c>
      <c r="C254" s="1412">
        <v>1300</v>
      </c>
      <c r="D254" s="1400" t="s">
        <v>1274</v>
      </c>
      <c r="E254" s="1398">
        <v>5000</v>
      </c>
      <c r="F254" s="1399">
        <f>E254*C254</f>
        <v>6500000</v>
      </c>
      <c r="G254" s="1412"/>
    </row>
    <row r="255" spans="1:7" x14ac:dyDescent="0.25">
      <c r="A255" s="1413"/>
      <c r="B255" s="1401" t="s">
        <v>1803</v>
      </c>
      <c r="C255" s="1412">
        <v>26</v>
      </c>
      <c r="D255" s="1400" t="s">
        <v>1804</v>
      </c>
      <c r="E255" s="1398">
        <v>100000</v>
      </c>
      <c r="F255" s="1399">
        <f>C255*E255</f>
        <v>2600000</v>
      </c>
      <c r="G255" s="1412"/>
    </row>
    <row r="256" spans="1:7" x14ac:dyDescent="0.25">
      <c r="A256" s="1413"/>
      <c r="B256" s="1401" t="s">
        <v>1805</v>
      </c>
      <c r="C256" s="1412">
        <v>3</v>
      </c>
      <c r="D256" s="1400" t="s">
        <v>110</v>
      </c>
      <c r="E256" s="1398">
        <v>50000000</v>
      </c>
      <c r="F256" s="1399">
        <f t="shared" si="5"/>
        <v>150000000</v>
      </c>
      <c r="G256" s="1412"/>
    </row>
    <row r="257" spans="1:7" x14ac:dyDescent="0.25">
      <c r="A257" s="1413"/>
      <c r="B257" s="1401" t="s">
        <v>1806</v>
      </c>
      <c r="C257" s="1412">
        <v>6</v>
      </c>
      <c r="D257" s="1400" t="s">
        <v>110</v>
      </c>
      <c r="E257" s="1398">
        <v>5000000</v>
      </c>
      <c r="F257" s="1399">
        <f t="shared" si="5"/>
        <v>30000000</v>
      </c>
      <c r="G257" s="1412"/>
    </row>
    <row r="258" spans="1:7" x14ac:dyDescent="0.25">
      <c r="A258" s="1413"/>
      <c r="B258" s="2193" t="s">
        <v>26</v>
      </c>
      <c r="C258" s="2197"/>
      <c r="D258" s="2197"/>
      <c r="E258" s="2194"/>
      <c r="F258" s="1410">
        <f>SUM(F226:F257)</f>
        <v>256897500</v>
      </c>
      <c r="G258" s="1414"/>
    </row>
    <row r="259" spans="1:7" x14ac:dyDescent="0.25">
      <c r="A259" s="1969" t="s">
        <v>516</v>
      </c>
      <c r="B259" s="1969"/>
      <c r="C259" s="1259" t="s">
        <v>27</v>
      </c>
      <c r="D259" s="1970" t="s">
        <v>1224</v>
      </c>
      <c r="E259" s="1970"/>
      <c r="F259" s="1970"/>
      <c r="G259" s="1259"/>
    </row>
    <row r="260" spans="1:7" x14ac:dyDescent="0.25">
      <c r="A260" s="1969" t="s">
        <v>28</v>
      </c>
      <c r="B260" s="1969"/>
      <c r="C260" s="1259"/>
      <c r="D260" s="1971" t="s">
        <v>2443</v>
      </c>
      <c r="E260" s="1971"/>
      <c r="F260" s="1971"/>
      <c r="G260" s="1259"/>
    </row>
    <row r="261" spans="1:7" x14ac:dyDescent="0.25">
      <c r="A261" s="1261"/>
      <c r="B261" s="1262"/>
      <c r="C261" s="1259"/>
      <c r="D261" s="1260"/>
      <c r="E261" s="948"/>
      <c r="F261" s="993"/>
      <c r="G261" s="1259"/>
    </row>
    <row r="262" spans="1:7" x14ac:dyDescent="0.25">
      <c r="A262" s="1261"/>
      <c r="B262" s="1262"/>
      <c r="C262" s="1259"/>
      <c r="D262" s="1260"/>
      <c r="E262" s="948"/>
      <c r="F262" s="948"/>
      <c r="G262" s="1259"/>
    </row>
    <row r="263" spans="1:7" x14ac:dyDescent="0.25">
      <c r="A263" s="1969"/>
      <c r="B263" s="1969"/>
      <c r="C263" s="1259"/>
      <c r="D263" s="1260"/>
      <c r="E263" s="1969"/>
      <c r="F263" s="1969"/>
      <c r="G263" s="1259"/>
    </row>
    <row r="264" spans="1:7" x14ac:dyDescent="0.25">
      <c r="A264" s="1969" t="s">
        <v>29</v>
      </c>
      <c r="B264" s="1969"/>
      <c r="C264" s="1259"/>
      <c r="D264" s="1969" t="s">
        <v>517</v>
      </c>
      <c r="E264" s="1969"/>
      <c r="F264" s="1969"/>
      <c r="G264" s="1259"/>
    </row>
    <row r="265" spans="1:7" x14ac:dyDescent="0.25">
      <c r="A265" s="2062" t="s">
        <v>1796</v>
      </c>
      <c r="B265" s="2062"/>
      <c r="C265" s="2062"/>
      <c r="D265" s="2062"/>
      <c r="E265" s="2062"/>
      <c r="F265" s="2062"/>
      <c r="G265" s="2062"/>
    </row>
    <row r="266" spans="1:7" x14ac:dyDescent="0.25">
      <c r="A266" s="2062" t="s">
        <v>1</v>
      </c>
      <c r="B266" s="2062"/>
      <c r="C266" s="2062"/>
      <c r="D266" s="2062"/>
      <c r="E266" s="2062"/>
      <c r="F266" s="2062"/>
      <c r="G266" s="2062"/>
    </row>
    <row r="267" spans="1:7" x14ac:dyDescent="0.25">
      <c r="A267" s="2062" t="s">
        <v>2398</v>
      </c>
      <c r="B267" s="2062"/>
      <c r="C267" s="2062"/>
      <c r="D267" s="2062"/>
      <c r="E267" s="2062"/>
      <c r="F267" s="2062"/>
      <c r="G267" s="2062"/>
    </row>
    <row r="268" spans="1:7" x14ac:dyDescent="0.25">
      <c r="A268" s="260"/>
      <c r="B268" s="260"/>
      <c r="C268" s="578"/>
      <c r="D268" s="578"/>
      <c r="E268" s="265"/>
      <c r="F268" s="260"/>
      <c r="G268" s="187"/>
    </row>
    <row r="269" spans="1:7" x14ac:dyDescent="0.25">
      <c r="A269" s="258" t="s">
        <v>458</v>
      </c>
      <c r="B269" s="258" t="s">
        <v>412</v>
      </c>
      <c r="C269" s="258"/>
      <c r="D269" s="258"/>
      <c r="E269" s="187"/>
      <c r="F269" s="187"/>
      <c r="G269" s="265"/>
    </row>
    <row r="270" spans="1:7" x14ac:dyDescent="0.25">
      <c r="A270" s="819" t="s">
        <v>459</v>
      </c>
      <c r="B270" s="706" t="s">
        <v>1646</v>
      </c>
      <c r="C270" s="258"/>
      <c r="D270" s="258"/>
      <c r="E270" s="262" t="s">
        <v>6</v>
      </c>
      <c r="F270" s="262"/>
      <c r="G270" s="258"/>
    </row>
    <row r="271" spans="1:7" ht="45" x14ac:dyDescent="0.25">
      <c r="A271" s="819" t="s">
        <v>460</v>
      </c>
      <c r="B271" s="706" t="s">
        <v>2801</v>
      </c>
      <c r="C271" s="258"/>
      <c r="D271" s="258"/>
      <c r="E271" s="657" t="s">
        <v>9</v>
      </c>
      <c r="F271" s="565"/>
      <c r="G271" s="258"/>
    </row>
    <row r="272" spans="1:7" ht="30" x14ac:dyDescent="0.25">
      <c r="A272" s="706" t="s">
        <v>395</v>
      </c>
      <c r="B272" s="819" t="s">
        <v>60</v>
      </c>
      <c r="C272" s="258"/>
      <c r="D272" s="258"/>
      <c r="E272" s="258"/>
      <c r="F272" s="258"/>
      <c r="G272" s="258"/>
    </row>
    <row r="273" spans="1:7" x14ac:dyDescent="0.25">
      <c r="A273" s="258" t="s">
        <v>61</v>
      </c>
      <c r="B273" s="258"/>
      <c r="C273" s="258"/>
      <c r="D273" s="721"/>
      <c r="E273" s="820"/>
      <c r="F273" s="258"/>
      <c r="G273" s="258"/>
    </row>
    <row r="274" spans="1:7" x14ac:dyDescent="0.25">
      <c r="A274" s="187"/>
      <c r="B274" s="187"/>
      <c r="C274" s="187"/>
      <c r="D274" s="187"/>
      <c r="E274" s="187"/>
      <c r="F274" s="187"/>
      <c r="G274" s="187"/>
    </row>
    <row r="275" spans="1:7" ht="30" x14ac:dyDescent="0.25">
      <c r="A275" s="821" t="s">
        <v>30</v>
      </c>
      <c r="B275" s="821" t="s">
        <v>11</v>
      </c>
      <c r="C275" s="2068" t="s">
        <v>12</v>
      </c>
      <c r="D275" s="2069"/>
      <c r="E275" s="822" t="s">
        <v>13</v>
      </c>
      <c r="F275" s="823" t="s">
        <v>14</v>
      </c>
      <c r="G275" s="824" t="s">
        <v>341</v>
      </c>
    </row>
    <row r="276" spans="1:7" x14ac:dyDescent="0.25">
      <c r="A276" s="825">
        <v>1</v>
      </c>
      <c r="B276" s="825">
        <v>2</v>
      </c>
      <c r="C276" s="2070">
        <v>3</v>
      </c>
      <c r="D276" s="2071"/>
      <c r="E276" s="826">
        <v>4</v>
      </c>
      <c r="F276" s="827">
        <v>5</v>
      </c>
      <c r="G276" s="824">
        <v>6</v>
      </c>
    </row>
    <row r="277" spans="1:7" ht="42.75" x14ac:dyDescent="0.25">
      <c r="A277" s="828"/>
      <c r="B277" s="829" t="s">
        <v>1412</v>
      </c>
      <c r="C277" s="827"/>
      <c r="D277" s="830"/>
      <c r="E277" s="831"/>
      <c r="F277" s="832"/>
      <c r="G277" s="825"/>
    </row>
    <row r="278" spans="1:7" x14ac:dyDescent="0.25">
      <c r="A278" s="833" t="s">
        <v>1413</v>
      </c>
      <c r="B278" s="834" t="s">
        <v>462</v>
      </c>
      <c r="C278" s="827"/>
      <c r="D278" s="830"/>
      <c r="E278" s="826"/>
      <c r="F278" s="827"/>
      <c r="G278" s="825"/>
    </row>
    <row r="279" spans="1:7" x14ac:dyDescent="0.25">
      <c r="A279" s="833" t="s">
        <v>1414</v>
      </c>
      <c r="B279" s="834" t="s">
        <v>84</v>
      </c>
      <c r="C279" s="827"/>
      <c r="D279" s="830"/>
      <c r="E279" s="826"/>
      <c r="F279" s="827"/>
      <c r="G279" s="825"/>
    </row>
    <row r="280" spans="1:7" ht="30" x14ac:dyDescent="0.25">
      <c r="A280" s="833" t="s">
        <v>1415</v>
      </c>
      <c r="B280" s="834" t="s">
        <v>307</v>
      </c>
      <c r="C280" s="825"/>
      <c r="D280" s="825"/>
      <c r="E280" s="831"/>
      <c r="F280" s="832"/>
      <c r="G280" s="825"/>
    </row>
    <row r="281" spans="1:7" ht="30" x14ac:dyDescent="0.25">
      <c r="A281" s="828"/>
      <c r="B281" s="834" t="s">
        <v>1648</v>
      </c>
      <c r="C281" s="825">
        <v>35</v>
      </c>
      <c r="D281" s="833" t="s">
        <v>269</v>
      </c>
      <c r="E281" s="831">
        <v>20000</v>
      </c>
      <c r="F281" s="832">
        <f>E281*C281</f>
        <v>700000</v>
      </c>
      <c r="G281" s="825"/>
    </row>
    <row r="282" spans="1:7" x14ac:dyDescent="0.25">
      <c r="A282" s="828"/>
      <c r="B282" s="828"/>
      <c r="C282" s="825"/>
      <c r="D282" s="833"/>
      <c r="E282" s="831"/>
      <c r="F282" s="832">
        <f t="shared" ref="F282:F307" si="6">E282*C282</f>
        <v>0</v>
      </c>
      <c r="G282" s="825"/>
    </row>
    <row r="283" spans="1:7" ht="30" x14ac:dyDescent="0.25">
      <c r="A283" s="833" t="s">
        <v>1416</v>
      </c>
      <c r="B283" s="834" t="s">
        <v>325</v>
      </c>
      <c r="C283" s="825"/>
      <c r="D283" s="833"/>
      <c r="E283" s="831"/>
      <c r="F283" s="832">
        <f t="shared" si="6"/>
        <v>0</v>
      </c>
      <c r="G283" s="825"/>
    </row>
    <row r="284" spans="1:7" x14ac:dyDescent="0.25">
      <c r="A284" s="828"/>
      <c r="B284" s="834" t="s">
        <v>326</v>
      </c>
      <c r="C284" s="825">
        <v>1</v>
      </c>
      <c r="D284" s="833" t="s">
        <v>93</v>
      </c>
      <c r="E284" s="831">
        <v>90000</v>
      </c>
      <c r="F284" s="832">
        <f t="shared" si="6"/>
        <v>90000</v>
      </c>
      <c r="G284" s="825"/>
    </row>
    <row r="285" spans="1:7" x14ac:dyDescent="0.25">
      <c r="A285" s="828"/>
      <c r="B285" s="834"/>
      <c r="C285" s="825"/>
      <c r="D285" s="833"/>
      <c r="E285" s="831"/>
      <c r="F285" s="832">
        <f t="shared" si="6"/>
        <v>0</v>
      </c>
      <c r="G285" s="825"/>
    </row>
    <row r="286" spans="1:7" x14ac:dyDescent="0.25">
      <c r="A286" s="833" t="s">
        <v>1417</v>
      </c>
      <c r="B286" s="834" t="s">
        <v>483</v>
      </c>
      <c r="C286" s="825"/>
      <c r="D286" s="833"/>
      <c r="E286" s="831"/>
      <c r="F286" s="832">
        <f t="shared" si="6"/>
        <v>0</v>
      </c>
      <c r="G286" s="825"/>
    </row>
    <row r="287" spans="1:7" x14ac:dyDescent="0.25">
      <c r="A287" s="828"/>
      <c r="B287" s="834" t="s">
        <v>422</v>
      </c>
      <c r="C287" s="825">
        <v>1</v>
      </c>
      <c r="D287" s="833" t="s">
        <v>93</v>
      </c>
      <c r="E287" s="831">
        <v>50000</v>
      </c>
      <c r="F287" s="832">
        <f t="shared" si="6"/>
        <v>50000</v>
      </c>
      <c r="G287" s="825"/>
    </row>
    <row r="288" spans="1:7" x14ac:dyDescent="0.25">
      <c r="A288" s="828"/>
      <c r="B288" s="834" t="s">
        <v>275</v>
      </c>
      <c r="C288" s="825">
        <v>5</v>
      </c>
      <c r="D288" s="833" t="s">
        <v>606</v>
      </c>
      <c r="E288" s="831">
        <v>1000</v>
      </c>
      <c r="F288" s="832">
        <f t="shared" si="6"/>
        <v>5000</v>
      </c>
      <c r="G288" s="825"/>
    </row>
    <row r="289" spans="1:7" x14ac:dyDescent="0.25">
      <c r="A289" s="828"/>
      <c r="B289" s="834" t="s">
        <v>289</v>
      </c>
      <c r="C289" s="825">
        <v>1</v>
      </c>
      <c r="D289" s="833" t="s">
        <v>152</v>
      </c>
      <c r="E289" s="831">
        <v>10000</v>
      </c>
      <c r="F289" s="832">
        <f t="shared" si="6"/>
        <v>10000</v>
      </c>
      <c r="G289" s="825"/>
    </row>
    <row r="290" spans="1:7" x14ac:dyDescent="0.25">
      <c r="A290" s="828"/>
      <c r="B290" s="834"/>
      <c r="C290" s="825"/>
      <c r="D290" s="833"/>
      <c r="E290" s="831"/>
      <c r="F290" s="832">
        <f t="shared" si="6"/>
        <v>0</v>
      </c>
      <c r="G290" s="825"/>
    </row>
    <row r="291" spans="1:7" x14ac:dyDescent="0.25">
      <c r="A291" s="833" t="s">
        <v>2521</v>
      </c>
      <c r="B291" s="287" t="s">
        <v>294</v>
      </c>
      <c r="C291" s="825"/>
      <c r="D291" s="833"/>
      <c r="E291" s="831"/>
      <c r="F291" s="832">
        <f t="shared" si="6"/>
        <v>0</v>
      </c>
      <c r="G291" s="825"/>
    </row>
    <row r="292" spans="1:7" ht="30" x14ac:dyDescent="0.25">
      <c r="A292" s="833" t="s">
        <v>3430</v>
      </c>
      <c r="B292" s="290" t="s">
        <v>484</v>
      </c>
      <c r="C292" s="825"/>
      <c r="D292" s="833"/>
      <c r="E292" s="831"/>
      <c r="F292" s="832">
        <f t="shared" si="6"/>
        <v>0</v>
      </c>
      <c r="G292" s="825"/>
    </row>
    <row r="293" spans="1:7" x14ac:dyDescent="0.25">
      <c r="A293" s="828"/>
      <c r="B293" s="287" t="s">
        <v>402</v>
      </c>
      <c r="C293" s="282">
        <v>1</v>
      </c>
      <c r="D293" s="736" t="s">
        <v>269</v>
      </c>
      <c r="E293" s="574">
        <v>300000</v>
      </c>
      <c r="F293" s="832">
        <f t="shared" si="6"/>
        <v>300000</v>
      </c>
      <c r="G293" s="825"/>
    </row>
    <row r="294" spans="1:7" x14ac:dyDescent="0.25">
      <c r="A294" s="828"/>
      <c r="B294" s="287" t="s">
        <v>502</v>
      </c>
      <c r="C294" s="282">
        <v>1</v>
      </c>
      <c r="D294" s="736" t="s">
        <v>269</v>
      </c>
      <c r="E294" s="574">
        <v>250000</v>
      </c>
      <c r="F294" s="832">
        <f t="shared" si="6"/>
        <v>250000</v>
      </c>
      <c r="G294" s="825"/>
    </row>
    <row r="295" spans="1:7" x14ac:dyDescent="0.25">
      <c r="A295" s="828"/>
      <c r="B295" s="287" t="s">
        <v>485</v>
      </c>
      <c r="C295" s="282">
        <v>3</v>
      </c>
      <c r="D295" s="736" t="s">
        <v>269</v>
      </c>
      <c r="E295" s="574">
        <v>200000</v>
      </c>
      <c r="F295" s="832">
        <f t="shared" si="6"/>
        <v>600000</v>
      </c>
      <c r="G295" s="825"/>
    </row>
    <row r="296" spans="1:7" x14ac:dyDescent="0.25">
      <c r="A296" s="828"/>
      <c r="B296" s="834"/>
      <c r="C296" s="825"/>
      <c r="D296" s="833"/>
      <c r="E296" s="831"/>
      <c r="F296" s="832">
        <f t="shared" si="6"/>
        <v>0</v>
      </c>
      <c r="G296" s="825"/>
    </row>
    <row r="297" spans="1:7" ht="30" x14ac:dyDescent="0.25">
      <c r="A297" s="833" t="s">
        <v>1418</v>
      </c>
      <c r="B297" s="834" t="s">
        <v>1649</v>
      </c>
      <c r="C297" s="825">
        <v>2</v>
      </c>
      <c r="D297" s="833" t="s">
        <v>392</v>
      </c>
      <c r="E297" s="835">
        <v>300000</v>
      </c>
      <c r="F297" s="832">
        <f t="shared" si="6"/>
        <v>600000</v>
      </c>
      <c r="G297" s="825"/>
    </row>
    <row r="298" spans="1:7" ht="30" x14ac:dyDescent="0.25">
      <c r="A298" s="833" t="s">
        <v>1419</v>
      </c>
      <c r="B298" s="834" t="s">
        <v>1420</v>
      </c>
      <c r="C298" s="825"/>
      <c r="D298" s="833"/>
      <c r="E298" s="831"/>
      <c r="F298" s="832">
        <f t="shared" si="6"/>
        <v>0</v>
      </c>
      <c r="G298" s="825"/>
    </row>
    <row r="299" spans="1:7" ht="45" x14ac:dyDescent="0.25">
      <c r="A299" s="833" t="s">
        <v>1421</v>
      </c>
      <c r="B299" s="834" t="s">
        <v>487</v>
      </c>
      <c r="C299" s="825"/>
      <c r="D299" s="833"/>
      <c r="E299" s="831"/>
      <c r="F299" s="832">
        <f t="shared" si="6"/>
        <v>0</v>
      </c>
      <c r="G299" s="825"/>
    </row>
    <row r="300" spans="1:7" x14ac:dyDescent="0.25">
      <c r="A300" s="828"/>
      <c r="B300" s="834" t="s">
        <v>2802</v>
      </c>
      <c r="C300" s="836">
        <v>2600</v>
      </c>
      <c r="D300" s="833" t="s">
        <v>93</v>
      </c>
      <c r="E300" s="837">
        <v>2000</v>
      </c>
      <c r="F300" s="832">
        <f t="shared" si="6"/>
        <v>5200000</v>
      </c>
      <c r="G300" s="838"/>
    </row>
    <row r="301" spans="1:7" ht="30" x14ac:dyDescent="0.25">
      <c r="A301" s="840"/>
      <c r="B301" s="834" t="s">
        <v>1650</v>
      </c>
      <c r="C301" s="839">
        <v>130</v>
      </c>
      <c r="D301" s="833" t="s">
        <v>1422</v>
      </c>
      <c r="E301" s="831">
        <v>80000</v>
      </c>
      <c r="F301" s="832">
        <f t="shared" si="6"/>
        <v>10400000</v>
      </c>
      <c r="G301" s="839"/>
    </row>
    <row r="302" spans="1:7" x14ac:dyDescent="0.25">
      <c r="A302" s="840"/>
      <c r="B302" s="834" t="s">
        <v>1651</v>
      </c>
      <c r="C302" s="839">
        <v>65</v>
      </c>
      <c r="D302" s="833" t="s">
        <v>1274</v>
      </c>
      <c r="E302" s="831">
        <v>25000</v>
      </c>
      <c r="F302" s="832">
        <f t="shared" si="6"/>
        <v>1625000</v>
      </c>
      <c r="G302" s="839"/>
    </row>
    <row r="303" spans="1:7" x14ac:dyDescent="0.25">
      <c r="A303" s="840"/>
      <c r="B303" s="834" t="s">
        <v>1652</v>
      </c>
      <c r="C303" s="839">
        <v>15</v>
      </c>
      <c r="D303" s="833" t="s">
        <v>1274</v>
      </c>
      <c r="E303" s="831">
        <v>20000</v>
      </c>
      <c r="F303" s="832">
        <f t="shared" si="6"/>
        <v>300000</v>
      </c>
      <c r="G303" s="839"/>
    </row>
    <row r="304" spans="1:7" ht="30" x14ac:dyDescent="0.25">
      <c r="A304" s="840"/>
      <c r="B304" s="834" t="s">
        <v>1653</v>
      </c>
      <c r="C304" s="839">
        <v>65</v>
      </c>
      <c r="D304" s="833" t="s">
        <v>1423</v>
      </c>
      <c r="E304" s="831">
        <v>54000</v>
      </c>
      <c r="F304" s="832">
        <f t="shared" si="6"/>
        <v>3510000</v>
      </c>
      <c r="G304" s="839"/>
    </row>
    <row r="305" spans="1:10" x14ac:dyDescent="0.25">
      <c r="A305" s="840"/>
      <c r="B305" s="834" t="s">
        <v>1654</v>
      </c>
      <c r="C305" s="839">
        <v>39</v>
      </c>
      <c r="D305" s="833" t="s">
        <v>1424</v>
      </c>
      <c r="E305" s="831">
        <v>50000</v>
      </c>
      <c r="F305" s="832">
        <f t="shared" si="6"/>
        <v>1950000</v>
      </c>
      <c r="G305" s="839"/>
    </row>
    <row r="306" spans="1:10" x14ac:dyDescent="0.25">
      <c r="A306" s="840"/>
      <c r="B306" s="834" t="s">
        <v>2772</v>
      </c>
      <c r="C306" s="839">
        <v>13</v>
      </c>
      <c r="D306" s="833" t="s">
        <v>1801</v>
      </c>
      <c r="E306" s="831">
        <v>64000</v>
      </c>
      <c r="F306" s="832">
        <f t="shared" si="6"/>
        <v>832000</v>
      </c>
      <c r="G306" s="839"/>
    </row>
    <row r="307" spans="1:10" x14ac:dyDescent="0.25">
      <c r="A307" s="840"/>
      <c r="B307" s="834" t="s">
        <v>2803</v>
      </c>
      <c r="C307" s="839">
        <v>39</v>
      </c>
      <c r="D307" s="833" t="s">
        <v>118</v>
      </c>
      <c r="E307" s="831">
        <v>56000</v>
      </c>
      <c r="F307" s="832">
        <f t="shared" si="6"/>
        <v>2184000</v>
      </c>
      <c r="G307" s="839"/>
    </row>
    <row r="308" spans="1:10" x14ac:dyDescent="0.25">
      <c r="A308" s="840"/>
      <c r="B308" s="2068" t="s">
        <v>26</v>
      </c>
      <c r="C308" s="2072"/>
      <c r="D308" s="2072"/>
      <c r="E308" s="2069"/>
      <c r="F308" s="837">
        <f>SUM(F280:F307)</f>
        <v>28606000</v>
      </c>
      <c r="G308" s="841" t="s">
        <v>1410</v>
      </c>
      <c r="J308" s="23">
        <f>F308</f>
        <v>28606000</v>
      </c>
    </row>
    <row r="309" spans="1:10" x14ac:dyDescent="0.25">
      <c r="A309" s="1926" t="s">
        <v>516</v>
      </c>
      <c r="B309" s="1926"/>
      <c r="C309" s="152" t="s">
        <v>27</v>
      </c>
      <c r="D309" s="1926" t="s">
        <v>3654</v>
      </c>
      <c r="E309" s="1926"/>
      <c r="F309" s="1926"/>
      <c r="G309" s="152"/>
    </row>
    <row r="310" spans="1:10" x14ac:dyDescent="0.25">
      <c r="A310" s="1926" t="s">
        <v>28</v>
      </c>
      <c r="B310" s="1926"/>
      <c r="C310" s="152"/>
      <c r="D310" s="1927" t="s">
        <v>3565</v>
      </c>
      <c r="E310" s="1927"/>
      <c r="F310" s="1927"/>
      <c r="G310" s="152"/>
    </row>
    <row r="311" spans="1:10" x14ac:dyDescent="0.25">
      <c r="A311" s="150"/>
      <c r="B311" s="151"/>
      <c r="C311" s="152"/>
      <c r="D311" s="153"/>
      <c r="E311" s="1770"/>
      <c r="F311" s="182"/>
      <c r="G311" s="152"/>
    </row>
    <row r="312" spans="1:10" x14ac:dyDescent="0.25">
      <c r="A312" s="150"/>
      <c r="B312" s="151"/>
      <c r="C312" s="152"/>
      <c r="D312" s="153"/>
      <c r="E312" s="1770"/>
      <c r="F312" s="182"/>
      <c r="G312" s="152"/>
    </row>
    <row r="313" spans="1:10" x14ac:dyDescent="0.25">
      <c r="A313" s="1926"/>
      <c r="B313" s="1926"/>
      <c r="C313" s="152"/>
      <c r="D313" s="153"/>
      <c r="E313" s="1926"/>
      <c r="F313" s="1926"/>
      <c r="G313" s="152"/>
    </row>
    <row r="314" spans="1:10" x14ac:dyDescent="0.25">
      <c r="A314" s="1926" t="s">
        <v>29</v>
      </c>
      <c r="B314" s="1926"/>
      <c r="C314" s="152"/>
      <c r="D314" s="1926" t="s">
        <v>3564</v>
      </c>
      <c r="E314" s="1926"/>
      <c r="F314" s="1926"/>
      <c r="G314" s="152"/>
    </row>
    <row r="315" spans="1:10" x14ac:dyDescent="0.25">
      <c r="A315" s="2181" t="s">
        <v>1796</v>
      </c>
      <c r="B315" s="2181"/>
      <c r="C315" s="2181"/>
      <c r="D315" s="2181"/>
      <c r="E315" s="2181"/>
      <c r="F315" s="2181"/>
      <c r="G315" s="2181"/>
    </row>
    <row r="316" spans="1:10" x14ac:dyDescent="0.25">
      <c r="A316" s="2181" t="s">
        <v>1</v>
      </c>
      <c r="B316" s="2181"/>
      <c r="C316" s="2181"/>
      <c r="D316" s="2181"/>
      <c r="E316" s="2181"/>
      <c r="F316" s="2181"/>
      <c r="G316" s="2181"/>
    </row>
    <row r="317" spans="1:10" x14ac:dyDescent="0.25">
      <c r="A317" s="2181" t="s">
        <v>2398</v>
      </c>
      <c r="B317" s="2181"/>
      <c r="C317" s="2181"/>
      <c r="D317" s="2181"/>
      <c r="E317" s="2181"/>
      <c r="F317" s="2181"/>
      <c r="G317" s="2181"/>
    </row>
    <row r="318" spans="1:10" x14ac:dyDescent="0.25">
      <c r="A318" s="1330"/>
      <c r="B318" s="1330"/>
      <c r="C318" s="1380"/>
      <c r="D318" s="1380"/>
      <c r="E318" s="1381"/>
      <c r="F318" s="1330"/>
      <c r="G318" s="1269"/>
    </row>
    <row r="319" spans="1:10" x14ac:dyDescent="0.25">
      <c r="A319" s="1382" t="s">
        <v>458</v>
      </c>
      <c r="B319" s="1382" t="s">
        <v>412</v>
      </c>
      <c r="C319" s="1382"/>
      <c r="D319" s="1382"/>
      <c r="E319" s="1269"/>
      <c r="F319" s="1269"/>
      <c r="G319" s="1381"/>
    </row>
    <row r="320" spans="1:10" x14ac:dyDescent="0.25">
      <c r="A320" s="1383" t="s">
        <v>459</v>
      </c>
      <c r="B320" s="1384" t="s">
        <v>1646</v>
      </c>
      <c r="C320" s="1382"/>
      <c r="D320" s="1382"/>
      <c r="E320" s="1327" t="s">
        <v>6</v>
      </c>
      <c r="F320" s="1327"/>
      <c r="G320" s="1382"/>
    </row>
    <row r="321" spans="1:8" ht="60" x14ac:dyDescent="0.25">
      <c r="A321" s="1383" t="s">
        <v>460</v>
      </c>
      <c r="B321" s="1384" t="s">
        <v>2519</v>
      </c>
      <c r="C321" s="1382"/>
      <c r="D321" s="1382"/>
      <c r="E321" s="1329" t="s">
        <v>9</v>
      </c>
      <c r="F321" s="1385"/>
      <c r="G321" s="1382"/>
    </row>
    <row r="322" spans="1:8" ht="30" x14ac:dyDescent="0.25">
      <c r="A322" s="1384" t="s">
        <v>395</v>
      </c>
      <c r="B322" s="1383" t="s">
        <v>60</v>
      </c>
      <c r="C322" s="1382"/>
      <c r="D322" s="1382"/>
      <c r="E322" s="1382"/>
      <c r="F322" s="1382"/>
      <c r="G322" s="1382"/>
    </row>
    <row r="323" spans="1:8" x14ac:dyDescent="0.25">
      <c r="A323" s="1382" t="s">
        <v>61</v>
      </c>
      <c r="B323" s="1382"/>
      <c r="C323" s="1382"/>
      <c r="D323" s="1386"/>
      <c r="E323" s="1387"/>
      <c r="F323" s="1382"/>
      <c r="G323" s="1382"/>
    </row>
    <row r="324" spans="1:8" x14ac:dyDescent="0.25">
      <c r="A324" s="1269"/>
      <c r="B324" s="1269"/>
      <c r="C324" s="1269"/>
      <c r="D324" s="1269"/>
      <c r="E324" s="1269"/>
      <c r="F324" s="1269"/>
      <c r="G324" s="1269"/>
    </row>
    <row r="325" spans="1:8" ht="30" x14ac:dyDescent="0.25">
      <c r="A325" s="1388" t="s">
        <v>30</v>
      </c>
      <c r="B325" s="1388" t="s">
        <v>11</v>
      </c>
      <c r="C325" s="2193" t="s">
        <v>12</v>
      </c>
      <c r="D325" s="2194"/>
      <c r="E325" s="1390" t="s">
        <v>13</v>
      </c>
      <c r="F325" s="1389" t="s">
        <v>14</v>
      </c>
      <c r="G325" s="1391" t="s">
        <v>341</v>
      </c>
    </row>
    <row r="326" spans="1:8" x14ac:dyDescent="0.25">
      <c r="A326" s="1392">
        <v>1</v>
      </c>
      <c r="B326" s="1392">
        <v>2</v>
      </c>
      <c r="C326" s="2195">
        <v>3</v>
      </c>
      <c r="D326" s="2196"/>
      <c r="E326" s="1395">
        <v>4</v>
      </c>
      <c r="F326" s="1393">
        <v>5</v>
      </c>
      <c r="G326" s="1391">
        <v>6</v>
      </c>
    </row>
    <row r="327" spans="1:8" x14ac:dyDescent="0.25">
      <c r="A327" s="1396"/>
      <c r="B327" s="1397"/>
      <c r="C327" s="1393"/>
      <c r="D327" s="1394"/>
      <c r="E327" s="1398"/>
      <c r="F327" s="1399"/>
      <c r="G327" s="1392"/>
    </row>
    <row r="328" spans="1:8" x14ac:dyDescent="0.25">
      <c r="A328" s="1400" t="s">
        <v>1413</v>
      </c>
      <c r="B328" s="1401" t="s">
        <v>462</v>
      </c>
      <c r="C328" s="1393"/>
      <c r="D328" s="1394"/>
      <c r="E328" s="1395"/>
      <c r="F328" s="1393"/>
      <c r="G328" s="1392"/>
    </row>
    <row r="329" spans="1:8" x14ac:dyDescent="0.25">
      <c r="A329" s="1400" t="s">
        <v>1414</v>
      </c>
      <c r="B329" s="1401" t="s">
        <v>84</v>
      </c>
      <c r="C329" s="1393"/>
      <c r="D329" s="1394"/>
      <c r="E329" s="1395"/>
      <c r="F329" s="1393"/>
      <c r="G329" s="1392"/>
    </row>
    <row r="330" spans="1:8" ht="30" x14ac:dyDescent="0.25">
      <c r="A330" s="1400" t="s">
        <v>1415</v>
      </c>
      <c r="B330" s="1401" t="s">
        <v>307</v>
      </c>
      <c r="C330" s="1392"/>
      <c r="D330" s="1392"/>
      <c r="E330" s="1398"/>
      <c r="F330" s="1399"/>
      <c r="G330" s="1392"/>
    </row>
    <row r="331" spans="1:8" ht="30" x14ac:dyDescent="0.25">
      <c r="A331" s="1396"/>
      <c r="B331" s="1401" t="s">
        <v>2520</v>
      </c>
      <c r="C331" s="1392">
        <v>154</v>
      </c>
      <c r="D331" s="1400" t="s">
        <v>269</v>
      </c>
      <c r="E331" s="1398">
        <v>20000</v>
      </c>
      <c r="F331" s="1399">
        <f>E331*C331</f>
        <v>3080000</v>
      </c>
      <c r="G331" s="1392"/>
      <c r="H331">
        <f>77*2</f>
        <v>154</v>
      </c>
    </row>
    <row r="332" spans="1:8" x14ac:dyDescent="0.25">
      <c r="A332" s="1396"/>
      <c r="B332" s="1396"/>
      <c r="C332" s="1392"/>
      <c r="D332" s="1400"/>
      <c r="E332" s="1398"/>
      <c r="F332" s="1399"/>
      <c r="G332" s="1392"/>
    </row>
    <row r="333" spans="1:8" ht="30" x14ac:dyDescent="0.25">
      <c r="A333" s="1400" t="s">
        <v>1416</v>
      </c>
      <c r="B333" s="1401" t="s">
        <v>325</v>
      </c>
      <c r="C333" s="1392"/>
      <c r="D333" s="1400"/>
      <c r="E333" s="1398"/>
      <c r="F333" s="1399"/>
      <c r="G333" s="1392"/>
    </row>
    <row r="334" spans="1:8" x14ac:dyDescent="0.25">
      <c r="A334" s="1396"/>
      <c r="B334" s="1401" t="s">
        <v>326</v>
      </c>
      <c r="C334" s="1392">
        <v>1</v>
      </c>
      <c r="D334" s="1400" t="s">
        <v>93</v>
      </c>
      <c r="E334" s="1398">
        <v>90000</v>
      </c>
      <c r="F334" s="1399">
        <f>E334*C334</f>
        <v>90000</v>
      </c>
      <c r="G334" s="1392"/>
    </row>
    <row r="335" spans="1:8" x14ac:dyDescent="0.25">
      <c r="A335" s="1396"/>
      <c r="B335" s="1401"/>
      <c r="C335" s="1392"/>
      <c r="D335" s="1400"/>
      <c r="E335" s="1398"/>
      <c r="F335" s="1399"/>
      <c r="G335" s="1392"/>
    </row>
    <row r="336" spans="1:8" x14ac:dyDescent="0.25">
      <c r="A336" s="1400" t="s">
        <v>1417</v>
      </c>
      <c r="B336" s="1401" t="s">
        <v>483</v>
      </c>
      <c r="C336" s="1392"/>
      <c r="D336" s="1400"/>
      <c r="E336" s="1398"/>
      <c r="F336" s="1399"/>
      <c r="G336" s="1392"/>
    </row>
    <row r="337" spans="1:7" x14ac:dyDescent="0.25">
      <c r="A337" s="1396"/>
      <c r="B337" s="1401" t="s">
        <v>422</v>
      </c>
      <c r="C337" s="1392">
        <v>1</v>
      </c>
      <c r="D337" s="1400" t="s">
        <v>93</v>
      </c>
      <c r="E337" s="1398">
        <v>50000</v>
      </c>
      <c r="F337" s="1399">
        <f>E337*C337</f>
        <v>50000</v>
      </c>
      <c r="G337" s="1392"/>
    </row>
    <row r="338" spans="1:7" x14ac:dyDescent="0.25">
      <c r="A338" s="1396"/>
      <c r="B338" s="1401" t="s">
        <v>275</v>
      </c>
      <c r="C338" s="1392">
        <v>5</v>
      </c>
      <c r="D338" s="1400" t="s">
        <v>606</v>
      </c>
      <c r="E338" s="1398">
        <v>1000</v>
      </c>
      <c r="F338" s="1399">
        <f>E338*C338</f>
        <v>5000</v>
      </c>
      <c r="G338" s="1392"/>
    </row>
    <row r="339" spans="1:7" x14ac:dyDescent="0.25">
      <c r="A339" s="1396"/>
      <c r="B339" s="1401" t="s">
        <v>289</v>
      </c>
      <c r="C339" s="1392">
        <v>1</v>
      </c>
      <c r="D339" s="1400" t="s">
        <v>152</v>
      </c>
      <c r="E339" s="1398">
        <v>10000</v>
      </c>
      <c r="F339" s="1399">
        <f>E339*C339</f>
        <v>10000</v>
      </c>
      <c r="G339" s="1392"/>
    </row>
    <row r="340" spans="1:7" x14ac:dyDescent="0.25">
      <c r="A340" s="1396"/>
      <c r="B340" s="1401"/>
      <c r="C340" s="1392"/>
      <c r="D340" s="1400"/>
      <c r="E340" s="1398"/>
      <c r="F340" s="1399"/>
      <c r="G340" s="1392"/>
    </row>
    <row r="341" spans="1:7" x14ac:dyDescent="0.25">
      <c r="A341" s="1400" t="s">
        <v>2521</v>
      </c>
      <c r="B341" s="1402" t="s">
        <v>294</v>
      </c>
      <c r="C341" s="1392"/>
      <c r="D341" s="1400"/>
      <c r="E341" s="1398"/>
      <c r="F341" s="1399"/>
      <c r="G341" s="1392"/>
    </row>
    <row r="342" spans="1:7" ht="30" x14ac:dyDescent="0.25">
      <c r="A342" s="1415" t="s">
        <v>2522</v>
      </c>
      <c r="B342" s="1403" t="s">
        <v>484</v>
      </c>
      <c r="C342" s="1392"/>
      <c r="D342" s="1400"/>
      <c r="E342" s="1398"/>
      <c r="F342" s="1399"/>
      <c r="G342" s="1392"/>
    </row>
    <row r="343" spans="1:7" x14ac:dyDescent="0.25">
      <c r="A343" s="1396"/>
      <c r="B343" s="1402" t="s">
        <v>402</v>
      </c>
      <c r="C343" s="1404">
        <v>1</v>
      </c>
      <c r="D343" s="1405" t="s">
        <v>269</v>
      </c>
      <c r="E343" s="1406">
        <v>300000</v>
      </c>
      <c r="F343" s="1407">
        <f>E343*C343</f>
        <v>300000</v>
      </c>
      <c r="G343" s="1392"/>
    </row>
    <row r="344" spans="1:7" x14ac:dyDescent="0.25">
      <c r="A344" s="1396"/>
      <c r="B344" s="1402" t="s">
        <v>502</v>
      </c>
      <c r="C344" s="1404">
        <v>1</v>
      </c>
      <c r="D344" s="1405" t="s">
        <v>269</v>
      </c>
      <c r="E344" s="1406">
        <v>250000</v>
      </c>
      <c r="F344" s="1407">
        <f>E344*C344</f>
        <v>250000</v>
      </c>
      <c r="G344" s="1392"/>
    </row>
    <row r="345" spans="1:7" x14ac:dyDescent="0.25">
      <c r="A345" s="1396"/>
      <c r="B345" s="1402" t="s">
        <v>485</v>
      </c>
      <c r="C345" s="1404">
        <v>3</v>
      </c>
      <c r="D345" s="1405" t="s">
        <v>269</v>
      </c>
      <c r="E345" s="1406">
        <v>200000</v>
      </c>
      <c r="F345" s="1407">
        <f>E345*C345</f>
        <v>600000</v>
      </c>
      <c r="G345" s="1392"/>
    </row>
    <row r="346" spans="1:7" x14ac:dyDescent="0.25">
      <c r="A346" s="1396"/>
      <c r="B346" s="1401"/>
      <c r="C346" s="1392"/>
      <c r="D346" s="1400"/>
      <c r="E346" s="1398"/>
      <c r="F346" s="1399"/>
      <c r="G346" s="1392"/>
    </row>
    <row r="347" spans="1:7" ht="30" x14ac:dyDescent="0.25">
      <c r="A347" s="1400" t="s">
        <v>1418</v>
      </c>
      <c r="B347" s="1401" t="s">
        <v>1810</v>
      </c>
      <c r="C347" s="1392">
        <f>2*2</f>
        <v>4</v>
      </c>
      <c r="D347" s="1400" t="s">
        <v>392</v>
      </c>
      <c r="E347" s="1408">
        <v>900000</v>
      </c>
      <c r="F347" s="1399">
        <f>E347*C347</f>
        <v>3600000</v>
      </c>
      <c r="G347" s="1392"/>
    </row>
    <row r="348" spans="1:7" ht="30" x14ac:dyDescent="0.25">
      <c r="A348" s="1400" t="s">
        <v>1419</v>
      </c>
      <c r="B348" s="1401" t="s">
        <v>1420</v>
      </c>
      <c r="C348" s="1392"/>
      <c r="D348" s="1400"/>
      <c r="E348" s="1398"/>
      <c r="F348" s="1399"/>
      <c r="G348" s="1392"/>
    </row>
    <row r="349" spans="1:7" ht="45" x14ac:dyDescent="0.25">
      <c r="A349" s="1400" t="s">
        <v>1421</v>
      </c>
      <c r="B349" s="1401" t="s">
        <v>487</v>
      </c>
      <c r="C349" s="1392"/>
      <c r="D349" s="1400"/>
      <c r="E349" s="1398"/>
      <c r="F349" s="1399"/>
      <c r="G349" s="1392"/>
    </row>
    <row r="350" spans="1:7" x14ac:dyDescent="0.25">
      <c r="A350" s="1400"/>
      <c r="B350" s="1401" t="s">
        <v>2523</v>
      </c>
      <c r="C350" s="1392">
        <v>5</v>
      </c>
      <c r="D350" s="1400" t="s">
        <v>220</v>
      </c>
      <c r="E350" s="1398">
        <v>30000000</v>
      </c>
      <c r="F350" s="1399">
        <f t="shared" ref="F350:F358" si="7">E350*C350</f>
        <v>150000000</v>
      </c>
      <c r="G350" s="1392"/>
    </row>
    <row r="351" spans="1:7" x14ac:dyDescent="0.25">
      <c r="A351" s="1400"/>
      <c r="B351" s="1401" t="s">
        <v>2435</v>
      </c>
      <c r="C351" s="1392">
        <v>5</v>
      </c>
      <c r="D351" s="1400" t="s">
        <v>220</v>
      </c>
      <c r="E351" s="1398">
        <v>1336000</v>
      </c>
      <c r="F351" s="1399">
        <f t="shared" si="7"/>
        <v>6680000</v>
      </c>
      <c r="G351" s="1392"/>
    </row>
    <row r="352" spans="1:7" x14ac:dyDescent="0.25">
      <c r="A352" s="1400"/>
      <c r="B352" s="1401" t="s">
        <v>2524</v>
      </c>
      <c r="C352" s="1392">
        <v>5</v>
      </c>
      <c r="D352" s="1400" t="s">
        <v>106</v>
      </c>
      <c r="E352" s="1398">
        <v>53000</v>
      </c>
      <c r="F352" s="1399">
        <f t="shared" si="7"/>
        <v>265000</v>
      </c>
      <c r="G352" s="1392"/>
    </row>
    <row r="353" spans="1:8" x14ac:dyDescent="0.25">
      <c r="A353" s="1400"/>
      <c r="B353" s="1401" t="s">
        <v>2525</v>
      </c>
      <c r="C353" s="1392">
        <v>150</v>
      </c>
      <c r="D353" s="1400" t="s">
        <v>106</v>
      </c>
      <c r="E353" s="1398">
        <v>17500</v>
      </c>
      <c r="F353" s="1399">
        <f t="shared" si="7"/>
        <v>2625000</v>
      </c>
      <c r="G353" s="1392"/>
    </row>
    <row r="354" spans="1:8" x14ac:dyDescent="0.25">
      <c r="A354" s="1400"/>
      <c r="B354" s="1401" t="s">
        <v>2529</v>
      </c>
      <c r="C354" s="1392">
        <v>25</v>
      </c>
      <c r="D354" s="1400" t="s">
        <v>1274</v>
      </c>
      <c r="E354" s="1398">
        <v>63000</v>
      </c>
      <c r="F354" s="1399">
        <f t="shared" si="7"/>
        <v>1575000</v>
      </c>
      <c r="G354" s="1392"/>
    </row>
    <row r="355" spans="1:8" x14ac:dyDescent="0.25">
      <c r="A355" s="1400"/>
      <c r="B355" s="1401" t="s">
        <v>2530</v>
      </c>
      <c r="C355" s="1392">
        <v>25</v>
      </c>
      <c r="D355" s="1400" t="s">
        <v>1274</v>
      </c>
      <c r="E355" s="1398">
        <v>63000</v>
      </c>
      <c r="F355" s="1399">
        <f t="shared" si="7"/>
        <v>1575000</v>
      </c>
      <c r="G355" s="1392"/>
    </row>
    <row r="356" spans="1:8" x14ac:dyDescent="0.25">
      <c r="A356" s="1400"/>
      <c r="B356" s="1401" t="s">
        <v>2526</v>
      </c>
      <c r="C356" s="1392">
        <v>250</v>
      </c>
      <c r="D356" s="1400" t="s">
        <v>93</v>
      </c>
      <c r="E356" s="1398">
        <v>80000</v>
      </c>
      <c r="F356" s="1399">
        <f t="shared" si="7"/>
        <v>20000000</v>
      </c>
      <c r="G356" s="1392"/>
    </row>
    <row r="357" spans="1:8" x14ac:dyDescent="0.25">
      <c r="A357" s="1396"/>
      <c r="B357" s="1401" t="s">
        <v>2527</v>
      </c>
      <c r="C357" s="1409">
        <v>5</v>
      </c>
      <c r="D357" s="1400" t="s">
        <v>312</v>
      </c>
      <c r="E357" s="1410">
        <v>95000</v>
      </c>
      <c r="F357" s="1399">
        <f t="shared" si="7"/>
        <v>475000</v>
      </c>
      <c r="G357" s="1411"/>
    </row>
    <row r="358" spans="1:8" x14ac:dyDescent="0.25">
      <c r="A358" s="1396"/>
      <c r="B358" s="1401" t="s">
        <v>2528</v>
      </c>
      <c r="C358" s="1412">
        <v>650</v>
      </c>
      <c r="D358" s="1400" t="s">
        <v>1274</v>
      </c>
      <c r="E358" s="1398">
        <v>20000</v>
      </c>
      <c r="F358" s="1399">
        <f t="shared" si="7"/>
        <v>13000000</v>
      </c>
      <c r="G358" s="1412"/>
      <c r="H358" s="992"/>
    </row>
    <row r="359" spans="1:8" x14ac:dyDescent="0.25">
      <c r="A359" s="1413"/>
      <c r="B359" s="1401" t="s">
        <v>2531</v>
      </c>
      <c r="C359" s="1412">
        <v>25</v>
      </c>
      <c r="D359" s="1400" t="s">
        <v>1423</v>
      </c>
      <c r="E359" s="1398">
        <v>54000</v>
      </c>
      <c r="F359" s="1399">
        <f>E359*C359</f>
        <v>1350000</v>
      </c>
      <c r="G359" s="1412"/>
    </row>
    <row r="360" spans="1:8" x14ac:dyDescent="0.25">
      <c r="A360" s="1413"/>
      <c r="B360" s="1401" t="s">
        <v>2532</v>
      </c>
      <c r="C360" s="1412">
        <v>20</v>
      </c>
      <c r="D360" s="1400" t="s">
        <v>116</v>
      </c>
      <c r="E360" s="1398">
        <v>45000</v>
      </c>
      <c r="F360" s="1399">
        <f>C360*E360</f>
        <v>900000</v>
      </c>
      <c r="G360" s="1412"/>
    </row>
    <row r="361" spans="1:8" x14ac:dyDescent="0.25">
      <c r="A361" s="1413"/>
      <c r="B361" s="1401" t="s">
        <v>2533</v>
      </c>
      <c r="C361" s="1412">
        <v>20</v>
      </c>
      <c r="D361" s="1400" t="s">
        <v>116</v>
      </c>
      <c r="E361" s="1398">
        <v>40000</v>
      </c>
      <c r="F361" s="1399">
        <f t="shared" ref="F361:F363" si="8">E361*C361</f>
        <v>800000</v>
      </c>
      <c r="G361" s="1412"/>
    </row>
    <row r="362" spans="1:8" x14ac:dyDescent="0.25">
      <c r="A362" s="1413"/>
      <c r="B362" s="1401" t="s">
        <v>2534</v>
      </c>
      <c r="C362" s="1412">
        <v>20</v>
      </c>
      <c r="D362" s="1400" t="s">
        <v>116</v>
      </c>
      <c r="E362" s="1398">
        <v>45000</v>
      </c>
      <c r="F362" s="1399">
        <f t="shared" si="8"/>
        <v>900000</v>
      </c>
      <c r="G362" s="1412"/>
    </row>
    <row r="363" spans="1:8" x14ac:dyDescent="0.25">
      <c r="A363" s="1413"/>
      <c r="B363" s="1401" t="s">
        <v>2535</v>
      </c>
      <c r="C363" s="1412">
        <v>5</v>
      </c>
      <c r="D363" s="1400" t="s">
        <v>110</v>
      </c>
      <c r="E363" s="1398">
        <v>45000</v>
      </c>
      <c r="F363" s="1399">
        <f t="shared" si="8"/>
        <v>225000</v>
      </c>
      <c r="G363" s="1412"/>
    </row>
    <row r="364" spans="1:8" x14ac:dyDescent="0.25">
      <c r="A364" s="1413"/>
      <c r="B364" s="2193" t="s">
        <v>26</v>
      </c>
      <c r="C364" s="2197"/>
      <c r="D364" s="2197"/>
      <c r="E364" s="2194"/>
      <c r="F364" s="1410">
        <f>SUM(F330:F363)</f>
        <v>208355000</v>
      </c>
      <c r="G364" s="1414"/>
    </row>
    <row r="365" spans="1:8" x14ac:dyDescent="0.25">
      <c r="A365" s="1969" t="s">
        <v>516</v>
      </c>
      <c r="B365" s="1969"/>
      <c r="C365" s="1259" t="s">
        <v>27</v>
      </c>
      <c r="D365" s="1970" t="s">
        <v>1224</v>
      </c>
      <c r="E365" s="1970"/>
      <c r="F365" s="1970"/>
      <c r="G365" s="1259"/>
    </row>
    <row r="366" spans="1:8" x14ac:dyDescent="0.25">
      <c r="A366" s="1969" t="s">
        <v>28</v>
      </c>
      <c r="B366" s="1969"/>
      <c r="C366" s="1259"/>
      <c r="D366" s="1971" t="s">
        <v>2443</v>
      </c>
      <c r="E366" s="1971"/>
      <c r="F366" s="1971"/>
      <c r="G366" s="1259"/>
    </row>
    <row r="367" spans="1:8" x14ac:dyDescent="0.25">
      <c r="A367" s="1261"/>
      <c r="B367" s="1262"/>
      <c r="C367" s="1259"/>
      <c r="D367" s="1260"/>
      <c r="E367" s="948"/>
      <c r="F367" s="948"/>
      <c r="G367" s="1259"/>
    </row>
    <row r="368" spans="1:8" x14ac:dyDescent="0.25">
      <c r="A368" s="1261"/>
      <c r="B368" s="1262"/>
      <c r="C368" s="1259"/>
      <c r="D368" s="1260"/>
      <c r="E368" s="948"/>
      <c r="F368" s="948"/>
      <c r="G368" s="1259"/>
    </row>
    <row r="369" spans="1:7" x14ac:dyDescent="0.25">
      <c r="A369" s="1969"/>
      <c r="B369" s="1969"/>
      <c r="C369" s="1259"/>
      <c r="D369" s="1260"/>
      <c r="E369" s="1969"/>
      <c r="F369" s="1969"/>
      <c r="G369" s="1259"/>
    </row>
    <row r="370" spans="1:7" x14ac:dyDescent="0.25">
      <c r="A370" s="1969" t="s">
        <v>29</v>
      </c>
      <c r="B370" s="1969"/>
      <c r="C370" s="1259"/>
      <c r="D370" s="1969" t="s">
        <v>517</v>
      </c>
      <c r="E370" s="1969"/>
      <c r="F370" s="1969"/>
      <c r="G370" s="1259"/>
    </row>
    <row r="371" spans="1:7" x14ac:dyDescent="0.25">
      <c r="A371" s="2165" t="s">
        <v>0</v>
      </c>
      <c r="B371" s="2165"/>
      <c r="C371" s="2165"/>
      <c r="D371" s="2165"/>
      <c r="E371" s="2165"/>
      <c r="F371" s="2165"/>
      <c r="G371" s="2165"/>
    </row>
    <row r="372" spans="1:7" x14ac:dyDescent="0.25">
      <c r="A372" s="2165" t="s">
        <v>1</v>
      </c>
      <c r="B372" s="2165"/>
      <c r="C372" s="2165"/>
      <c r="D372" s="2165"/>
      <c r="E372" s="2165"/>
      <c r="F372" s="2165"/>
      <c r="G372" s="2165"/>
    </row>
    <row r="373" spans="1:7" x14ac:dyDescent="0.25">
      <c r="A373" s="2165" t="s">
        <v>2398</v>
      </c>
      <c r="B373" s="2165"/>
      <c r="C373" s="2165"/>
      <c r="D373" s="2165"/>
      <c r="E373" s="2165"/>
      <c r="F373" s="2165"/>
      <c r="G373" s="2165"/>
    </row>
    <row r="374" spans="1:7" x14ac:dyDescent="0.25">
      <c r="A374" s="1621"/>
      <c r="B374" s="1622"/>
      <c r="C374" s="1623"/>
      <c r="D374" s="1623"/>
      <c r="E374" s="1624"/>
      <c r="F374" s="1624"/>
      <c r="G374" s="1624"/>
    </row>
    <row r="375" spans="1:7" x14ac:dyDescent="0.25">
      <c r="A375" s="1624" t="s">
        <v>1263</v>
      </c>
      <c r="B375" s="1625"/>
      <c r="C375" s="1626"/>
      <c r="D375" s="1626"/>
      <c r="E375" s="1627"/>
      <c r="F375" s="1627"/>
      <c r="G375" s="1624"/>
    </row>
    <row r="376" spans="1:7" x14ac:dyDescent="0.25">
      <c r="A376" s="1628" t="s">
        <v>659</v>
      </c>
      <c r="B376" s="864" t="s">
        <v>1646</v>
      </c>
      <c r="C376" s="1626"/>
      <c r="D376" s="1626"/>
      <c r="E376" s="1627" t="s">
        <v>1264</v>
      </c>
      <c r="F376" s="1627"/>
      <c r="G376" s="1624"/>
    </row>
    <row r="377" spans="1:7" ht="24" x14ac:dyDescent="0.25">
      <c r="A377" s="1629" t="s">
        <v>685</v>
      </c>
      <c r="B377" s="1630" t="s">
        <v>2990</v>
      </c>
      <c r="C377" s="1631"/>
      <c r="D377" s="1631"/>
      <c r="E377" s="1501" t="s">
        <v>1265</v>
      </c>
      <c r="F377" s="1627"/>
      <c r="G377" s="1628"/>
    </row>
    <row r="378" spans="1:7" x14ac:dyDescent="0.25">
      <c r="A378" s="1629" t="s">
        <v>2991</v>
      </c>
      <c r="B378" s="1630" t="s">
        <v>2992</v>
      </c>
      <c r="C378" s="1631"/>
      <c r="D378" s="1631"/>
      <c r="E378" s="1501"/>
      <c r="F378" s="1627"/>
      <c r="G378" s="1628"/>
    </row>
    <row r="379" spans="1:7" x14ac:dyDescent="0.25">
      <c r="A379" s="1632" t="s">
        <v>37</v>
      </c>
      <c r="B379" s="1633" t="s">
        <v>60</v>
      </c>
      <c r="C379" s="1631"/>
      <c r="D379" s="1631"/>
      <c r="E379" s="1632"/>
      <c r="F379" s="1624"/>
      <c r="G379" s="1624"/>
    </row>
    <row r="380" spans="1:7" x14ac:dyDescent="0.25">
      <c r="A380" s="1634" t="s">
        <v>61</v>
      </c>
      <c r="B380" s="1633" t="s">
        <v>62</v>
      </c>
      <c r="C380" s="1631"/>
      <c r="D380" s="1631"/>
      <c r="E380" s="1634"/>
      <c r="F380" s="1635"/>
      <c r="G380" s="1628"/>
    </row>
    <row r="381" spans="1:7" x14ac:dyDescent="0.25">
      <c r="A381" s="1634"/>
      <c r="B381" s="1633"/>
      <c r="C381" s="1631"/>
      <c r="D381" s="1631"/>
      <c r="E381" s="1634"/>
      <c r="F381" s="1634"/>
      <c r="G381" s="1634"/>
    </row>
    <row r="382" spans="1:7" ht="24" x14ac:dyDescent="0.25">
      <c r="A382" s="1636" t="s">
        <v>30</v>
      </c>
      <c r="B382" s="1636" t="s">
        <v>11</v>
      </c>
      <c r="C382" s="2166" t="s">
        <v>12</v>
      </c>
      <c r="D382" s="2167"/>
      <c r="E382" s="1638" t="s">
        <v>13</v>
      </c>
      <c r="F382" s="1637" t="s">
        <v>14</v>
      </c>
      <c r="G382" s="1639" t="s">
        <v>256</v>
      </c>
    </row>
    <row r="383" spans="1:7" x14ac:dyDescent="0.25">
      <c r="A383" s="1640">
        <v>1</v>
      </c>
      <c r="B383" s="1641">
        <v>2</v>
      </c>
      <c r="C383" s="2168">
        <v>3</v>
      </c>
      <c r="D383" s="2169"/>
      <c r="E383" s="1642">
        <v>4</v>
      </c>
      <c r="F383" s="1614">
        <v>5</v>
      </c>
      <c r="G383" s="1643">
        <v>7</v>
      </c>
    </row>
    <row r="384" spans="1:7" x14ac:dyDescent="0.25">
      <c r="A384" s="1644" t="s">
        <v>2976</v>
      </c>
      <c r="B384" s="1645" t="s">
        <v>1284</v>
      </c>
      <c r="C384" s="1646"/>
      <c r="D384" s="1647"/>
      <c r="E384" s="1648"/>
      <c r="F384" s="1649"/>
      <c r="G384" s="1643"/>
    </row>
    <row r="385" spans="1:11" x14ac:dyDescent="0.25">
      <c r="A385" s="1644" t="s">
        <v>2977</v>
      </c>
      <c r="B385" s="1645" t="s">
        <v>1658</v>
      </c>
      <c r="C385" s="1646"/>
      <c r="D385" s="1647"/>
      <c r="E385" s="1648"/>
      <c r="F385" s="1649"/>
      <c r="G385" s="1643"/>
    </row>
    <row r="386" spans="1:11" ht="24" x14ac:dyDescent="0.25">
      <c r="A386" s="1644" t="s">
        <v>2979</v>
      </c>
      <c r="B386" s="1645" t="s">
        <v>1279</v>
      </c>
      <c r="C386" s="1650"/>
      <c r="D386" s="1647"/>
      <c r="E386" s="1648"/>
      <c r="F386" s="1649"/>
      <c r="G386" s="1643"/>
    </row>
    <row r="387" spans="1:11" ht="15.75" thickBot="1" x14ac:dyDescent="0.3">
      <c r="A387" s="1644"/>
      <c r="B387" s="1651" t="s">
        <v>2993</v>
      </c>
      <c r="C387" s="1640">
        <v>1</v>
      </c>
      <c r="D387" s="1640" t="s">
        <v>213</v>
      </c>
      <c r="E387" s="1652">
        <v>3400000</v>
      </c>
      <c r="F387" s="1649">
        <f>E387*C387</f>
        <v>3400000</v>
      </c>
      <c r="G387" s="1643"/>
    </row>
    <row r="388" spans="1:11" ht="15.75" thickBot="1" x14ac:dyDescent="0.3">
      <c r="A388" s="1653"/>
      <c r="B388" s="2170" t="s">
        <v>515</v>
      </c>
      <c r="C388" s="2171"/>
      <c r="D388" s="2171"/>
      <c r="E388" s="2172"/>
      <c r="F388" s="1618">
        <f>SUM(F387:F387)</f>
        <v>3400000</v>
      </c>
      <c r="G388" s="1654"/>
    </row>
    <row r="389" spans="1:11" x14ac:dyDescent="0.25">
      <c r="A389" s="1644" t="s">
        <v>2980</v>
      </c>
      <c r="B389" s="1655" t="s">
        <v>1268</v>
      </c>
      <c r="C389" s="1656"/>
      <c r="D389" s="1657"/>
      <c r="E389" s="1658"/>
      <c r="F389" s="1659"/>
      <c r="G389" s="1643"/>
    </row>
    <row r="390" spans="1:11" x14ac:dyDescent="0.25">
      <c r="A390" s="1644"/>
      <c r="B390" s="1651" t="s">
        <v>1269</v>
      </c>
      <c r="C390" s="1640">
        <v>54</v>
      </c>
      <c r="D390" s="1640" t="s">
        <v>392</v>
      </c>
      <c r="E390" s="1652">
        <v>150000</v>
      </c>
      <c r="F390" s="1649">
        <f>E390*C390</f>
        <v>8100000</v>
      </c>
      <c r="G390" s="1643"/>
    </row>
    <row r="391" spans="1:11" x14ac:dyDescent="0.25">
      <c r="A391" s="1660"/>
      <c r="B391" s="1661" t="s">
        <v>1270</v>
      </c>
      <c r="C391" s="1662">
        <v>108</v>
      </c>
      <c r="D391" s="1662" t="s">
        <v>392</v>
      </c>
      <c r="E391" s="1663">
        <v>120000</v>
      </c>
      <c r="F391" s="1664">
        <f>E391*C391</f>
        <v>12960000</v>
      </c>
      <c r="G391" s="1665"/>
    </row>
    <row r="392" spans="1:11" ht="15.75" thickBot="1" x14ac:dyDescent="0.3">
      <c r="A392" s="1644"/>
      <c r="B392" s="1661" t="s">
        <v>1662</v>
      </c>
      <c r="C392" s="1666">
        <v>292</v>
      </c>
      <c r="D392" s="1666" t="s">
        <v>392</v>
      </c>
      <c r="E392" s="1663">
        <v>120000</v>
      </c>
      <c r="F392" s="1664">
        <f>E392*C392</f>
        <v>35040000</v>
      </c>
      <c r="G392" s="1643"/>
    </row>
    <row r="393" spans="1:11" ht="15.75" thickBot="1" x14ac:dyDescent="0.3">
      <c r="A393" s="1653"/>
      <c r="B393" s="2170" t="s">
        <v>515</v>
      </c>
      <c r="C393" s="2171"/>
      <c r="D393" s="2171"/>
      <c r="E393" s="2172"/>
      <c r="F393" s="1618">
        <f>SUM(F390:F392)</f>
        <v>56100000</v>
      </c>
      <c r="G393" s="1654"/>
    </row>
    <row r="394" spans="1:11" x14ac:dyDescent="0.25">
      <c r="A394" s="1644" t="s">
        <v>2983</v>
      </c>
      <c r="B394" s="1667" t="s">
        <v>1271</v>
      </c>
      <c r="C394" s="1656"/>
      <c r="D394" s="1657"/>
      <c r="E394" s="1658"/>
      <c r="F394" s="1659"/>
      <c r="G394" s="1643"/>
    </row>
    <row r="395" spans="1:11" x14ac:dyDescent="0.25">
      <c r="A395" s="1668"/>
      <c r="B395" s="1651" t="s">
        <v>1273</v>
      </c>
      <c r="C395" s="1640">
        <v>12780.600000000004</v>
      </c>
      <c r="D395" s="1640" t="s">
        <v>1274</v>
      </c>
      <c r="E395" s="1669">
        <v>3000</v>
      </c>
      <c r="F395" s="1659">
        <f>E395*C395</f>
        <v>38341800.000000015</v>
      </c>
      <c r="G395" s="1643"/>
      <c r="K395" s="139"/>
    </row>
    <row r="396" spans="1:11" x14ac:dyDescent="0.25">
      <c r="A396" s="1668"/>
      <c r="B396" s="1651" t="s">
        <v>1673</v>
      </c>
      <c r="C396" s="1640">
        <v>45.64500000000001</v>
      </c>
      <c r="D396" s="1658" t="s">
        <v>767</v>
      </c>
      <c r="E396" s="1669">
        <v>281000</v>
      </c>
      <c r="F396" s="1659">
        <f>E396*C396</f>
        <v>12826245.000000004</v>
      </c>
      <c r="G396" s="1643"/>
      <c r="K396" s="139"/>
    </row>
    <row r="397" spans="1:11" x14ac:dyDescent="0.25">
      <c r="A397" s="1668"/>
      <c r="B397" s="1651" t="s">
        <v>1272</v>
      </c>
      <c r="C397" s="1640">
        <v>45.64500000000001</v>
      </c>
      <c r="D397" s="1658" t="s">
        <v>767</v>
      </c>
      <c r="E397" s="1669">
        <v>210000</v>
      </c>
      <c r="F397" s="1659">
        <f>E397*C397</f>
        <v>9585450.0000000019</v>
      </c>
      <c r="G397" s="1643"/>
      <c r="K397" s="139"/>
    </row>
    <row r="398" spans="1:11" x14ac:dyDescent="0.25">
      <c r="A398" s="1668"/>
      <c r="B398" s="1651" t="s">
        <v>2994</v>
      </c>
      <c r="C398" s="1658">
        <v>30</v>
      </c>
      <c r="D398" s="1658" t="s">
        <v>266</v>
      </c>
      <c r="E398" s="1669">
        <v>1172000</v>
      </c>
      <c r="F398" s="1659">
        <f>E398*C398</f>
        <v>35160000</v>
      </c>
      <c r="G398" s="1643"/>
      <c r="K398" s="139"/>
    </row>
    <row r="399" spans="1:11" x14ac:dyDescent="0.25">
      <c r="A399" s="1668"/>
      <c r="B399" s="1651" t="s">
        <v>2995</v>
      </c>
      <c r="C399" s="1640">
        <v>5</v>
      </c>
      <c r="D399" s="1640" t="s">
        <v>1274</v>
      </c>
      <c r="E399" s="1652">
        <v>81000</v>
      </c>
      <c r="F399" s="1659">
        <f>E399*C399</f>
        <v>405000</v>
      </c>
      <c r="G399" s="1643"/>
      <c r="K399" s="139"/>
    </row>
    <row r="400" spans="1:11" x14ac:dyDescent="0.25">
      <c r="A400" s="1668"/>
      <c r="B400" s="1651" t="s">
        <v>2996</v>
      </c>
      <c r="C400" s="1640">
        <v>3</v>
      </c>
      <c r="D400" s="1640" t="s">
        <v>154</v>
      </c>
      <c r="E400" s="1652">
        <v>18000</v>
      </c>
      <c r="F400" s="1659">
        <f t="shared" ref="F400:F401" si="9">E400*C400</f>
        <v>54000</v>
      </c>
      <c r="G400" s="1643"/>
      <c r="K400" s="139"/>
    </row>
    <row r="401" spans="1:12" x14ac:dyDescent="0.25">
      <c r="A401" s="1668"/>
      <c r="B401" s="1651" t="s">
        <v>2997</v>
      </c>
      <c r="C401" s="1640">
        <v>1</v>
      </c>
      <c r="D401" s="1640" t="s">
        <v>767</v>
      </c>
      <c r="E401" s="1652">
        <v>2350000</v>
      </c>
      <c r="F401" s="1659">
        <f t="shared" si="9"/>
        <v>2350000</v>
      </c>
      <c r="G401" s="1643"/>
      <c r="K401" s="139"/>
    </row>
    <row r="402" spans="1:12" x14ac:dyDescent="0.25">
      <c r="A402" s="1668"/>
      <c r="B402" s="1651" t="s">
        <v>2998</v>
      </c>
      <c r="C402" s="1640">
        <v>3</v>
      </c>
      <c r="D402" s="1640" t="s">
        <v>767</v>
      </c>
      <c r="E402" s="1652">
        <v>3807000</v>
      </c>
      <c r="F402" s="1659">
        <f>E402*C402</f>
        <v>11421000</v>
      </c>
      <c r="G402" s="1643"/>
      <c r="K402" s="139"/>
    </row>
    <row r="403" spans="1:12" x14ac:dyDescent="0.25">
      <c r="A403" s="1668"/>
      <c r="B403" s="1651" t="s">
        <v>2999</v>
      </c>
      <c r="C403" s="1640">
        <v>30</v>
      </c>
      <c r="D403" s="1640" t="s">
        <v>266</v>
      </c>
      <c r="E403" s="1652">
        <v>151000</v>
      </c>
      <c r="F403" s="1659">
        <f t="shared" ref="F403:F405" si="10">E403*C403</f>
        <v>4530000</v>
      </c>
      <c r="G403" s="1643"/>
      <c r="K403" s="139"/>
    </row>
    <row r="404" spans="1:12" x14ac:dyDescent="0.25">
      <c r="A404" s="1668"/>
      <c r="B404" s="1651" t="s">
        <v>1277</v>
      </c>
      <c r="C404" s="1640">
        <v>1</v>
      </c>
      <c r="D404" s="1640" t="s">
        <v>110</v>
      </c>
      <c r="E404" s="1652">
        <v>500000</v>
      </c>
      <c r="F404" s="1659">
        <f t="shared" si="10"/>
        <v>500000</v>
      </c>
      <c r="G404" s="1643"/>
      <c r="K404" s="139"/>
    </row>
    <row r="405" spans="1:12" x14ac:dyDescent="0.25">
      <c r="A405" s="1668"/>
      <c r="B405" s="1651" t="s">
        <v>1276</v>
      </c>
      <c r="C405" s="1640">
        <v>1</v>
      </c>
      <c r="D405" s="1640" t="s">
        <v>110</v>
      </c>
      <c r="E405" s="1652">
        <v>250000</v>
      </c>
      <c r="F405" s="1659">
        <f t="shared" si="10"/>
        <v>250000</v>
      </c>
      <c r="G405" s="1643"/>
      <c r="K405" s="139"/>
    </row>
    <row r="406" spans="1:12" ht="15.75" thickBot="1" x14ac:dyDescent="0.3">
      <c r="A406" s="1670"/>
      <c r="B406" s="1671"/>
      <c r="C406" s="1672"/>
      <c r="D406" s="1673"/>
      <c r="E406" s="1674"/>
      <c r="F406" s="1664"/>
      <c r="G406" s="1643"/>
      <c r="K406" s="139"/>
    </row>
    <row r="407" spans="1:12" ht="15.75" thickBot="1" x14ac:dyDescent="0.3">
      <c r="A407" s="1656"/>
      <c r="B407" s="2173" t="s">
        <v>515</v>
      </c>
      <c r="C407" s="2174"/>
      <c r="D407" s="2174"/>
      <c r="E407" s="2175"/>
      <c r="F407" s="1618">
        <f>SUM(F395:F405)</f>
        <v>115423495.00000001</v>
      </c>
      <c r="G407" s="1675"/>
    </row>
    <row r="408" spans="1:12" ht="15.75" thickBot="1" x14ac:dyDescent="0.3">
      <c r="A408" s="1656"/>
      <c r="B408" s="2173" t="s">
        <v>26</v>
      </c>
      <c r="C408" s="2174"/>
      <c r="D408" s="2174"/>
      <c r="E408" s="2175"/>
      <c r="F408" s="1618">
        <f>F393+F407+F388</f>
        <v>174923495</v>
      </c>
      <c r="G408" s="1675" t="s">
        <v>1220</v>
      </c>
      <c r="H408" s="5"/>
      <c r="K408" s="139">
        <f>F408</f>
        <v>174923495</v>
      </c>
      <c r="L408" s="139"/>
    </row>
    <row r="409" spans="1:12" x14ac:dyDescent="0.25">
      <c r="A409" s="1926" t="s">
        <v>516</v>
      </c>
      <c r="B409" s="1926"/>
      <c r="C409" s="152" t="s">
        <v>27</v>
      </c>
      <c r="D409" s="1926" t="s">
        <v>3654</v>
      </c>
      <c r="E409" s="1926"/>
      <c r="F409" s="1926"/>
      <c r="G409" s="152"/>
    </row>
    <row r="410" spans="1:12" x14ac:dyDescent="0.25">
      <c r="A410" s="1926" t="s">
        <v>28</v>
      </c>
      <c r="B410" s="1926"/>
      <c r="C410" s="152"/>
      <c r="D410" s="1927" t="s">
        <v>3565</v>
      </c>
      <c r="E410" s="1927"/>
      <c r="F410" s="1927"/>
      <c r="G410" s="152"/>
    </row>
    <row r="411" spans="1:12" x14ac:dyDescent="0.25">
      <c r="A411" s="150"/>
      <c r="B411" s="151"/>
      <c r="C411" s="152"/>
      <c r="D411" s="153"/>
      <c r="E411" s="1770"/>
      <c r="F411" s="182"/>
      <c r="G411" s="152"/>
    </row>
    <row r="412" spans="1:12" x14ac:dyDescent="0.25">
      <c r="A412" s="150"/>
      <c r="B412" s="151"/>
      <c r="C412" s="152"/>
      <c r="D412" s="153"/>
      <c r="E412" s="1770"/>
      <c r="F412" s="182"/>
      <c r="G412" s="152"/>
    </row>
    <row r="413" spans="1:12" x14ac:dyDescent="0.25">
      <c r="A413" s="1926"/>
      <c r="B413" s="1926"/>
      <c r="C413" s="152"/>
      <c r="D413" s="153"/>
      <c r="E413" s="1926"/>
      <c r="F413" s="1926"/>
      <c r="G413" s="152"/>
    </row>
    <row r="414" spans="1:12" x14ac:dyDescent="0.25">
      <c r="A414" s="1926" t="s">
        <v>29</v>
      </c>
      <c r="B414" s="1926"/>
      <c r="C414" s="152"/>
      <c r="D414" s="1926" t="s">
        <v>3564</v>
      </c>
      <c r="E414" s="1926"/>
      <c r="F414" s="1926"/>
      <c r="G414" s="152"/>
    </row>
    <row r="415" spans="1:12" x14ac:dyDescent="0.25">
      <c r="A415" s="1532"/>
      <c r="B415" s="1676"/>
      <c r="C415" s="1676"/>
      <c r="D415" s="1676"/>
      <c r="E415" s="1676"/>
      <c r="F415" s="1677"/>
      <c r="G415" s="1678"/>
      <c r="H415" s="5"/>
      <c r="L415" s="139"/>
    </row>
    <row r="416" spans="1:12" x14ac:dyDescent="0.25">
      <c r="A416" s="1532"/>
      <c r="B416" s="1676"/>
      <c r="C416" s="1676"/>
      <c r="D416" s="1676"/>
      <c r="E416" s="1676"/>
      <c r="F416" s="1677"/>
      <c r="G416" s="1678"/>
      <c r="H416" s="5"/>
      <c r="L416" s="139"/>
    </row>
    <row r="417" spans="1:12" x14ac:dyDescent="0.25">
      <c r="A417" s="1532"/>
      <c r="B417" s="1676"/>
      <c r="C417" s="1676"/>
      <c r="D417" s="1676"/>
      <c r="E417" s="1676"/>
      <c r="F417" s="1677"/>
      <c r="G417" s="1678"/>
      <c r="H417" s="5"/>
      <c r="L417" s="139"/>
    </row>
    <row r="418" spans="1:12" x14ac:dyDescent="0.25">
      <c r="A418" s="1532"/>
      <c r="B418" s="1676"/>
      <c r="C418" s="1676"/>
      <c r="D418" s="1676"/>
      <c r="E418" s="1676"/>
      <c r="F418" s="1677"/>
      <c r="G418" s="1678"/>
      <c r="H418" s="5"/>
      <c r="L418" s="139"/>
    </row>
    <row r="419" spans="1:12" x14ac:dyDescent="0.25">
      <c r="A419" s="1532"/>
      <c r="B419" s="1676"/>
      <c r="C419" s="1676"/>
      <c r="D419" s="1676"/>
      <c r="E419" s="1676"/>
      <c r="F419" s="1677"/>
      <c r="G419" s="1678"/>
      <c r="H419" s="5"/>
      <c r="L419" s="139"/>
    </row>
    <row r="420" spans="1:12" x14ac:dyDescent="0.25">
      <c r="A420" s="2010" t="s">
        <v>0</v>
      </c>
      <c r="B420" s="2010"/>
      <c r="C420" s="2010"/>
      <c r="D420" s="2010"/>
      <c r="E420" s="2010"/>
      <c r="F420" s="2010"/>
      <c r="G420" s="2010"/>
    </row>
    <row r="421" spans="1:12" x14ac:dyDescent="0.25">
      <c r="A421" s="2010" t="s">
        <v>1</v>
      </c>
      <c r="B421" s="2010"/>
      <c r="C421" s="2010"/>
      <c r="D421" s="2010"/>
      <c r="E421" s="2010"/>
      <c r="F421" s="2010"/>
      <c r="G421" s="2010"/>
    </row>
    <row r="422" spans="1:12" x14ac:dyDescent="0.25">
      <c r="A422" s="2010" t="s">
        <v>2398</v>
      </c>
      <c r="B422" s="2010"/>
      <c r="C422" s="2010"/>
      <c r="D422" s="2010"/>
      <c r="E422" s="2010"/>
      <c r="F422" s="2010"/>
      <c r="G422" s="2010"/>
    </row>
    <row r="423" spans="1:12" x14ac:dyDescent="0.25">
      <c r="A423" s="1209"/>
      <c r="B423" s="1210"/>
      <c r="C423" s="1211"/>
      <c r="D423" s="1211"/>
      <c r="E423" s="1212"/>
      <c r="F423" s="1212"/>
      <c r="G423" s="1212"/>
    </row>
    <row r="424" spans="1:12" x14ac:dyDescent="0.25">
      <c r="A424" s="1212" t="s">
        <v>1263</v>
      </c>
      <c r="B424" s="1213"/>
      <c r="C424" s="1214"/>
      <c r="D424" s="1214"/>
      <c r="E424" s="1215"/>
      <c r="F424" s="1215"/>
      <c r="G424" s="1212"/>
    </row>
    <row r="425" spans="1:12" x14ac:dyDescent="0.25">
      <c r="A425" s="1426" t="s">
        <v>659</v>
      </c>
      <c r="B425" s="1305" t="s">
        <v>1646</v>
      </c>
      <c r="C425" s="1214"/>
      <c r="D425" s="1214"/>
      <c r="E425" s="1215" t="s">
        <v>1264</v>
      </c>
      <c r="F425" s="1215"/>
      <c r="G425" s="1212"/>
    </row>
    <row r="426" spans="1:12" ht="45" x14ac:dyDescent="0.25">
      <c r="A426" s="1218" t="s">
        <v>685</v>
      </c>
      <c r="B426" s="1219" t="s">
        <v>2974</v>
      </c>
      <c r="C426" s="1214"/>
      <c r="D426" s="1214"/>
      <c r="E426" s="1215" t="s">
        <v>1265</v>
      </c>
      <c r="F426" s="1215"/>
      <c r="G426" s="1216"/>
    </row>
    <row r="427" spans="1:12" x14ac:dyDescent="0.25">
      <c r="A427" s="1218" t="s">
        <v>1266</v>
      </c>
      <c r="B427" s="1219" t="s">
        <v>2975</v>
      </c>
      <c r="C427" s="1214"/>
      <c r="D427" s="1214"/>
      <c r="E427" s="1215"/>
      <c r="F427" s="1215"/>
      <c r="G427" s="1216"/>
    </row>
    <row r="428" spans="1:12" x14ac:dyDescent="0.25">
      <c r="A428" s="1212" t="s">
        <v>1267</v>
      </c>
      <c r="B428" s="1213" t="s">
        <v>60</v>
      </c>
      <c r="C428" s="1214"/>
      <c r="D428" s="1214"/>
      <c r="E428" s="1212"/>
      <c r="F428" s="1212"/>
      <c r="G428" s="1212"/>
    </row>
    <row r="429" spans="1:12" x14ac:dyDescent="0.25">
      <c r="A429" s="1216" t="s">
        <v>61</v>
      </c>
      <c r="B429" s="1217" t="s">
        <v>62</v>
      </c>
      <c r="C429" s="1214"/>
      <c r="D429" s="1214"/>
      <c r="E429" s="1216"/>
      <c r="F429" s="1216"/>
      <c r="G429" s="1216"/>
    </row>
    <row r="430" spans="1:12" x14ac:dyDescent="0.25">
      <c r="A430" s="1220"/>
      <c r="B430" s="1221"/>
      <c r="C430" s="1222"/>
      <c r="D430" s="1222"/>
      <c r="E430" s="1220"/>
      <c r="F430" s="1220"/>
      <c r="G430" s="1220"/>
    </row>
    <row r="431" spans="1:12" ht="24" x14ac:dyDescent="0.25">
      <c r="A431" s="1223" t="s">
        <v>30</v>
      </c>
      <c r="B431" s="1223" t="s">
        <v>11</v>
      </c>
      <c r="C431" s="2011" t="s">
        <v>12</v>
      </c>
      <c r="D431" s="2012"/>
      <c r="E431" s="1225" t="s">
        <v>13</v>
      </c>
      <c r="F431" s="1224" t="s">
        <v>14</v>
      </c>
      <c r="G431" s="1226" t="s">
        <v>256</v>
      </c>
    </row>
    <row r="432" spans="1:12" x14ac:dyDescent="0.25">
      <c r="A432" s="1227">
        <v>1</v>
      </c>
      <c r="B432" s="1228">
        <v>2</v>
      </c>
      <c r="C432" s="2013">
        <v>3</v>
      </c>
      <c r="D432" s="2014"/>
      <c r="E432" s="1231">
        <v>4</v>
      </c>
      <c r="F432" s="1229">
        <v>5</v>
      </c>
      <c r="G432" s="1232">
        <v>7</v>
      </c>
    </row>
    <row r="433" spans="1:12" x14ac:dyDescent="0.25">
      <c r="A433" s="1233" t="s">
        <v>2976</v>
      </c>
      <c r="B433" s="1234" t="s">
        <v>1284</v>
      </c>
      <c r="C433" s="1235"/>
      <c r="D433" s="1236"/>
      <c r="E433" s="1237"/>
      <c r="F433" s="1238"/>
      <c r="G433" s="1232"/>
    </row>
    <row r="434" spans="1:12" x14ac:dyDescent="0.25">
      <c r="A434" s="1233" t="s">
        <v>2977</v>
      </c>
      <c r="B434" s="1234" t="s">
        <v>2978</v>
      </c>
      <c r="C434" s="1235"/>
      <c r="D434" s="1236"/>
      <c r="E434" s="1237"/>
      <c r="F434" s="1238"/>
      <c r="G434" s="1232"/>
    </row>
    <row r="435" spans="1:12" ht="24" x14ac:dyDescent="0.25">
      <c r="A435" s="1233" t="s">
        <v>2979</v>
      </c>
      <c r="B435" s="1234" t="s">
        <v>1279</v>
      </c>
      <c r="C435" s="1239"/>
      <c r="D435" s="1236"/>
      <c r="E435" s="1237"/>
      <c r="F435" s="1238"/>
      <c r="G435" s="1232"/>
    </row>
    <row r="436" spans="1:12" ht="15.75" thickBot="1" x14ac:dyDescent="0.3">
      <c r="A436" s="1240" t="s">
        <v>407</v>
      </c>
      <c r="B436" s="1241" t="s">
        <v>1660</v>
      </c>
      <c r="C436" s="1239">
        <v>1</v>
      </c>
      <c r="D436" s="1236" t="s">
        <v>213</v>
      </c>
      <c r="E436" s="1237">
        <v>83200</v>
      </c>
      <c r="F436" s="1238">
        <f>E436*C436</f>
        <v>83200</v>
      </c>
      <c r="G436" s="1232"/>
    </row>
    <row r="437" spans="1:12" ht="15.75" thickBot="1" x14ac:dyDescent="0.3">
      <c r="A437" s="1242"/>
      <c r="B437" s="2015" t="s">
        <v>515</v>
      </c>
      <c r="C437" s="2016"/>
      <c r="D437" s="2016"/>
      <c r="E437" s="2017"/>
      <c r="F437" s="1243">
        <f>SUM(F436:F436)</f>
        <v>83200</v>
      </c>
      <c r="G437" s="1232"/>
    </row>
    <row r="438" spans="1:12" x14ac:dyDescent="0.25">
      <c r="A438" s="1233" t="s">
        <v>2980</v>
      </c>
      <c r="B438" s="1244" t="s">
        <v>1268</v>
      </c>
      <c r="C438" s="1245"/>
      <c r="D438" s="1246"/>
      <c r="E438" s="1242"/>
      <c r="F438" s="1247"/>
      <c r="G438" s="1232"/>
    </row>
    <row r="439" spans="1:12" ht="15.75" thickBot="1" x14ac:dyDescent="0.3">
      <c r="A439" s="1233"/>
      <c r="B439" s="1248" t="s">
        <v>1270</v>
      </c>
      <c r="C439" s="1249">
        <v>3</v>
      </c>
      <c r="D439" s="1250" t="s">
        <v>392</v>
      </c>
      <c r="E439" s="1251">
        <v>120000</v>
      </c>
      <c r="F439" s="1252">
        <f>E439*C439</f>
        <v>360000</v>
      </c>
      <c r="G439" s="1232"/>
    </row>
    <row r="440" spans="1:12" ht="15.75" thickBot="1" x14ac:dyDescent="0.3">
      <c r="A440" s="1253"/>
      <c r="B440" s="2018" t="s">
        <v>515</v>
      </c>
      <c r="C440" s="2019"/>
      <c r="D440" s="2019"/>
      <c r="E440" s="2020"/>
      <c r="F440" s="1243">
        <f>SUM(F439:F439)</f>
        <v>360000</v>
      </c>
      <c r="G440" s="1254"/>
    </row>
    <row r="441" spans="1:12" ht="15.75" thickBot="1" x14ac:dyDescent="0.3">
      <c r="A441" s="1240"/>
      <c r="B441" s="1255"/>
      <c r="C441" s="1256"/>
      <c r="D441" s="1257"/>
      <c r="E441" s="1258"/>
      <c r="F441" s="1252"/>
      <c r="G441" s="1232"/>
    </row>
    <row r="442" spans="1:12" ht="15.75" thickBot="1" x14ac:dyDescent="0.3">
      <c r="A442" s="1245"/>
      <c r="B442" s="2015" t="s">
        <v>26</v>
      </c>
      <c r="C442" s="2016"/>
      <c r="D442" s="2016"/>
      <c r="E442" s="2017"/>
      <c r="F442" s="1243">
        <f>F440+F437</f>
        <v>443200</v>
      </c>
      <c r="G442" s="1254"/>
      <c r="L442" s="139"/>
    </row>
    <row r="443" spans="1:12" x14ac:dyDescent="0.25">
      <c r="A443" s="96"/>
      <c r="B443" s="96"/>
      <c r="C443" s="96"/>
      <c r="D443" s="96"/>
      <c r="E443" s="96"/>
      <c r="F443" s="96"/>
      <c r="G443" s="96"/>
    </row>
    <row r="444" spans="1:12" x14ac:dyDescent="0.25">
      <c r="A444" s="96"/>
      <c r="B444" s="96"/>
      <c r="C444" s="96"/>
      <c r="D444" s="96"/>
      <c r="E444" s="96"/>
      <c r="F444" s="96"/>
      <c r="G444" s="96"/>
    </row>
    <row r="445" spans="1:12" x14ac:dyDescent="0.25">
      <c r="A445" s="2010" t="s">
        <v>0</v>
      </c>
      <c r="B445" s="2010"/>
      <c r="C445" s="2010"/>
      <c r="D445" s="2010"/>
      <c r="E445" s="2010"/>
      <c r="F445" s="2010"/>
      <c r="G445" s="2010"/>
    </row>
    <row r="446" spans="1:12" x14ac:dyDescent="0.25">
      <c r="A446" s="2010" t="s">
        <v>1</v>
      </c>
      <c r="B446" s="2010"/>
      <c r="C446" s="2010"/>
      <c r="D446" s="2010"/>
      <c r="E446" s="2010"/>
      <c r="F446" s="2010"/>
      <c r="G446" s="2010"/>
    </row>
    <row r="447" spans="1:12" x14ac:dyDescent="0.25">
      <c r="A447" s="2010" t="s">
        <v>2398</v>
      </c>
      <c r="B447" s="2010"/>
      <c r="C447" s="2010"/>
      <c r="D447" s="2010"/>
      <c r="E447" s="2010"/>
      <c r="F447" s="2010"/>
      <c r="G447" s="2010"/>
    </row>
    <row r="448" spans="1:12" x14ac:dyDescent="0.25">
      <c r="A448" s="1209"/>
      <c r="B448" s="1210"/>
      <c r="C448" s="1211"/>
      <c r="D448" s="1211"/>
      <c r="E448" s="1212"/>
      <c r="F448" s="1212"/>
      <c r="G448" s="1212"/>
    </row>
    <row r="449" spans="1:7" x14ac:dyDescent="0.25">
      <c r="A449" s="1212" t="s">
        <v>1263</v>
      </c>
      <c r="B449" s="1213"/>
      <c r="C449" s="1214"/>
      <c r="D449" s="1214"/>
      <c r="E449" s="1215"/>
      <c r="F449" s="1215"/>
      <c r="G449" s="1212"/>
    </row>
    <row r="450" spans="1:7" x14ac:dyDescent="0.25">
      <c r="A450" s="1216" t="s">
        <v>659</v>
      </c>
      <c r="B450" s="1305" t="s">
        <v>1646</v>
      </c>
      <c r="C450" s="1214"/>
      <c r="D450" s="1214"/>
      <c r="E450" s="1215" t="s">
        <v>1264</v>
      </c>
      <c r="F450" s="1215"/>
      <c r="G450" s="1212"/>
    </row>
    <row r="451" spans="1:7" ht="45" x14ac:dyDescent="0.25">
      <c r="A451" s="1218" t="s">
        <v>685</v>
      </c>
      <c r="B451" s="1219" t="s">
        <v>2974</v>
      </c>
      <c r="C451" s="1214"/>
      <c r="D451" s="1214"/>
      <c r="E451" s="1215" t="s">
        <v>1265</v>
      </c>
      <c r="F451" s="1215"/>
      <c r="G451" s="1216"/>
    </row>
    <row r="452" spans="1:7" x14ac:dyDescent="0.25">
      <c r="A452" s="1218" t="s">
        <v>1266</v>
      </c>
      <c r="B452" s="1219" t="s">
        <v>2981</v>
      </c>
      <c r="C452" s="1214"/>
      <c r="D452" s="1214"/>
      <c r="E452" s="1215"/>
      <c r="F452" s="1215"/>
      <c r="G452" s="1216"/>
    </row>
    <row r="453" spans="1:7" x14ac:dyDescent="0.25">
      <c r="A453" s="1212" t="s">
        <v>1267</v>
      </c>
      <c r="B453" s="1213" t="s">
        <v>60</v>
      </c>
      <c r="C453" s="1214"/>
      <c r="D453" s="1214"/>
      <c r="E453" s="1212"/>
      <c r="F453" s="1212"/>
      <c r="G453" s="1212"/>
    </row>
    <row r="454" spans="1:7" x14ac:dyDescent="0.25">
      <c r="A454" s="1216" t="s">
        <v>61</v>
      </c>
      <c r="B454" s="1217" t="s">
        <v>62</v>
      </c>
      <c r="C454" s="1214"/>
      <c r="D454" s="1214"/>
      <c r="E454" s="1216"/>
      <c r="F454" s="1216"/>
      <c r="G454" s="1216"/>
    </row>
    <row r="455" spans="1:7" x14ac:dyDescent="0.25">
      <c r="A455" s="1220"/>
      <c r="B455" s="1221"/>
      <c r="C455" s="1222"/>
      <c r="D455" s="1222"/>
      <c r="E455" s="1220"/>
      <c r="F455" s="1220"/>
      <c r="G455" s="1220"/>
    </row>
    <row r="456" spans="1:7" ht="24" x14ac:dyDescent="0.25">
      <c r="A456" s="1223" t="s">
        <v>30</v>
      </c>
      <c r="B456" s="1223" t="s">
        <v>11</v>
      </c>
      <c r="C456" s="2011" t="s">
        <v>12</v>
      </c>
      <c r="D456" s="2012"/>
      <c r="E456" s="1225" t="s">
        <v>13</v>
      </c>
      <c r="F456" s="1224" t="s">
        <v>14</v>
      </c>
      <c r="G456" s="1226" t="s">
        <v>256</v>
      </c>
    </row>
    <row r="457" spans="1:7" x14ac:dyDescent="0.25">
      <c r="A457" s="1227">
        <v>1</v>
      </c>
      <c r="B457" s="1228">
        <v>2</v>
      </c>
      <c r="C457" s="2013">
        <v>3</v>
      </c>
      <c r="D457" s="2014"/>
      <c r="E457" s="1231">
        <v>4</v>
      </c>
      <c r="F457" s="1229">
        <v>5</v>
      </c>
      <c r="G457" s="1232">
        <v>7</v>
      </c>
    </row>
    <row r="458" spans="1:7" x14ac:dyDescent="0.25">
      <c r="A458" s="1233" t="s">
        <v>2976</v>
      </c>
      <c r="B458" s="1234" t="s">
        <v>1284</v>
      </c>
      <c r="C458" s="1235"/>
      <c r="D458" s="1236"/>
      <c r="E458" s="1237"/>
      <c r="F458" s="1238"/>
      <c r="G458" s="1232"/>
    </row>
    <row r="459" spans="1:7" x14ac:dyDescent="0.25">
      <c r="A459" s="1233" t="s">
        <v>2977</v>
      </c>
      <c r="B459" s="1234" t="s">
        <v>2978</v>
      </c>
      <c r="C459" s="1235"/>
      <c r="D459" s="1236"/>
      <c r="E459" s="1237"/>
      <c r="F459" s="1238"/>
      <c r="G459" s="1232"/>
    </row>
    <row r="460" spans="1:7" ht="24" x14ac:dyDescent="0.25">
      <c r="A460" s="1233" t="s">
        <v>2979</v>
      </c>
      <c r="B460" s="1234" t="s">
        <v>1279</v>
      </c>
      <c r="C460" s="1239"/>
      <c r="D460" s="1236"/>
      <c r="E460" s="1237"/>
      <c r="F460" s="1238"/>
      <c r="G460" s="1232"/>
    </row>
    <row r="461" spans="1:7" ht="15.75" thickBot="1" x14ac:dyDescent="0.3">
      <c r="A461" s="1240"/>
      <c r="B461" s="1241" t="s">
        <v>1660</v>
      </c>
      <c r="C461" s="1239">
        <v>1</v>
      </c>
      <c r="D461" s="1236" t="s">
        <v>444</v>
      </c>
      <c r="E461" s="1237">
        <v>335400</v>
      </c>
      <c r="F461" s="1238">
        <f>E461*C461</f>
        <v>335400</v>
      </c>
      <c r="G461" s="1232"/>
    </row>
    <row r="462" spans="1:7" ht="15.75" thickBot="1" x14ac:dyDescent="0.3">
      <c r="A462" s="1242"/>
      <c r="B462" s="2015" t="s">
        <v>515</v>
      </c>
      <c r="C462" s="2016"/>
      <c r="D462" s="2016"/>
      <c r="E462" s="2017"/>
      <c r="F462" s="1243">
        <f>SUM(F461:F461)</f>
        <v>335400</v>
      </c>
      <c r="G462" s="1232"/>
    </row>
    <row r="463" spans="1:7" x14ac:dyDescent="0.25">
      <c r="A463" s="1233" t="s">
        <v>2980</v>
      </c>
      <c r="B463" s="1244" t="s">
        <v>1268</v>
      </c>
      <c r="C463" s="1245"/>
      <c r="D463" s="1246"/>
      <c r="E463" s="1242"/>
      <c r="F463" s="1247"/>
      <c r="G463" s="1232"/>
    </row>
    <row r="464" spans="1:7" x14ac:dyDescent="0.25">
      <c r="A464" s="1315"/>
      <c r="B464" s="1248" t="s">
        <v>1270</v>
      </c>
      <c r="C464" s="1249">
        <v>52</v>
      </c>
      <c r="D464" s="1250" t="s">
        <v>392</v>
      </c>
      <c r="E464" s="1251">
        <v>120000</v>
      </c>
      <c r="F464" s="1252">
        <f>E464*C464</f>
        <v>6240000</v>
      </c>
      <c r="G464" s="1316"/>
    </row>
    <row r="465" spans="1:12" x14ac:dyDescent="0.25">
      <c r="A465" s="1233"/>
      <c r="B465" s="1379"/>
      <c r="C465" s="1227"/>
      <c r="D465" s="1227"/>
      <c r="E465" s="1264"/>
      <c r="F465" s="1237"/>
      <c r="G465" s="1232"/>
    </row>
    <row r="466" spans="1:12" ht="15.75" thickBot="1" x14ac:dyDescent="0.3">
      <c r="A466" s="1253"/>
      <c r="B466" s="2021" t="s">
        <v>515</v>
      </c>
      <c r="C466" s="2022"/>
      <c r="D466" s="2022"/>
      <c r="E466" s="2023"/>
      <c r="F466" s="1427">
        <f>SUM(F464:F464)</f>
        <v>6240000</v>
      </c>
      <c r="G466" s="1318"/>
    </row>
    <row r="467" spans="1:12" ht="15.75" thickBot="1" x14ac:dyDescent="0.3">
      <c r="A467" s="1245"/>
      <c r="B467" s="2015" t="s">
        <v>26</v>
      </c>
      <c r="C467" s="2016"/>
      <c r="D467" s="2016"/>
      <c r="E467" s="2017"/>
      <c r="F467" s="1243">
        <f>F466+F462</f>
        <v>6575400</v>
      </c>
      <c r="G467" s="1254"/>
      <c r="L467" s="139"/>
    </row>
    <row r="468" spans="1:12" x14ac:dyDescent="0.25">
      <c r="A468" s="96"/>
      <c r="B468" s="96"/>
      <c r="C468" s="96"/>
      <c r="D468" s="96"/>
      <c r="E468" s="96"/>
      <c r="F468" s="96"/>
      <c r="G468" s="96"/>
    </row>
    <row r="469" spans="1:12" x14ac:dyDescent="0.25">
      <c r="A469" s="96"/>
      <c r="B469" s="96"/>
      <c r="C469" s="96"/>
      <c r="D469" s="96"/>
      <c r="E469" s="96"/>
      <c r="F469" s="96"/>
      <c r="G469" s="96"/>
    </row>
    <row r="470" spans="1:12" x14ac:dyDescent="0.25">
      <c r="A470" s="96"/>
      <c r="B470" s="96"/>
      <c r="C470" s="96"/>
      <c r="D470" s="96"/>
      <c r="E470" s="96"/>
      <c r="F470" s="96"/>
      <c r="G470" s="96"/>
    </row>
    <row r="471" spans="1:12" x14ac:dyDescent="0.25">
      <c r="A471" s="2010" t="s">
        <v>0</v>
      </c>
      <c r="B471" s="2010"/>
      <c r="C471" s="2010"/>
      <c r="D471" s="2010"/>
      <c r="E471" s="2010"/>
      <c r="F471" s="2010"/>
      <c r="G471" s="2010"/>
    </row>
    <row r="472" spans="1:12" x14ac:dyDescent="0.25">
      <c r="A472" s="2010" t="s">
        <v>1</v>
      </c>
      <c r="B472" s="2010"/>
      <c r="C472" s="2010"/>
      <c r="D472" s="2010"/>
      <c r="E472" s="2010"/>
      <c r="F472" s="2010"/>
      <c r="G472" s="2010"/>
    </row>
    <row r="473" spans="1:12" x14ac:dyDescent="0.25">
      <c r="A473" s="2010" t="s">
        <v>2398</v>
      </c>
      <c r="B473" s="2010"/>
      <c r="C473" s="2010"/>
      <c r="D473" s="2010"/>
      <c r="E473" s="2010"/>
      <c r="F473" s="2010"/>
      <c r="G473" s="2010"/>
    </row>
    <row r="474" spans="1:12" x14ac:dyDescent="0.25">
      <c r="A474" s="1209"/>
      <c r="B474" s="1210"/>
      <c r="C474" s="1211"/>
      <c r="D474" s="1211"/>
      <c r="E474" s="1212"/>
      <c r="F474" s="1212"/>
      <c r="G474" s="1212"/>
    </row>
    <row r="475" spans="1:12" x14ac:dyDescent="0.25">
      <c r="A475" s="1212" t="s">
        <v>1263</v>
      </c>
      <c r="B475" s="1213"/>
      <c r="C475" s="1214"/>
      <c r="D475" s="1214"/>
      <c r="E475" s="1215"/>
      <c r="F475" s="1215"/>
      <c r="G475" s="1212"/>
    </row>
    <row r="476" spans="1:12" x14ac:dyDescent="0.25">
      <c r="A476" s="1216" t="s">
        <v>659</v>
      </c>
      <c r="B476" s="1305" t="s">
        <v>1646</v>
      </c>
      <c r="C476" s="1214"/>
      <c r="D476" s="1214"/>
      <c r="E476" s="1215" t="s">
        <v>1264</v>
      </c>
      <c r="F476" s="1215"/>
      <c r="G476" s="1212"/>
    </row>
    <row r="477" spans="1:12" ht="45" x14ac:dyDescent="0.25">
      <c r="A477" s="1218" t="s">
        <v>685</v>
      </c>
      <c r="B477" s="1219" t="s">
        <v>2974</v>
      </c>
      <c r="C477" s="1214"/>
      <c r="D477" s="1214"/>
      <c r="E477" s="1215" t="s">
        <v>1265</v>
      </c>
      <c r="F477" s="1215"/>
      <c r="G477" s="1216"/>
    </row>
    <row r="478" spans="1:12" x14ac:dyDescent="0.25">
      <c r="A478" s="1218" t="s">
        <v>1266</v>
      </c>
      <c r="B478" s="1219" t="s">
        <v>2982</v>
      </c>
      <c r="C478" s="1214"/>
      <c r="D478" s="1214"/>
      <c r="E478" s="1215"/>
      <c r="F478" s="1215"/>
      <c r="G478" s="1216"/>
    </row>
    <row r="479" spans="1:12" x14ac:dyDescent="0.25">
      <c r="A479" s="1212" t="s">
        <v>1267</v>
      </c>
      <c r="B479" s="1213" t="s">
        <v>60</v>
      </c>
      <c r="C479" s="1214"/>
      <c r="D479" s="1214"/>
      <c r="E479" s="1212"/>
      <c r="F479" s="1212"/>
      <c r="G479" s="1212"/>
    </row>
    <row r="480" spans="1:12" x14ac:dyDescent="0.25">
      <c r="A480" s="1216" t="s">
        <v>61</v>
      </c>
      <c r="B480" s="1217" t="s">
        <v>62</v>
      </c>
      <c r="C480" s="1214"/>
      <c r="D480" s="1214"/>
      <c r="E480" s="1216"/>
      <c r="F480" s="1216"/>
      <c r="G480" s="1216"/>
    </row>
    <row r="481" spans="1:7" x14ac:dyDescent="0.25">
      <c r="A481" s="1220"/>
      <c r="B481" s="1221"/>
      <c r="C481" s="1222"/>
      <c r="D481" s="1222"/>
      <c r="E481" s="1220"/>
      <c r="F481" s="1220"/>
      <c r="G481" s="1220"/>
    </row>
    <row r="482" spans="1:7" ht="24" x14ac:dyDescent="0.25">
      <c r="A482" s="1223" t="s">
        <v>30</v>
      </c>
      <c r="B482" s="1223" t="s">
        <v>11</v>
      </c>
      <c r="C482" s="2011" t="s">
        <v>12</v>
      </c>
      <c r="D482" s="2012"/>
      <c r="E482" s="1225" t="s">
        <v>13</v>
      </c>
      <c r="F482" s="1224" t="s">
        <v>14</v>
      </c>
      <c r="G482" s="1226" t="s">
        <v>256</v>
      </c>
    </row>
    <row r="483" spans="1:7" x14ac:dyDescent="0.25">
      <c r="A483" s="1227">
        <v>1</v>
      </c>
      <c r="B483" s="1228">
        <v>2</v>
      </c>
      <c r="C483" s="2013">
        <v>3</v>
      </c>
      <c r="D483" s="2014"/>
      <c r="E483" s="1231">
        <v>4</v>
      </c>
      <c r="F483" s="1229">
        <v>5</v>
      </c>
      <c r="G483" s="1232">
        <v>7</v>
      </c>
    </row>
    <row r="484" spans="1:7" x14ac:dyDescent="0.25">
      <c r="A484" s="1233" t="s">
        <v>2976</v>
      </c>
      <c r="B484" s="1234" t="s">
        <v>1284</v>
      </c>
      <c r="C484" s="1235"/>
      <c r="D484" s="1236"/>
      <c r="E484" s="1237"/>
      <c r="F484" s="1238"/>
      <c r="G484" s="1232"/>
    </row>
    <row r="485" spans="1:7" x14ac:dyDescent="0.25">
      <c r="A485" s="1233" t="s">
        <v>2977</v>
      </c>
      <c r="B485" s="1234" t="s">
        <v>2978</v>
      </c>
      <c r="C485" s="1235"/>
      <c r="D485" s="1236"/>
      <c r="E485" s="1237"/>
      <c r="F485" s="1238"/>
      <c r="G485" s="1232"/>
    </row>
    <row r="486" spans="1:7" ht="24" x14ac:dyDescent="0.25">
      <c r="A486" s="1233" t="s">
        <v>2979</v>
      </c>
      <c r="B486" s="1234" t="s">
        <v>1279</v>
      </c>
      <c r="C486" s="1239"/>
      <c r="D486" s="1236"/>
      <c r="E486" s="1237"/>
      <c r="F486" s="1238"/>
      <c r="G486" s="1232"/>
    </row>
    <row r="487" spans="1:7" ht="15.75" thickBot="1" x14ac:dyDescent="0.3">
      <c r="A487" s="1240"/>
      <c r="B487" s="1241" t="s">
        <v>1660</v>
      </c>
      <c r="C487" s="1239">
        <v>1</v>
      </c>
      <c r="D487" s="1236" t="s">
        <v>444</v>
      </c>
      <c r="E487" s="923">
        <v>177420</v>
      </c>
      <c r="F487" s="1238">
        <f>E487*C487</f>
        <v>177420</v>
      </c>
      <c r="G487" s="1232"/>
    </row>
    <row r="488" spans="1:7" ht="15.75" thickBot="1" x14ac:dyDescent="0.3">
      <c r="A488" s="1242"/>
      <c r="B488" s="2015" t="s">
        <v>515</v>
      </c>
      <c r="C488" s="2016"/>
      <c r="D488" s="2016"/>
      <c r="E488" s="2017"/>
      <c r="F488" s="1243">
        <f>SUM(F487:F487)</f>
        <v>177420</v>
      </c>
      <c r="G488" s="1232"/>
    </row>
    <row r="489" spans="1:7" x14ac:dyDescent="0.25">
      <c r="A489" s="1233" t="s">
        <v>2980</v>
      </c>
      <c r="B489" s="1244" t="s">
        <v>1268</v>
      </c>
      <c r="C489" s="1245"/>
      <c r="D489" s="1246"/>
      <c r="E489" s="1242"/>
      <c r="F489" s="1247"/>
      <c r="G489" s="1232"/>
    </row>
    <row r="490" spans="1:7" x14ac:dyDescent="0.25">
      <c r="A490" s="1315"/>
      <c r="B490" s="1248" t="s">
        <v>1269</v>
      </c>
      <c r="C490" s="1249">
        <v>8</v>
      </c>
      <c r="D490" s="1250" t="s">
        <v>392</v>
      </c>
      <c r="E490" s="1251">
        <v>130000</v>
      </c>
      <c r="F490" s="1252">
        <f>E490*C490</f>
        <v>1040000</v>
      </c>
      <c r="G490" s="1316"/>
    </row>
    <row r="491" spans="1:7" x14ac:dyDescent="0.25">
      <c r="A491" s="1315"/>
      <c r="B491" s="1248" t="s">
        <v>1270</v>
      </c>
      <c r="C491" s="1249">
        <v>16</v>
      </c>
      <c r="D491" s="1250" t="s">
        <v>392</v>
      </c>
      <c r="E491" s="1251">
        <v>120000</v>
      </c>
      <c r="F491" s="1252">
        <f>E491*C491</f>
        <v>1920000</v>
      </c>
      <c r="G491" s="1316"/>
    </row>
    <row r="492" spans="1:7" ht="15.75" thickBot="1" x14ac:dyDescent="0.3">
      <c r="A492" s="1233"/>
      <c r="B492" s="1248" t="s">
        <v>1667</v>
      </c>
      <c r="C492" s="1317">
        <v>29</v>
      </c>
      <c r="D492" s="1317" t="s">
        <v>392</v>
      </c>
      <c r="E492" s="1251">
        <v>120000</v>
      </c>
      <c r="F492" s="1252">
        <f>E492*C492</f>
        <v>3480000</v>
      </c>
      <c r="G492" s="1316"/>
    </row>
    <row r="493" spans="1:7" ht="15.75" thickBot="1" x14ac:dyDescent="0.3">
      <c r="A493" s="1242"/>
      <c r="B493" s="2015" t="s">
        <v>515</v>
      </c>
      <c r="C493" s="2016"/>
      <c r="D493" s="2016"/>
      <c r="E493" s="2017"/>
      <c r="F493" s="1243">
        <f>SUM(F490:F492)</f>
        <v>6440000</v>
      </c>
      <c r="G493" s="1254"/>
    </row>
    <row r="494" spans="1:7" x14ac:dyDescent="0.25">
      <c r="A494" s="1233"/>
      <c r="B494" s="1428"/>
      <c r="C494" s="1242"/>
      <c r="D494" s="1242"/>
      <c r="E494" s="1313"/>
      <c r="F494" s="1429"/>
      <c r="G494" s="1232"/>
    </row>
    <row r="495" spans="1:7" x14ac:dyDescent="0.25">
      <c r="A495" s="1233" t="s">
        <v>2983</v>
      </c>
      <c r="B495" s="1265" t="s">
        <v>1271</v>
      </c>
      <c r="C495" s="1245"/>
      <c r="D495" s="1246"/>
      <c r="E495" s="1242"/>
      <c r="F495" s="1247"/>
      <c r="G495" s="1232"/>
    </row>
    <row r="496" spans="1:7" x14ac:dyDescent="0.25">
      <c r="A496" s="1266"/>
      <c r="B496" s="1430" t="s">
        <v>2984</v>
      </c>
      <c r="C496" s="1431">
        <v>35</v>
      </c>
      <c r="D496" s="1246" t="s">
        <v>767</v>
      </c>
      <c r="E496" s="1313">
        <v>381000</v>
      </c>
      <c r="F496" s="1247">
        <f>E496*C496</f>
        <v>13335000</v>
      </c>
      <c r="G496" s="1232"/>
    </row>
    <row r="497" spans="1:12" ht="15.75" thickBot="1" x14ac:dyDescent="0.3">
      <c r="A497" s="1266"/>
      <c r="B497" s="1432" t="s">
        <v>1280</v>
      </c>
      <c r="C497" s="1431">
        <v>13</v>
      </c>
      <c r="D497" s="1246" t="s">
        <v>767</v>
      </c>
      <c r="E497" s="1313">
        <v>187000</v>
      </c>
      <c r="F497" s="1247">
        <f>E497*C497</f>
        <v>2431000</v>
      </c>
      <c r="G497" s="1232"/>
    </row>
    <row r="498" spans="1:12" ht="15.75" thickBot="1" x14ac:dyDescent="0.3">
      <c r="A498" s="1242"/>
      <c r="B498" s="2015" t="s">
        <v>515</v>
      </c>
      <c r="C498" s="2016"/>
      <c r="D498" s="2016"/>
      <c r="E498" s="2017"/>
      <c r="F498" s="1243">
        <f>SUM(F497:F497)</f>
        <v>2431000</v>
      </c>
      <c r="G498" s="1232"/>
    </row>
    <row r="499" spans="1:12" ht="17.25" thickBot="1" x14ac:dyDescent="0.3">
      <c r="A499" s="1266"/>
      <c r="B499" s="1433"/>
      <c r="C499" s="1245"/>
      <c r="D499" s="1246"/>
      <c r="E499" s="1313"/>
      <c r="F499" s="1247"/>
      <c r="G499" s="1232"/>
    </row>
    <row r="500" spans="1:12" ht="15.75" thickBot="1" x14ac:dyDescent="0.3">
      <c r="A500" s="1245"/>
      <c r="B500" s="2015"/>
      <c r="C500" s="2016"/>
      <c r="D500" s="2016"/>
      <c r="E500" s="2017"/>
      <c r="F500" s="1243"/>
      <c r="G500" s="1254"/>
    </row>
    <row r="501" spans="1:12" ht="15.75" thickBot="1" x14ac:dyDescent="0.3">
      <c r="A501" s="1245"/>
      <c r="B501" s="2015" t="s">
        <v>26</v>
      </c>
      <c r="C501" s="2016"/>
      <c r="D501" s="2016"/>
      <c r="E501" s="2017"/>
      <c r="F501" s="1243">
        <f>F488+F493+F498</f>
        <v>9048420</v>
      </c>
      <c r="G501" s="1254"/>
      <c r="L501" s="139"/>
    </row>
    <row r="502" spans="1:12" x14ac:dyDescent="0.25">
      <c r="A502" s="96"/>
      <c r="B502" s="96"/>
      <c r="C502" s="96"/>
      <c r="D502" s="96"/>
      <c r="E502" s="96"/>
      <c r="F502" s="96"/>
      <c r="G502" s="96"/>
    </row>
    <row r="503" spans="1:12" x14ac:dyDescent="0.25">
      <c r="A503" s="96"/>
      <c r="B503" s="96"/>
      <c r="C503" s="96"/>
      <c r="D503" s="96"/>
      <c r="E503" s="96"/>
      <c r="F503" s="96"/>
      <c r="G503" s="96"/>
    </row>
    <row r="504" spans="1:12" x14ac:dyDescent="0.25">
      <c r="A504" s="96"/>
      <c r="B504" s="96"/>
      <c r="C504" s="96"/>
      <c r="D504" s="96"/>
      <c r="E504" s="96"/>
      <c r="F504" s="96"/>
      <c r="G504" s="96"/>
    </row>
    <row r="505" spans="1:12" s="393" customFormat="1" ht="12" x14ac:dyDescent="0.2">
      <c r="A505" s="2010" t="s">
        <v>0</v>
      </c>
      <c r="B505" s="2010"/>
      <c r="C505" s="2010"/>
      <c r="D505" s="2010"/>
      <c r="E505" s="2010"/>
      <c r="F505" s="2010"/>
      <c r="G505" s="2010"/>
    </row>
    <row r="506" spans="1:12" s="393" customFormat="1" ht="12" x14ac:dyDescent="0.2">
      <c r="A506" s="2010" t="s">
        <v>1</v>
      </c>
      <c r="B506" s="2010"/>
      <c r="C506" s="2010"/>
      <c r="D506" s="2010"/>
      <c r="E506" s="2010"/>
      <c r="F506" s="2010"/>
      <c r="G506" s="2010"/>
    </row>
    <row r="507" spans="1:12" s="393" customFormat="1" ht="12" x14ac:dyDescent="0.2">
      <c r="A507" s="2010" t="s">
        <v>2398</v>
      </c>
      <c r="B507" s="2010"/>
      <c r="C507" s="2010"/>
      <c r="D507" s="2010"/>
      <c r="E507" s="2010"/>
      <c r="F507" s="2010"/>
      <c r="G507" s="2010"/>
    </row>
    <row r="508" spans="1:12" s="393" customFormat="1" ht="12" x14ac:dyDescent="0.2">
      <c r="A508" s="1209"/>
      <c r="B508" s="1210"/>
      <c r="C508" s="1211"/>
      <c r="D508" s="1211"/>
      <c r="E508" s="1212"/>
      <c r="F508" s="1212"/>
      <c r="G508" s="1212"/>
    </row>
    <row r="509" spans="1:12" s="393" customFormat="1" ht="12" x14ac:dyDescent="0.2">
      <c r="A509" s="1212" t="s">
        <v>1263</v>
      </c>
      <c r="B509" s="1213"/>
      <c r="C509" s="1214"/>
      <c r="D509" s="1214"/>
      <c r="E509" s="1215"/>
      <c r="F509" s="1215"/>
      <c r="G509" s="1212"/>
    </row>
    <row r="510" spans="1:12" s="393" customFormat="1" x14ac:dyDescent="0.25">
      <c r="A510" s="1216" t="s">
        <v>659</v>
      </c>
      <c r="B510" s="1305" t="s">
        <v>1646</v>
      </c>
      <c r="C510" s="1214"/>
      <c r="D510" s="1214"/>
      <c r="E510" s="1215" t="s">
        <v>1264</v>
      </c>
      <c r="F510" s="1215"/>
      <c r="G510" s="1212"/>
    </row>
    <row r="511" spans="1:12" s="393" customFormat="1" ht="45" x14ac:dyDescent="0.2">
      <c r="A511" s="1218" t="s">
        <v>685</v>
      </c>
      <c r="B511" s="1219" t="s">
        <v>2974</v>
      </c>
      <c r="C511" s="1214"/>
      <c r="D511" s="1214"/>
      <c r="E511" s="1215" t="s">
        <v>1265</v>
      </c>
      <c r="F511" s="1215"/>
      <c r="G511" s="1216"/>
    </row>
    <row r="512" spans="1:12" s="393" customFormat="1" x14ac:dyDescent="0.2">
      <c r="A512" s="1218" t="s">
        <v>1266</v>
      </c>
      <c r="B512" s="1219" t="s">
        <v>2985</v>
      </c>
      <c r="C512" s="1214"/>
      <c r="D512" s="1214"/>
      <c r="E512" s="1215"/>
      <c r="F512" s="1215"/>
      <c r="G512" s="1216"/>
    </row>
    <row r="513" spans="1:7" s="393" customFormat="1" ht="12" x14ac:dyDescent="0.2">
      <c r="A513" s="1212" t="s">
        <v>1267</v>
      </c>
      <c r="B513" s="1213" t="s">
        <v>60</v>
      </c>
      <c r="C513" s="1214"/>
      <c r="D513" s="1214"/>
      <c r="E513" s="1212"/>
      <c r="F513" s="1212"/>
      <c r="G513" s="1212"/>
    </row>
    <row r="514" spans="1:7" s="393" customFormat="1" ht="12" x14ac:dyDescent="0.2">
      <c r="A514" s="1216" t="s">
        <v>61</v>
      </c>
      <c r="B514" s="1217" t="s">
        <v>62</v>
      </c>
      <c r="C514" s="1214"/>
      <c r="D514" s="1214"/>
      <c r="E514" s="1216"/>
      <c r="F514" s="1216"/>
      <c r="G514" s="1216"/>
    </row>
    <row r="515" spans="1:7" s="393" customFormat="1" ht="12" x14ac:dyDescent="0.2">
      <c r="A515" s="1220"/>
      <c r="B515" s="1221"/>
      <c r="C515" s="1222"/>
      <c r="D515" s="1222"/>
      <c r="E515" s="1220"/>
      <c r="F515" s="1220"/>
      <c r="G515" s="1220"/>
    </row>
    <row r="516" spans="1:7" s="393" customFormat="1" ht="24" x14ac:dyDescent="0.2">
      <c r="A516" s="1223" t="s">
        <v>30</v>
      </c>
      <c r="B516" s="1223" t="s">
        <v>11</v>
      </c>
      <c r="C516" s="2011" t="s">
        <v>12</v>
      </c>
      <c r="D516" s="2012"/>
      <c r="E516" s="1225" t="s">
        <v>13</v>
      </c>
      <c r="F516" s="1224" t="s">
        <v>14</v>
      </c>
      <c r="G516" s="1226" t="s">
        <v>256</v>
      </c>
    </row>
    <row r="517" spans="1:7" s="393" customFormat="1" ht="12" x14ac:dyDescent="0.2">
      <c r="A517" s="1227">
        <v>1</v>
      </c>
      <c r="B517" s="1228">
        <v>2</v>
      </c>
      <c r="C517" s="2013">
        <v>3</v>
      </c>
      <c r="D517" s="2014"/>
      <c r="E517" s="1231">
        <v>4</v>
      </c>
      <c r="F517" s="1229">
        <v>5</v>
      </c>
      <c r="G517" s="1232">
        <v>7</v>
      </c>
    </row>
    <row r="518" spans="1:7" s="393" customFormat="1" ht="12" x14ac:dyDescent="0.2">
      <c r="A518" s="1233" t="s">
        <v>2976</v>
      </c>
      <c r="B518" s="1234" t="s">
        <v>1284</v>
      </c>
      <c r="C518" s="1235"/>
      <c r="D518" s="1236"/>
      <c r="E518" s="1237"/>
      <c r="F518" s="1238"/>
      <c r="G518" s="1232"/>
    </row>
    <row r="519" spans="1:7" s="393" customFormat="1" ht="12" x14ac:dyDescent="0.2">
      <c r="A519" s="1233" t="s">
        <v>2977</v>
      </c>
      <c r="B519" s="1234" t="s">
        <v>2978</v>
      </c>
      <c r="C519" s="1235"/>
      <c r="D519" s="1236"/>
      <c r="E519" s="1237"/>
      <c r="F519" s="1238"/>
      <c r="G519" s="1232"/>
    </row>
    <row r="520" spans="1:7" s="393" customFormat="1" ht="24" x14ac:dyDescent="0.2">
      <c r="A520" s="1233" t="s">
        <v>2979</v>
      </c>
      <c r="B520" s="1234" t="s">
        <v>1279</v>
      </c>
      <c r="C520" s="1239"/>
      <c r="D520" s="1236"/>
      <c r="E520" s="1237"/>
      <c r="F520" s="1238"/>
      <c r="G520" s="1232"/>
    </row>
    <row r="521" spans="1:7" s="393" customFormat="1" ht="12.75" thickBot="1" x14ac:dyDescent="0.25">
      <c r="A521" s="1240"/>
      <c r="B521" s="1241" t="s">
        <v>1660</v>
      </c>
      <c r="C521" s="1239">
        <v>1</v>
      </c>
      <c r="D521" s="1236" t="s">
        <v>213</v>
      </c>
      <c r="E521" s="1237">
        <v>640960</v>
      </c>
      <c r="F521" s="1238">
        <f>E521*C521</f>
        <v>640960</v>
      </c>
      <c r="G521" s="1232"/>
    </row>
    <row r="522" spans="1:7" s="393" customFormat="1" ht="12.75" thickBot="1" x14ac:dyDescent="0.25">
      <c r="A522" s="1242"/>
      <c r="B522" s="2015" t="s">
        <v>515</v>
      </c>
      <c r="C522" s="2016"/>
      <c r="D522" s="2016"/>
      <c r="E522" s="2017"/>
      <c r="F522" s="1243">
        <f>SUM(F521:F521)</f>
        <v>640960</v>
      </c>
      <c r="G522" s="1232"/>
    </row>
    <row r="523" spans="1:7" s="393" customFormat="1" ht="12" x14ac:dyDescent="0.2">
      <c r="A523" s="1233" t="s">
        <v>2980</v>
      </c>
      <c r="B523" s="1244" t="s">
        <v>1268</v>
      </c>
      <c r="C523" s="1245"/>
      <c r="D523" s="1246"/>
      <c r="E523" s="1242"/>
      <c r="F523" s="1247"/>
      <c r="G523" s="1232"/>
    </row>
    <row r="524" spans="1:7" s="393" customFormat="1" ht="12" x14ac:dyDescent="0.2">
      <c r="A524" s="1233"/>
      <c r="B524" s="1263" t="s">
        <v>1269</v>
      </c>
      <c r="C524" s="1229">
        <v>9</v>
      </c>
      <c r="D524" s="1230" t="s">
        <v>392</v>
      </c>
      <c r="E524" s="1264">
        <v>150000</v>
      </c>
      <c r="F524" s="1238">
        <f>E524*C524</f>
        <v>1350000</v>
      </c>
      <c r="G524" s="1232"/>
    </row>
    <row r="525" spans="1:7" s="393" customFormat="1" ht="12" x14ac:dyDescent="0.2">
      <c r="A525" s="1315"/>
      <c r="B525" s="1248" t="s">
        <v>1270</v>
      </c>
      <c r="C525" s="1249">
        <v>18</v>
      </c>
      <c r="D525" s="1250" t="s">
        <v>392</v>
      </c>
      <c r="E525" s="1251">
        <v>120000</v>
      </c>
      <c r="F525" s="1252">
        <f>E525*C525</f>
        <v>2160000</v>
      </c>
      <c r="G525" s="1232"/>
    </row>
    <row r="526" spans="1:7" s="393" customFormat="1" ht="12.75" thickBot="1" x14ac:dyDescent="0.25">
      <c r="A526" s="1233"/>
      <c r="B526" s="1248" t="s">
        <v>1662</v>
      </c>
      <c r="C526" s="1317">
        <v>2</v>
      </c>
      <c r="D526" s="1317" t="s">
        <v>392</v>
      </c>
      <c r="E526" s="1251">
        <v>120000</v>
      </c>
      <c r="F526" s="1258">
        <f>E526*C526</f>
        <v>240000</v>
      </c>
      <c r="G526" s="1254"/>
    </row>
    <row r="527" spans="1:7" s="393" customFormat="1" ht="12.75" thickBot="1" x14ac:dyDescent="0.25">
      <c r="A527" s="1253"/>
      <c r="B527" s="2018" t="s">
        <v>515</v>
      </c>
      <c r="C527" s="2019"/>
      <c r="D527" s="2019"/>
      <c r="E527" s="2037"/>
      <c r="F527" s="1434">
        <f>SUM(F524:F526)</f>
        <v>3750000</v>
      </c>
      <c r="G527" s="1254"/>
    </row>
    <row r="528" spans="1:7" s="393" customFormat="1" ht="12" x14ac:dyDescent="0.2">
      <c r="A528" s="1233" t="s">
        <v>2983</v>
      </c>
      <c r="B528" s="1265" t="s">
        <v>1271</v>
      </c>
      <c r="C528" s="1245"/>
      <c r="D528" s="1246"/>
      <c r="E528" s="1242"/>
      <c r="F528" s="1247"/>
      <c r="G528" s="1232"/>
    </row>
    <row r="529" spans="1:12" s="393" customFormat="1" ht="16.5" x14ac:dyDescent="0.25">
      <c r="A529" s="1266"/>
      <c r="B529" s="1311" t="s">
        <v>1677</v>
      </c>
      <c r="C529" s="96">
        <v>21</v>
      </c>
      <c r="D529" s="1246" t="s">
        <v>266</v>
      </c>
      <c r="E529" s="1313">
        <v>1172000</v>
      </c>
      <c r="F529" s="1247">
        <f>E529*C529</f>
        <v>24612000</v>
      </c>
      <c r="G529" s="1232"/>
    </row>
    <row r="530" spans="1:12" s="393" customFormat="1" ht="17.25" thickBot="1" x14ac:dyDescent="0.3">
      <c r="A530" s="1266"/>
      <c r="B530" s="1314" t="s">
        <v>1678</v>
      </c>
      <c r="C530" s="96">
        <v>31</v>
      </c>
      <c r="D530" s="1246" t="s">
        <v>1274</v>
      </c>
      <c r="E530" s="1313">
        <v>61000</v>
      </c>
      <c r="F530" s="1247">
        <f>E530*C530</f>
        <v>1891000</v>
      </c>
      <c r="G530" s="1232"/>
    </row>
    <row r="531" spans="1:12" s="393" customFormat="1" ht="12.75" thickBot="1" x14ac:dyDescent="0.25">
      <c r="A531" s="1245"/>
      <c r="B531" s="2015" t="s">
        <v>515</v>
      </c>
      <c r="C531" s="2016"/>
      <c r="D531" s="2016"/>
      <c r="E531" s="2017"/>
      <c r="F531" s="1243">
        <f>SUM(F529:F530)</f>
        <v>26503000</v>
      </c>
      <c r="G531" s="1254"/>
    </row>
    <row r="532" spans="1:12" s="393" customFormat="1" ht="12.75" thickBot="1" x14ac:dyDescent="0.25">
      <c r="A532" s="1245"/>
      <c r="B532" s="2015" t="s">
        <v>26</v>
      </c>
      <c r="C532" s="2016"/>
      <c r="D532" s="2016"/>
      <c r="E532" s="2017"/>
      <c r="F532" s="1243">
        <f>F531+F527+F522</f>
        <v>30893960</v>
      </c>
      <c r="G532" s="1254"/>
      <c r="L532" s="1151"/>
    </row>
    <row r="533" spans="1:12" s="393" customFormat="1" ht="12" x14ac:dyDescent="0.2">
      <c r="A533" s="1926"/>
      <c r="B533" s="1926"/>
      <c r="C533" s="152"/>
      <c r="D533" s="1952"/>
      <c r="E533" s="1952"/>
      <c r="F533" s="1952"/>
      <c r="G533" s="152"/>
    </row>
    <row r="534" spans="1:12" s="393" customFormat="1" ht="12" x14ac:dyDescent="0.2">
      <c r="A534" s="1926"/>
      <c r="B534" s="1926"/>
      <c r="C534" s="152"/>
      <c r="D534" s="1927"/>
      <c r="E534" s="1927"/>
      <c r="F534" s="1927"/>
      <c r="G534" s="152"/>
    </row>
    <row r="535" spans="1:12" s="393" customFormat="1" ht="12" x14ac:dyDescent="0.2">
      <c r="A535" s="150"/>
      <c r="B535" s="151"/>
      <c r="C535" s="152"/>
      <c r="D535" s="153"/>
      <c r="E535" s="182"/>
      <c r="F535" s="182"/>
      <c r="G535" s="152"/>
    </row>
    <row r="538" spans="1:12" ht="16.5" x14ac:dyDescent="0.25">
      <c r="A538" s="2010" t="s">
        <v>0</v>
      </c>
      <c r="B538" s="2010"/>
      <c r="C538" s="2010"/>
      <c r="D538" s="2010"/>
      <c r="E538" s="2010"/>
      <c r="F538" s="2010"/>
      <c r="G538" s="2010"/>
      <c r="H538" s="1053"/>
    </row>
    <row r="539" spans="1:12" ht="16.5" x14ac:dyDescent="0.25">
      <c r="A539" s="2010" t="s">
        <v>1</v>
      </c>
      <c r="B539" s="2010"/>
      <c r="C539" s="2010"/>
      <c r="D539" s="2010"/>
      <c r="E539" s="2010"/>
      <c r="F539" s="2010"/>
      <c r="G539" s="2010"/>
      <c r="H539" s="1053"/>
    </row>
    <row r="540" spans="1:12" ht="16.5" x14ac:dyDescent="0.25">
      <c r="A540" s="2010" t="s">
        <v>2398</v>
      </c>
      <c r="B540" s="2010"/>
      <c r="C540" s="2010"/>
      <c r="D540" s="2010"/>
      <c r="E540" s="2010"/>
      <c r="F540" s="2010"/>
      <c r="G540" s="2010"/>
      <c r="H540" s="1054"/>
    </row>
    <row r="541" spans="1:12" ht="16.5" x14ac:dyDescent="0.25">
      <c r="A541" s="1209"/>
      <c r="B541" s="1210"/>
      <c r="C541" s="1211"/>
      <c r="D541" s="1211"/>
      <c r="E541" s="1212"/>
      <c r="F541" s="1212"/>
      <c r="G541" s="1212"/>
      <c r="H541" s="1054"/>
    </row>
    <row r="542" spans="1:12" ht="16.5" x14ac:dyDescent="0.25">
      <c r="A542" s="1212" t="s">
        <v>1263</v>
      </c>
      <c r="B542" s="1213"/>
      <c r="C542" s="1214"/>
      <c r="D542" s="1214"/>
      <c r="E542" s="1215"/>
      <c r="F542" s="1215"/>
      <c r="G542" s="1212"/>
      <c r="H542" s="1054"/>
    </row>
    <row r="543" spans="1:12" ht="16.5" x14ac:dyDescent="0.25">
      <c r="A543" s="1216" t="s">
        <v>659</v>
      </c>
      <c r="B543" s="1305" t="s">
        <v>1646</v>
      </c>
      <c r="C543" s="1214"/>
      <c r="D543" s="1214"/>
      <c r="E543" s="1215" t="s">
        <v>1264</v>
      </c>
      <c r="F543" s="1215"/>
      <c r="G543" s="1212"/>
      <c r="H543" s="1054"/>
    </row>
    <row r="544" spans="1:12" ht="45" x14ac:dyDescent="0.25">
      <c r="A544" s="1218" t="s">
        <v>685</v>
      </c>
      <c r="B544" s="1219" t="s">
        <v>2974</v>
      </c>
      <c r="C544" s="1214"/>
      <c r="D544" s="1214"/>
      <c r="E544" s="1215" t="s">
        <v>1265</v>
      </c>
      <c r="F544" s="1215"/>
      <c r="G544" s="1216"/>
      <c r="H544" s="1055"/>
    </row>
    <row r="545" spans="1:8" ht="30" x14ac:dyDescent="0.25">
      <c r="A545" s="1218" t="s">
        <v>1266</v>
      </c>
      <c r="B545" s="1219" t="s">
        <v>2986</v>
      </c>
      <c r="C545" s="1214"/>
      <c r="D545" s="1214"/>
      <c r="E545" s="1215"/>
      <c r="F545" s="1215"/>
      <c r="G545" s="1216"/>
      <c r="H545" s="1053"/>
    </row>
    <row r="546" spans="1:8" ht="16.5" x14ac:dyDescent="0.25">
      <c r="A546" s="1212" t="s">
        <v>1267</v>
      </c>
      <c r="B546" s="1213" t="s">
        <v>60</v>
      </c>
      <c r="C546" s="1214"/>
      <c r="D546" s="1214"/>
      <c r="E546" s="1212"/>
      <c r="F546" s="1212"/>
      <c r="G546" s="1212"/>
      <c r="H546" s="1054"/>
    </row>
    <row r="547" spans="1:8" ht="16.5" x14ac:dyDescent="0.25">
      <c r="A547" s="1216" t="s">
        <v>61</v>
      </c>
      <c r="B547" s="1217" t="s">
        <v>62</v>
      </c>
      <c r="C547" s="1214"/>
      <c r="D547" s="1214"/>
      <c r="E547" s="1216"/>
      <c r="F547" s="1216"/>
      <c r="G547" s="1216"/>
      <c r="H547" s="1054"/>
    </row>
    <row r="548" spans="1:8" ht="16.5" x14ac:dyDescent="0.25">
      <c r="A548" s="1220"/>
      <c r="B548" s="1221"/>
      <c r="C548" s="1222"/>
      <c r="D548" s="1222"/>
      <c r="E548" s="1220"/>
      <c r="F548" s="1220"/>
      <c r="G548" s="1220"/>
      <c r="H548" s="1056"/>
    </row>
    <row r="549" spans="1:8" ht="24" x14ac:dyDescent="0.25">
      <c r="A549" s="1223" t="s">
        <v>30</v>
      </c>
      <c r="B549" s="1223" t="s">
        <v>11</v>
      </c>
      <c r="C549" s="2011" t="s">
        <v>12</v>
      </c>
      <c r="D549" s="2012"/>
      <c r="E549" s="1225" t="s">
        <v>13</v>
      </c>
      <c r="F549" s="1224" t="s">
        <v>14</v>
      </c>
      <c r="G549" s="1306" t="s">
        <v>256</v>
      </c>
    </row>
    <row r="550" spans="1:8" ht="16.5" x14ac:dyDescent="0.25">
      <c r="A550" s="1227">
        <v>1</v>
      </c>
      <c r="B550" s="1228">
        <v>2</v>
      </c>
      <c r="C550" s="2013">
        <v>3</v>
      </c>
      <c r="D550" s="2014"/>
      <c r="E550" s="1231">
        <v>4</v>
      </c>
      <c r="F550" s="1229">
        <v>5</v>
      </c>
      <c r="G550" s="1307">
        <v>7</v>
      </c>
      <c r="H550" s="1053"/>
    </row>
    <row r="551" spans="1:8" ht="16.5" x14ac:dyDescent="0.25">
      <c r="A551" s="1233" t="s">
        <v>2976</v>
      </c>
      <c r="B551" s="1234" t="s">
        <v>1284</v>
      </c>
      <c r="C551" s="1235"/>
      <c r="D551" s="1236"/>
      <c r="E551" s="1237"/>
      <c r="F551" s="1238"/>
      <c r="G551" s="1307"/>
      <c r="H551" s="1053"/>
    </row>
    <row r="552" spans="1:8" ht="16.5" x14ac:dyDescent="0.25">
      <c r="A552" s="1233" t="s">
        <v>2977</v>
      </c>
      <c r="B552" s="1234" t="s">
        <v>2978</v>
      </c>
      <c r="C552" s="1235"/>
      <c r="D552" s="1236"/>
      <c r="E552" s="1237"/>
      <c r="F552" s="1238"/>
      <c r="G552" s="1307"/>
      <c r="H552" s="1053"/>
    </row>
    <row r="553" spans="1:8" ht="24" x14ac:dyDescent="0.25">
      <c r="A553" s="1233" t="s">
        <v>2979</v>
      </c>
      <c r="B553" s="1234" t="s">
        <v>1279</v>
      </c>
      <c r="C553" s="1239"/>
      <c r="D553" s="1236"/>
      <c r="E553" s="1237"/>
      <c r="F553" s="1238"/>
      <c r="G553" s="1307"/>
      <c r="H553" s="1053"/>
    </row>
    <row r="554" spans="1:8" ht="17.25" thickBot="1" x14ac:dyDescent="0.3">
      <c r="A554" s="1240"/>
      <c r="B554" s="1241" t="s">
        <v>1660</v>
      </c>
      <c r="C554" s="1239">
        <v>1</v>
      </c>
      <c r="D554" s="1236" t="s">
        <v>213</v>
      </c>
      <c r="E554" s="1237">
        <v>688200</v>
      </c>
      <c r="F554" s="1238">
        <f>E554*C554</f>
        <v>688200</v>
      </c>
      <c r="G554" s="1307"/>
      <c r="H554" s="1053"/>
    </row>
    <row r="555" spans="1:8" ht="17.25" thickBot="1" x14ac:dyDescent="0.3">
      <c r="A555" s="1242"/>
      <c r="B555" s="2015" t="s">
        <v>515</v>
      </c>
      <c r="C555" s="2016"/>
      <c r="D555" s="2016"/>
      <c r="E555" s="2017"/>
      <c r="F555" s="1243">
        <f>SUM(F554:F554)</f>
        <v>688200</v>
      </c>
      <c r="G555" s="1307"/>
      <c r="H555" s="1054"/>
    </row>
    <row r="556" spans="1:8" ht="16.5" x14ac:dyDescent="0.25">
      <c r="A556" s="1233" t="s">
        <v>2980</v>
      </c>
      <c r="B556" s="1244" t="s">
        <v>1268</v>
      </c>
      <c r="C556" s="1245"/>
      <c r="D556" s="1246"/>
      <c r="E556" s="1242"/>
      <c r="F556" s="1247"/>
      <c r="G556" s="1307"/>
      <c r="H556" s="1054"/>
    </row>
    <row r="557" spans="1:8" ht="16.5" x14ac:dyDescent="0.25">
      <c r="A557" s="1233"/>
      <c r="B557" s="1263" t="s">
        <v>1269</v>
      </c>
      <c r="C557" s="1229">
        <v>7</v>
      </c>
      <c r="D557" s="1230" t="s">
        <v>392</v>
      </c>
      <c r="E557" s="1264">
        <v>150000</v>
      </c>
      <c r="F557" s="1238">
        <f>E557*C557</f>
        <v>1050000</v>
      </c>
      <c r="G557" s="1307"/>
      <c r="H557" s="1055"/>
    </row>
    <row r="558" spans="1:8" ht="16.5" x14ac:dyDescent="0.25">
      <c r="A558" s="1233"/>
      <c r="B558" s="1248" t="s">
        <v>1270</v>
      </c>
      <c r="C558" s="1249">
        <v>14</v>
      </c>
      <c r="D558" s="1250" t="s">
        <v>392</v>
      </c>
      <c r="E558" s="1251">
        <v>120000</v>
      </c>
      <c r="F558" s="1252">
        <f>E558*C558</f>
        <v>1680000</v>
      </c>
      <c r="G558" s="1307"/>
      <c r="H558" s="1053"/>
    </row>
    <row r="559" spans="1:8" ht="17.25" thickBot="1" x14ac:dyDescent="0.3">
      <c r="A559" s="1253"/>
      <c r="B559" s="1308" t="s">
        <v>1662</v>
      </c>
      <c r="C559" s="1260">
        <v>4</v>
      </c>
      <c r="D559" s="1260" t="s">
        <v>392</v>
      </c>
      <c r="E559" s="1309">
        <v>120000</v>
      </c>
      <c r="F559" s="1252">
        <f>E559*C559</f>
        <v>480000</v>
      </c>
      <c r="G559" s="1310"/>
      <c r="H559" s="1053"/>
    </row>
    <row r="560" spans="1:8" ht="17.25" thickBot="1" x14ac:dyDescent="0.3">
      <c r="A560" s="1253"/>
      <c r="B560" s="2018" t="s">
        <v>515</v>
      </c>
      <c r="C560" s="2019"/>
      <c r="D560" s="2019"/>
      <c r="E560" s="2020"/>
      <c r="F560" s="1243">
        <f>SUM(F557:F559)</f>
        <v>3210000</v>
      </c>
      <c r="G560" s="1310"/>
      <c r="H560" s="1054"/>
    </row>
    <row r="561" spans="1:12" ht="16.5" x14ac:dyDescent="0.25">
      <c r="A561" s="1233" t="s">
        <v>2983</v>
      </c>
      <c r="B561" s="1265" t="s">
        <v>1271</v>
      </c>
      <c r="C561" s="1245"/>
      <c r="D561" s="1246"/>
      <c r="E561" s="1242"/>
      <c r="F561" s="1247"/>
      <c r="G561" s="1307"/>
      <c r="H561" s="1054"/>
    </row>
    <row r="562" spans="1:12" ht="16.5" x14ac:dyDescent="0.25">
      <c r="A562" s="1266"/>
      <c r="B562" s="1311" t="s">
        <v>1674</v>
      </c>
      <c r="C562" s="96">
        <v>6</v>
      </c>
      <c r="D562" s="1312" t="s">
        <v>767</v>
      </c>
      <c r="E562" s="1313">
        <v>3807000</v>
      </c>
      <c r="F562" s="1247">
        <f t="shared" ref="F562:F565" si="11">E562*C562</f>
        <v>22842000</v>
      </c>
      <c r="G562" s="1307"/>
      <c r="H562" s="1054"/>
    </row>
    <row r="563" spans="1:12" ht="16.5" x14ac:dyDescent="0.25">
      <c r="A563" s="1266"/>
      <c r="B563" s="1314" t="s">
        <v>1675</v>
      </c>
      <c r="C563" s="96">
        <v>60</v>
      </c>
      <c r="D563" s="1312" t="s">
        <v>1274</v>
      </c>
      <c r="E563" s="1313">
        <v>18000</v>
      </c>
      <c r="F563" s="1247">
        <f t="shared" si="11"/>
        <v>1080000</v>
      </c>
      <c r="G563" s="1307"/>
      <c r="H563" s="1054"/>
    </row>
    <row r="564" spans="1:12" ht="16.5" x14ac:dyDescent="0.25">
      <c r="A564" s="1266"/>
      <c r="B564" s="1314" t="s">
        <v>1676</v>
      </c>
      <c r="C564" s="96">
        <v>3</v>
      </c>
      <c r="D564" s="1312" t="s">
        <v>767</v>
      </c>
      <c r="E564" s="1313">
        <v>2350000</v>
      </c>
      <c r="F564" s="1247">
        <f t="shared" si="11"/>
        <v>7050000</v>
      </c>
      <c r="G564" s="1310"/>
      <c r="H564" s="1054"/>
    </row>
    <row r="565" spans="1:12" ht="17.25" thickBot="1" x14ac:dyDescent="0.3">
      <c r="A565" s="1266"/>
      <c r="B565" s="1311" t="s">
        <v>1733</v>
      </c>
      <c r="C565" s="96">
        <v>53</v>
      </c>
      <c r="D565" s="1312" t="s">
        <v>266</v>
      </c>
      <c r="E565" s="1313">
        <v>151000</v>
      </c>
      <c r="F565" s="1247">
        <f t="shared" si="11"/>
        <v>8003000</v>
      </c>
      <c r="G565" s="1310"/>
      <c r="H565" s="1054"/>
    </row>
    <row r="566" spans="1:12" ht="17.25" thickBot="1" x14ac:dyDescent="0.3">
      <c r="A566" s="1245"/>
      <c r="B566" s="2015" t="s">
        <v>515</v>
      </c>
      <c r="C566" s="2016"/>
      <c r="D566" s="2016"/>
      <c r="E566" s="2017"/>
      <c r="F566" s="1243">
        <f>SUM(F562:F565)</f>
        <v>38975000</v>
      </c>
      <c r="G566" s="1310"/>
      <c r="H566" s="1053"/>
    </row>
    <row r="567" spans="1:12" ht="17.25" thickBot="1" x14ac:dyDescent="0.3">
      <c r="A567" s="1245"/>
      <c r="B567" s="2015" t="s">
        <v>26</v>
      </c>
      <c r="C567" s="2016"/>
      <c r="D567" s="2016"/>
      <c r="E567" s="2017"/>
      <c r="F567" s="1243">
        <f>F566+F560+F555</f>
        <v>42873200</v>
      </c>
      <c r="G567" s="1310"/>
      <c r="H567" s="1053"/>
      <c r="L567" s="139"/>
    </row>
    <row r="568" spans="1:12" ht="16.5" x14ac:dyDescent="0.25">
      <c r="A568" s="96"/>
      <c r="B568" s="96"/>
      <c r="C568" s="96"/>
      <c r="D568" s="96"/>
      <c r="E568" s="96"/>
      <c r="F568" s="96"/>
      <c r="G568" s="96"/>
      <c r="H568" s="1053"/>
    </row>
    <row r="569" spans="1:12" x14ac:dyDescent="0.25">
      <c r="A569" s="96"/>
      <c r="B569" s="96"/>
      <c r="C569" s="96"/>
      <c r="D569" s="96"/>
      <c r="E569" s="96"/>
      <c r="F569" s="96"/>
      <c r="G569" s="96"/>
    </row>
    <row r="570" spans="1:12" x14ac:dyDescent="0.25">
      <c r="A570" s="96"/>
      <c r="B570" s="96"/>
      <c r="C570" s="96"/>
      <c r="D570" s="96"/>
      <c r="E570" s="96"/>
      <c r="F570" s="96"/>
      <c r="G570" s="96"/>
    </row>
    <row r="571" spans="1:12" x14ac:dyDescent="0.25">
      <c r="A571" s="96"/>
      <c r="B571" s="96"/>
      <c r="C571" s="96"/>
      <c r="D571" s="96"/>
      <c r="E571" s="96"/>
      <c r="F571" s="96"/>
      <c r="G571" s="96"/>
    </row>
    <row r="572" spans="1:12" x14ac:dyDescent="0.25">
      <c r="A572" s="2010" t="s">
        <v>0</v>
      </c>
      <c r="B572" s="2010"/>
      <c r="C572" s="2010"/>
      <c r="D572" s="2010"/>
      <c r="E572" s="2010"/>
      <c r="F572" s="2010"/>
      <c r="G572" s="2010"/>
    </row>
    <row r="573" spans="1:12" x14ac:dyDescent="0.25">
      <c r="A573" s="2010" t="s">
        <v>1</v>
      </c>
      <c r="B573" s="2010"/>
      <c r="C573" s="2010"/>
      <c r="D573" s="2010"/>
      <c r="E573" s="2010"/>
      <c r="F573" s="2010"/>
      <c r="G573" s="2010"/>
    </row>
    <row r="574" spans="1:12" x14ac:dyDescent="0.25">
      <c r="A574" s="2010" t="s">
        <v>2398</v>
      </c>
      <c r="B574" s="2010"/>
      <c r="C574" s="2010"/>
      <c r="D574" s="2010"/>
      <c r="E574" s="2010"/>
      <c r="F574" s="2010"/>
      <c r="G574" s="2010"/>
    </row>
    <row r="575" spans="1:12" x14ac:dyDescent="0.25">
      <c r="A575" s="1209"/>
      <c r="B575" s="1210"/>
      <c r="C575" s="1211"/>
      <c r="D575" s="1211"/>
      <c r="E575" s="1212"/>
      <c r="F575" s="1212"/>
      <c r="G575" s="1212"/>
    </row>
    <row r="576" spans="1:12" x14ac:dyDescent="0.25">
      <c r="A576" s="1212" t="s">
        <v>1263</v>
      </c>
      <c r="B576" s="1213"/>
      <c r="C576" s="1214"/>
      <c r="D576" s="1214"/>
      <c r="E576" s="1215"/>
      <c r="F576" s="1215"/>
      <c r="G576" s="1212"/>
    </row>
    <row r="577" spans="1:7" x14ac:dyDescent="0.25">
      <c r="A577" s="1216" t="s">
        <v>659</v>
      </c>
      <c r="B577" s="1305" t="s">
        <v>1646</v>
      </c>
      <c r="C577" s="1214"/>
      <c r="D577" s="1214"/>
      <c r="E577" s="1215" t="s">
        <v>1264</v>
      </c>
      <c r="F577" s="1215"/>
      <c r="G577" s="1212"/>
    </row>
    <row r="578" spans="1:7" ht="45" x14ac:dyDescent="0.25">
      <c r="A578" s="1218" t="s">
        <v>685</v>
      </c>
      <c r="B578" s="1219" t="s">
        <v>2974</v>
      </c>
      <c r="C578" s="1214"/>
      <c r="D578" s="1214"/>
      <c r="E578" s="1215" t="s">
        <v>1265</v>
      </c>
      <c r="F578" s="1215"/>
      <c r="G578" s="1216"/>
    </row>
    <row r="579" spans="1:7" x14ac:dyDescent="0.25">
      <c r="A579" s="1218" t="s">
        <v>1266</v>
      </c>
      <c r="B579" s="1219" t="s">
        <v>2987</v>
      </c>
      <c r="C579" s="1214"/>
      <c r="D579" s="1214"/>
      <c r="E579" s="1215"/>
      <c r="F579" s="1215"/>
      <c r="G579" s="1216"/>
    </row>
    <row r="580" spans="1:7" x14ac:dyDescent="0.25">
      <c r="A580" s="1212" t="s">
        <v>1267</v>
      </c>
      <c r="B580" s="1213" t="s">
        <v>60</v>
      </c>
      <c r="C580" s="1214"/>
      <c r="D580" s="1214"/>
      <c r="E580" s="1212"/>
      <c r="F580" s="1212"/>
      <c r="G580" s="1212"/>
    </row>
    <row r="581" spans="1:7" x14ac:dyDescent="0.25">
      <c r="A581" s="1216" t="s">
        <v>61</v>
      </c>
      <c r="B581" s="1217" t="s">
        <v>62</v>
      </c>
      <c r="C581" s="1214"/>
      <c r="D581" s="1214"/>
      <c r="E581" s="1216"/>
      <c r="F581" s="1216"/>
      <c r="G581" s="1216"/>
    </row>
    <row r="582" spans="1:7" x14ac:dyDescent="0.25">
      <c r="A582" s="1220"/>
      <c r="B582" s="1221"/>
      <c r="C582" s="1222"/>
      <c r="D582" s="1222"/>
      <c r="E582" s="1220"/>
      <c r="F582" s="1220"/>
      <c r="G582" s="1220"/>
    </row>
    <row r="583" spans="1:7" ht="24" x14ac:dyDescent="0.25">
      <c r="A583" s="1223" t="s">
        <v>30</v>
      </c>
      <c r="B583" s="1223" t="s">
        <v>11</v>
      </c>
      <c r="C583" s="2011" t="s">
        <v>12</v>
      </c>
      <c r="D583" s="2012"/>
      <c r="E583" s="1225" t="s">
        <v>13</v>
      </c>
      <c r="F583" s="1224" t="s">
        <v>14</v>
      </c>
      <c r="G583" s="1226" t="s">
        <v>256</v>
      </c>
    </row>
    <row r="584" spans="1:7" x14ac:dyDescent="0.25">
      <c r="A584" s="1227">
        <v>1</v>
      </c>
      <c r="B584" s="1228">
        <v>2</v>
      </c>
      <c r="C584" s="2013">
        <v>3</v>
      </c>
      <c r="D584" s="2014"/>
      <c r="E584" s="1231">
        <v>4</v>
      </c>
      <c r="F584" s="1229">
        <v>5</v>
      </c>
      <c r="G584" s="1232">
        <v>7</v>
      </c>
    </row>
    <row r="585" spans="1:7" x14ac:dyDescent="0.25">
      <c r="A585" s="1233" t="s">
        <v>2976</v>
      </c>
      <c r="B585" s="1234" t="s">
        <v>1284</v>
      </c>
      <c r="C585" s="1235"/>
      <c r="D585" s="1236"/>
      <c r="E585" s="1237"/>
      <c r="F585" s="1238"/>
      <c r="G585" s="1232"/>
    </row>
    <row r="586" spans="1:7" x14ac:dyDescent="0.25">
      <c r="A586" s="1233" t="s">
        <v>2977</v>
      </c>
      <c r="B586" s="1234" t="s">
        <v>1658</v>
      </c>
      <c r="C586" s="1235"/>
      <c r="D586" s="1236"/>
      <c r="E586" s="1237"/>
      <c r="F586" s="1238"/>
      <c r="G586" s="1232"/>
    </row>
    <row r="587" spans="1:7" ht="24" x14ac:dyDescent="0.25">
      <c r="A587" s="1233" t="s">
        <v>2979</v>
      </c>
      <c r="B587" s="1234" t="s">
        <v>1279</v>
      </c>
      <c r="C587" s="1239"/>
      <c r="D587" s="1236"/>
      <c r="E587" s="1237"/>
      <c r="F587" s="1238"/>
      <c r="G587" s="1232"/>
    </row>
    <row r="588" spans="1:7" ht="15.75" thickBot="1" x14ac:dyDescent="0.3">
      <c r="A588" s="1240"/>
      <c r="B588" s="1241" t="s">
        <v>1660</v>
      </c>
      <c r="C588" s="1239">
        <v>1</v>
      </c>
      <c r="D588" s="1236" t="s">
        <v>213</v>
      </c>
      <c r="E588" s="1237">
        <v>1275000</v>
      </c>
      <c r="F588" s="1238">
        <f>E588*C588</f>
        <v>1275000</v>
      </c>
      <c r="G588" s="1232"/>
    </row>
    <row r="589" spans="1:7" ht="15.75" thickBot="1" x14ac:dyDescent="0.3">
      <c r="A589" s="1242"/>
      <c r="B589" s="2015" t="s">
        <v>515</v>
      </c>
      <c r="C589" s="2016"/>
      <c r="D589" s="2016"/>
      <c r="E589" s="2017"/>
      <c r="F589" s="1243">
        <f>SUM(F588:F588)</f>
        <v>1275000</v>
      </c>
      <c r="G589" s="1232"/>
    </row>
    <row r="590" spans="1:7" x14ac:dyDescent="0.25">
      <c r="A590" s="1233" t="s">
        <v>2980</v>
      </c>
      <c r="B590" s="1244" t="s">
        <v>1268</v>
      </c>
      <c r="C590" s="1245"/>
      <c r="D590" s="1246"/>
      <c r="E590" s="1242"/>
      <c r="F590" s="1247"/>
      <c r="G590" s="1232"/>
    </row>
    <row r="591" spans="1:7" x14ac:dyDescent="0.25">
      <c r="A591" s="1233"/>
      <c r="B591" s="1263" t="s">
        <v>1269</v>
      </c>
      <c r="C591" s="1229">
        <v>20</v>
      </c>
      <c r="D591" s="1230" t="s">
        <v>392</v>
      </c>
      <c r="E591" s="1264">
        <v>150000</v>
      </c>
      <c r="F591" s="1238">
        <f>E591*C591</f>
        <v>3000000</v>
      </c>
      <c r="G591" s="1232"/>
    </row>
    <row r="592" spans="1:7" x14ac:dyDescent="0.25">
      <c r="A592" s="1315"/>
      <c r="B592" s="1248" t="s">
        <v>1270</v>
      </c>
      <c r="C592" s="1249">
        <f>C591*2</f>
        <v>40</v>
      </c>
      <c r="D592" s="1250" t="s">
        <v>392</v>
      </c>
      <c r="E592" s="1251">
        <v>120000</v>
      </c>
      <c r="F592" s="1252">
        <f>E592*C592</f>
        <v>4800000</v>
      </c>
      <c r="G592" s="1316"/>
    </row>
    <row r="593" spans="1:12" ht="15.75" thickBot="1" x14ac:dyDescent="0.3">
      <c r="A593" s="1233"/>
      <c r="B593" s="1248" t="s">
        <v>1662</v>
      </c>
      <c r="C593" s="1317">
        <v>24</v>
      </c>
      <c r="D593" s="1317" t="s">
        <v>392</v>
      </c>
      <c r="E593" s="1251">
        <v>120000</v>
      </c>
      <c r="F593" s="1252">
        <f>E593*C593</f>
        <v>2880000</v>
      </c>
      <c r="G593" s="1232"/>
    </row>
    <row r="594" spans="1:12" ht="15.75" thickBot="1" x14ac:dyDescent="0.3">
      <c r="A594" s="1253"/>
      <c r="B594" s="2018" t="s">
        <v>515</v>
      </c>
      <c r="C594" s="2019"/>
      <c r="D594" s="2019"/>
      <c r="E594" s="2020"/>
      <c r="F594" s="1243">
        <f>SUM(F591:F593)</f>
        <v>10680000</v>
      </c>
      <c r="G594" s="1318"/>
    </row>
    <row r="595" spans="1:12" x14ac:dyDescent="0.25">
      <c r="A595" s="1233" t="s">
        <v>2983</v>
      </c>
      <c r="B595" s="1265" t="s">
        <v>1271</v>
      </c>
      <c r="C595" s="1245"/>
      <c r="D595" s="1246"/>
      <c r="E595" s="1242"/>
      <c r="F595" s="1247"/>
      <c r="G595" s="1232"/>
    </row>
    <row r="596" spans="1:12" ht="16.5" x14ac:dyDescent="0.25">
      <c r="A596" s="1266"/>
      <c r="B596" s="1311" t="s">
        <v>1665</v>
      </c>
      <c r="C596" s="96">
        <v>11910</v>
      </c>
      <c r="D596" s="1246" t="s">
        <v>1671</v>
      </c>
      <c r="E596" s="1313">
        <v>3000</v>
      </c>
      <c r="F596" s="1247">
        <f>E596*C596</f>
        <v>35730000</v>
      </c>
      <c r="G596" s="1232"/>
    </row>
    <row r="597" spans="1:12" ht="16.5" x14ac:dyDescent="0.25">
      <c r="A597" s="1266"/>
      <c r="B597" s="1314" t="s">
        <v>1672</v>
      </c>
      <c r="C597" s="96">
        <v>16</v>
      </c>
      <c r="D597" s="1246" t="s">
        <v>154</v>
      </c>
      <c r="E597" s="1313">
        <v>210000</v>
      </c>
      <c r="F597" s="1247">
        <f t="shared" ref="F597:F601" si="12">E597*C597</f>
        <v>3360000</v>
      </c>
      <c r="G597" s="1232"/>
    </row>
    <row r="598" spans="1:12" ht="16.5" x14ac:dyDescent="0.25">
      <c r="A598" s="1266"/>
      <c r="B598" s="1311" t="s">
        <v>1673</v>
      </c>
      <c r="C598" s="96">
        <v>25</v>
      </c>
      <c r="D598" s="1246" t="s">
        <v>767</v>
      </c>
      <c r="E598" s="1313">
        <v>281000</v>
      </c>
      <c r="F598" s="1247">
        <f t="shared" si="12"/>
        <v>7025000</v>
      </c>
      <c r="G598" s="1232"/>
    </row>
    <row r="599" spans="1:12" ht="16.5" x14ac:dyDescent="0.25">
      <c r="A599" s="1266"/>
      <c r="B599" s="1319" t="s">
        <v>2988</v>
      </c>
      <c r="C599" s="96">
        <v>1</v>
      </c>
      <c r="D599" s="1320" t="s">
        <v>106</v>
      </c>
      <c r="E599" s="1321">
        <v>500000</v>
      </c>
      <c r="F599" s="1247">
        <f t="shared" si="12"/>
        <v>500000</v>
      </c>
      <c r="G599" s="1232"/>
    </row>
    <row r="600" spans="1:12" ht="16.5" x14ac:dyDescent="0.25">
      <c r="A600" s="1266"/>
      <c r="B600" s="1319" t="s">
        <v>2989</v>
      </c>
      <c r="C600" s="96">
        <v>1</v>
      </c>
      <c r="D600" s="1320" t="s">
        <v>106</v>
      </c>
      <c r="E600" s="1321">
        <v>250000</v>
      </c>
      <c r="F600" s="1247">
        <f t="shared" si="12"/>
        <v>250000</v>
      </c>
      <c r="G600" s="1232"/>
    </row>
    <row r="601" spans="1:12" ht="16.5" x14ac:dyDescent="0.25">
      <c r="A601" s="1266"/>
      <c r="B601" s="1319" t="s">
        <v>2929</v>
      </c>
      <c r="C601" s="96">
        <v>1</v>
      </c>
      <c r="D601" s="1320" t="s">
        <v>213</v>
      </c>
      <c r="E601" s="1321">
        <v>2000000</v>
      </c>
      <c r="F601" s="1247">
        <f t="shared" si="12"/>
        <v>2000000</v>
      </c>
      <c r="G601" s="1232"/>
    </row>
    <row r="602" spans="1:12" ht="15.75" thickBot="1" x14ac:dyDescent="0.3">
      <c r="A602" s="1240"/>
      <c r="B602" s="1255"/>
      <c r="C602" s="1256"/>
      <c r="D602" s="1257"/>
      <c r="E602" s="1258"/>
      <c r="F602" s="1252"/>
      <c r="G602" s="1232"/>
    </row>
    <row r="603" spans="1:12" ht="15.75" thickBot="1" x14ac:dyDescent="0.3">
      <c r="A603" s="1245"/>
      <c r="B603" s="2015" t="s">
        <v>515</v>
      </c>
      <c r="C603" s="2016"/>
      <c r="D603" s="2016"/>
      <c r="E603" s="2017"/>
      <c r="F603" s="1243">
        <f>SUM(F596:F601)</f>
        <v>48865000</v>
      </c>
      <c r="G603" s="1254"/>
    </row>
    <row r="604" spans="1:12" ht="15.75" thickBot="1" x14ac:dyDescent="0.3">
      <c r="A604" s="1245"/>
      <c r="B604" s="2015" t="s">
        <v>26</v>
      </c>
      <c r="C604" s="2016"/>
      <c r="D604" s="2016"/>
      <c r="E604" s="2017"/>
      <c r="F604" s="1243">
        <f>F603+F594+F589</f>
        <v>60820000</v>
      </c>
      <c r="G604" s="1254"/>
      <c r="L604" s="139"/>
    </row>
    <row r="605" spans="1:12" x14ac:dyDescent="0.25">
      <c r="A605" s="153"/>
      <c r="B605" s="524"/>
      <c r="C605" s="524"/>
      <c r="D605" s="524"/>
      <c r="E605" s="524"/>
      <c r="F605" s="523"/>
      <c r="G605" s="148"/>
    </row>
    <row r="607" spans="1:12" x14ac:dyDescent="0.25">
      <c r="A607" s="2010" t="s">
        <v>0</v>
      </c>
      <c r="B607" s="2010"/>
      <c r="C607" s="2010"/>
      <c r="D607" s="2010"/>
      <c r="E607" s="2010"/>
      <c r="F607" s="2010"/>
      <c r="G607" s="2010"/>
    </row>
    <row r="608" spans="1:12" x14ac:dyDescent="0.25">
      <c r="A608" s="2010" t="s">
        <v>1</v>
      </c>
      <c r="B608" s="2010"/>
      <c r="C608" s="2010"/>
      <c r="D608" s="2010"/>
      <c r="E608" s="2010"/>
      <c r="F608" s="2010"/>
      <c r="G608" s="2010"/>
    </row>
    <row r="609" spans="1:7" x14ac:dyDescent="0.25">
      <c r="A609" s="2010" t="s">
        <v>2398</v>
      </c>
      <c r="B609" s="2010"/>
      <c r="C609" s="2010"/>
      <c r="D609" s="2010"/>
      <c r="E609" s="2010"/>
      <c r="F609" s="2010"/>
      <c r="G609" s="2010"/>
    </row>
    <row r="610" spans="1:7" x14ac:dyDescent="0.25">
      <c r="A610" s="1209"/>
      <c r="B610" s="1210"/>
      <c r="C610" s="1211"/>
      <c r="D610" s="1211"/>
      <c r="E610" s="1212"/>
      <c r="F610" s="1212"/>
      <c r="G610" s="1212"/>
    </row>
    <row r="611" spans="1:7" x14ac:dyDescent="0.25">
      <c r="A611" s="1212" t="s">
        <v>1263</v>
      </c>
      <c r="B611" s="1213"/>
      <c r="C611" s="1214"/>
      <c r="D611" s="1214"/>
      <c r="E611" s="1215"/>
      <c r="F611" s="1215"/>
      <c r="G611" s="1212"/>
    </row>
    <row r="612" spans="1:7" x14ac:dyDescent="0.25">
      <c r="A612" s="1216" t="s">
        <v>659</v>
      </c>
      <c r="B612" s="1305" t="s">
        <v>1646</v>
      </c>
      <c r="C612" s="1214"/>
      <c r="D612" s="1214"/>
      <c r="E612" s="1215" t="s">
        <v>1264</v>
      </c>
      <c r="F612" s="1215"/>
      <c r="G612" s="1212"/>
    </row>
    <row r="613" spans="1:7" ht="24" x14ac:dyDescent="0.25">
      <c r="A613" s="1416" t="s">
        <v>685</v>
      </c>
      <c r="B613" s="1417" t="s">
        <v>2990</v>
      </c>
      <c r="C613" s="1222"/>
      <c r="D613" s="1222"/>
      <c r="E613" s="1332" t="s">
        <v>1265</v>
      </c>
      <c r="F613" s="1215"/>
      <c r="G613" s="1216"/>
    </row>
    <row r="614" spans="1:7" x14ac:dyDescent="0.25">
      <c r="A614" s="1416" t="s">
        <v>2991</v>
      </c>
      <c r="B614" s="1417" t="s">
        <v>2992</v>
      </c>
      <c r="C614" s="1222"/>
      <c r="D614" s="1222"/>
      <c r="E614" s="1332"/>
      <c r="F614" s="1215"/>
      <c r="G614" s="1216"/>
    </row>
    <row r="615" spans="1:7" x14ac:dyDescent="0.25">
      <c r="A615" s="1378" t="s">
        <v>37</v>
      </c>
      <c r="B615" s="1418" t="s">
        <v>60</v>
      </c>
      <c r="C615" s="1222"/>
      <c r="D615" s="1222"/>
      <c r="E615" s="1378"/>
      <c r="F615" s="1212"/>
      <c r="G615" s="1212"/>
    </row>
    <row r="616" spans="1:7" x14ac:dyDescent="0.25">
      <c r="A616" s="1220" t="s">
        <v>61</v>
      </c>
      <c r="B616" s="1418" t="s">
        <v>62</v>
      </c>
      <c r="C616" s="1222"/>
      <c r="D616" s="1222"/>
      <c r="E616" s="1220"/>
      <c r="F616" s="1419"/>
      <c r="G616" s="1216"/>
    </row>
    <row r="617" spans="1:7" x14ac:dyDescent="0.25">
      <c r="A617" s="1220"/>
      <c r="B617" s="1418"/>
      <c r="C617" s="1222"/>
      <c r="D617" s="1222"/>
      <c r="E617" s="1220"/>
      <c r="F617" s="1220"/>
      <c r="G617" s="1220"/>
    </row>
    <row r="618" spans="1:7" ht="24" x14ac:dyDescent="0.25">
      <c r="A618" s="1223" t="s">
        <v>30</v>
      </c>
      <c r="B618" s="1223" t="s">
        <v>11</v>
      </c>
      <c r="C618" s="2011" t="s">
        <v>12</v>
      </c>
      <c r="D618" s="2012"/>
      <c r="E618" s="1225" t="s">
        <v>13</v>
      </c>
      <c r="F618" s="1224" t="s">
        <v>14</v>
      </c>
      <c r="G618" s="1226" t="s">
        <v>256</v>
      </c>
    </row>
    <row r="619" spans="1:7" x14ac:dyDescent="0.25">
      <c r="A619" s="1227">
        <v>1</v>
      </c>
      <c r="B619" s="1228">
        <v>2</v>
      </c>
      <c r="C619" s="2013">
        <v>3</v>
      </c>
      <c r="D619" s="2014"/>
      <c r="E619" s="1231">
        <v>4</v>
      </c>
      <c r="F619" s="1229">
        <v>5</v>
      </c>
      <c r="G619" s="1232">
        <v>7</v>
      </c>
    </row>
    <row r="620" spans="1:7" x14ac:dyDescent="0.25">
      <c r="A620" s="1233" t="s">
        <v>2976</v>
      </c>
      <c r="B620" s="1234" t="s">
        <v>1284</v>
      </c>
      <c r="C620" s="1235"/>
      <c r="D620" s="1236"/>
      <c r="E620" s="1237"/>
      <c r="F620" s="1238"/>
      <c r="G620" s="1232"/>
    </row>
    <row r="621" spans="1:7" x14ac:dyDescent="0.25">
      <c r="A621" s="1233" t="s">
        <v>2977</v>
      </c>
      <c r="B621" s="1234" t="s">
        <v>1658</v>
      </c>
      <c r="C621" s="1235"/>
      <c r="D621" s="1236"/>
      <c r="E621" s="1237"/>
      <c r="F621" s="1238"/>
      <c r="G621" s="1232"/>
    </row>
    <row r="622" spans="1:7" ht="24" x14ac:dyDescent="0.25">
      <c r="A622" s="1233" t="s">
        <v>2979</v>
      </c>
      <c r="B622" s="1234" t="s">
        <v>1279</v>
      </c>
      <c r="C622" s="1239"/>
      <c r="D622" s="1236"/>
      <c r="E622" s="1237"/>
      <c r="F622" s="1238"/>
      <c r="G622" s="1232"/>
    </row>
    <row r="623" spans="1:7" ht="15.75" thickBot="1" x14ac:dyDescent="0.3">
      <c r="A623" s="1233"/>
      <c r="B623" s="1420" t="s">
        <v>2993</v>
      </c>
      <c r="C623" s="1227">
        <v>1</v>
      </c>
      <c r="D623" s="1227" t="s">
        <v>213</v>
      </c>
      <c r="E623" s="1264">
        <v>3400000</v>
      </c>
      <c r="F623" s="1238">
        <f>E623*C623</f>
        <v>3400000</v>
      </c>
      <c r="G623" s="1232"/>
    </row>
    <row r="624" spans="1:7" ht="15.75" thickBot="1" x14ac:dyDescent="0.3">
      <c r="A624" s="1253"/>
      <c r="B624" s="2018" t="s">
        <v>515</v>
      </c>
      <c r="C624" s="2019"/>
      <c r="D624" s="2019"/>
      <c r="E624" s="2020"/>
      <c r="F624" s="1243">
        <f>SUM(F623:F623)</f>
        <v>3400000</v>
      </c>
      <c r="G624" s="1318"/>
    </row>
    <row r="625" spans="1:7" x14ac:dyDescent="0.25">
      <c r="A625" s="1233" t="s">
        <v>2980</v>
      </c>
      <c r="B625" s="1421" t="s">
        <v>1268</v>
      </c>
      <c r="C625" s="1245"/>
      <c r="D625" s="1246"/>
      <c r="E625" s="1242"/>
      <c r="F625" s="1247"/>
      <c r="G625" s="1232"/>
    </row>
    <row r="626" spans="1:7" x14ac:dyDescent="0.25">
      <c r="A626" s="1233"/>
      <c r="B626" s="1420" t="s">
        <v>1269</v>
      </c>
      <c r="C626" s="1227">
        <v>54</v>
      </c>
      <c r="D626" s="1227" t="s">
        <v>392</v>
      </c>
      <c r="E626" s="1264">
        <v>150000</v>
      </c>
      <c r="F626" s="1238">
        <f>E626*C626</f>
        <v>8100000</v>
      </c>
      <c r="G626" s="1232"/>
    </row>
    <row r="627" spans="1:7" x14ac:dyDescent="0.25">
      <c r="A627" s="1315"/>
      <c r="B627" s="1422" t="s">
        <v>1270</v>
      </c>
      <c r="C627" s="1317">
        <v>108</v>
      </c>
      <c r="D627" s="1317" t="s">
        <v>392</v>
      </c>
      <c r="E627" s="1251">
        <v>120000</v>
      </c>
      <c r="F627" s="1252">
        <f>E627*C627</f>
        <v>12960000</v>
      </c>
      <c r="G627" s="1316"/>
    </row>
    <row r="628" spans="1:7" ht="15.75" thickBot="1" x14ac:dyDescent="0.3">
      <c r="A628" s="1233"/>
      <c r="B628" s="1422" t="s">
        <v>1662</v>
      </c>
      <c r="C628" s="1423">
        <v>292</v>
      </c>
      <c r="D628" s="1423" t="s">
        <v>392</v>
      </c>
      <c r="E628" s="1251">
        <v>120000</v>
      </c>
      <c r="F628" s="1252">
        <f>E628*C628</f>
        <v>35040000</v>
      </c>
      <c r="G628" s="1232"/>
    </row>
    <row r="629" spans="1:7" ht="15.75" thickBot="1" x14ac:dyDescent="0.3">
      <c r="A629" s="1253"/>
      <c r="B629" s="2018" t="s">
        <v>515</v>
      </c>
      <c r="C629" s="2019"/>
      <c r="D629" s="2019"/>
      <c r="E629" s="2020"/>
      <c r="F629" s="1243">
        <f>SUM(F626:F628)</f>
        <v>56100000</v>
      </c>
      <c r="G629" s="1318"/>
    </row>
    <row r="630" spans="1:7" x14ac:dyDescent="0.25">
      <c r="A630" s="1233" t="s">
        <v>2983</v>
      </c>
      <c r="B630" s="1424" t="s">
        <v>1271</v>
      </c>
      <c r="C630" s="1245"/>
      <c r="D630" s="1246"/>
      <c r="E630" s="1242"/>
      <c r="F630" s="1247"/>
      <c r="G630" s="1232"/>
    </row>
    <row r="631" spans="1:7" x14ac:dyDescent="0.25">
      <c r="A631" s="1266"/>
      <c r="B631" s="1420" t="s">
        <v>1273</v>
      </c>
      <c r="C631" s="1227">
        <v>12780.600000000004</v>
      </c>
      <c r="D631" s="1227" t="s">
        <v>1274</v>
      </c>
      <c r="E631" s="1313">
        <v>3000</v>
      </c>
      <c r="F631" s="1247">
        <f>E631*C631</f>
        <v>38341800.000000015</v>
      </c>
      <c r="G631" s="1232"/>
    </row>
    <row r="632" spans="1:7" x14ac:dyDescent="0.25">
      <c r="A632" s="1266"/>
      <c r="B632" s="1420" t="s">
        <v>1673</v>
      </c>
      <c r="C632" s="1227">
        <v>45.64500000000001</v>
      </c>
      <c r="D632" s="1242" t="s">
        <v>767</v>
      </c>
      <c r="E632" s="1313">
        <v>281000</v>
      </c>
      <c r="F632" s="1247">
        <f>E632*C632</f>
        <v>12826245.000000004</v>
      </c>
      <c r="G632" s="1232"/>
    </row>
    <row r="633" spans="1:7" x14ac:dyDescent="0.25">
      <c r="A633" s="1266"/>
      <c r="B633" s="1420" t="s">
        <v>1272</v>
      </c>
      <c r="C633" s="1227">
        <v>45.64500000000001</v>
      </c>
      <c r="D633" s="1242" t="s">
        <v>767</v>
      </c>
      <c r="E633" s="1313">
        <v>210000</v>
      </c>
      <c r="F633" s="1247">
        <f>E633*C633</f>
        <v>9585450.0000000019</v>
      </c>
      <c r="G633" s="1232"/>
    </row>
    <row r="634" spans="1:7" x14ac:dyDescent="0.25">
      <c r="A634" s="1266"/>
      <c r="B634" s="1420" t="s">
        <v>2994</v>
      </c>
      <c r="C634" s="1242">
        <v>29.991181657848323</v>
      </c>
      <c r="D634" s="1242" t="s">
        <v>266</v>
      </c>
      <c r="E634" s="1313">
        <v>1172000</v>
      </c>
      <c r="F634" s="1247">
        <f>E634*C634</f>
        <v>35149664.902998231</v>
      </c>
      <c r="G634" s="1232"/>
    </row>
    <row r="635" spans="1:7" x14ac:dyDescent="0.25">
      <c r="A635" s="1266"/>
      <c r="B635" s="1420" t="s">
        <v>2995</v>
      </c>
      <c r="C635" s="1227">
        <v>5</v>
      </c>
      <c r="D635" s="1227" t="s">
        <v>1274</v>
      </c>
      <c r="E635" s="1264">
        <v>81000</v>
      </c>
      <c r="F635" s="1247">
        <f>E635*C635</f>
        <v>405000</v>
      </c>
      <c r="G635" s="1232"/>
    </row>
    <row r="636" spans="1:7" x14ac:dyDescent="0.25">
      <c r="A636" s="1266"/>
      <c r="B636" s="1420" t="s">
        <v>2996</v>
      </c>
      <c r="C636" s="1227">
        <v>3</v>
      </c>
      <c r="D636" s="1227" t="s">
        <v>154</v>
      </c>
      <c r="E636" s="1264">
        <v>18000</v>
      </c>
      <c r="F636" s="1247">
        <f t="shared" ref="F636:F641" si="13">E636*C636</f>
        <v>54000</v>
      </c>
      <c r="G636" s="1232"/>
    </row>
    <row r="637" spans="1:7" x14ac:dyDescent="0.25">
      <c r="A637" s="1266"/>
      <c r="B637" s="1420" t="s">
        <v>2997</v>
      </c>
      <c r="C637" s="1227">
        <v>1</v>
      </c>
      <c r="D637" s="1227" t="s">
        <v>767</v>
      </c>
      <c r="E637" s="1264">
        <v>2350000</v>
      </c>
      <c r="F637" s="1247">
        <f t="shared" si="13"/>
        <v>2350000</v>
      </c>
      <c r="G637" s="1232"/>
    </row>
    <row r="638" spans="1:7" x14ac:dyDescent="0.25">
      <c r="A638" s="1266"/>
      <c r="B638" s="1420" t="s">
        <v>2998</v>
      </c>
      <c r="C638" s="1227">
        <v>3</v>
      </c>
      <c r="D638" s="1227" t="s">
        <v>767</v>
      </c>
      <c r="E638" s="1264">
        <v>3807000</v>
      </c>
      <c r="F638" s="1247">
        <f>E638*C638</f>
        <v>11421000</v>
      </c>
      <c r="G638" s="1232"/>
    </row>
    <row r="639" spans="1:7" x14ac:dyDescent="0.25">
      <c r="A639" s="1266"/>
      <c r="B639" s="1420" t="s">
        <v>2999</v>
      </c>
      <c r="C639" s="1227">
        <v>30</v>
      </c>
      <c r="D639" s="1227" t="s">
        <v>266</v>
      </c>
      <c r="E639" s="1264">
        <v>151000</v>
      </c>
      <c r="F639" s="1247">
        <f t="shared" si="13"/>
        <v>4530000</v>
      </c>
      <c r="G639" s="1232"/>
    </row>
    <row r="640" spans="1:7" x14ac:dyDescent="0.25">
      <c r="A640" s="1266"/>
      <c r="B640" s="1420" t="s">
        <v>1277</v>
      </c>
      <c r="C640" s="1227">
        <v>1</v>
      </c>
      <c r="D640" s="1227" t="s">
        <v>110</v>
      </c>
      <c r="E640" s="1264">
        <v>500000</v>
      </c>
      <c r="F640" s="1247">
        <f t="shared" si="13"/>
        <v>500000</v>
      </c>
      <c r="G640" s="1232"/>
    </row>
    <row r="641" spans="1:12" x14ac:dyDescent="0.25">
      <c r="A641" s="1266"/>
      <c r="B641" s="1420" t="s">
        <v>1276</v>
      </c>
      <c r="C641" s="1227">
        <v>1</v>
      </c>
      <c r="D641" s="1227" t="s">
        <v>110</v>
      </c>
      <c r="E641" s="1264">
        <v>250000</v>
      </c>
      <c r="F641" s="1247">
        <f t="shared" si="13"/>
        <v>250000</v>
      </c>
      <c r="G641" s="1232"/>
    </row>
    <row r="642" spans="1:12" ht="15.75" thickBot="1" x14ac:dyDescent="0.3">
      <c r="A642" s="1240"/>
      <c r="B642" s="1425"/>
      <c r="C642" s="1256"/>
      <c r="D642" s="1257"/>
      <c r="E642" s="1258"/>
      <c r="F642" s="1252"/>
      <c r="G642" s="1232"/>
    </row>
    <row r="643" spans="1:12" ht="15.75" thickBot="1" x14ac:dyDescent="0.3">
      <c r="A643" s="1245"/>
      <c r="B643" s="2015" t="s">
        <v>515</v>
      </c>
      <c r="C643" s="2016"/>
      <c r="D643" s="2016"/>
      <c r="E643" s="2017"/>
      <c r="F643" s="1243">
        <f>SUM(F631:F641)</f>
        <v>115413159.90299824</v>
      </c>
      <c r="G643" s="1254"/>
    </row>
    <row r="644" spans="1:12" ht="15.75" thickBot="1" x14ac:dyDescent="0.3">
      <c r="A644" s="1245"/>
      <c r="B644" s="2015" t="s">
        <v>26</v>
      </c>
      <c r="C644" s="2016"/>
      <c r="D644" s="2016"/>
      <c r="E644" s="2017"/>
      <c r="F644" s="1243">
        <f>F643+F629+F624</f>
        <v>174913159.90299824</v>
      </c>
      <c r="G644" s="1254"/>
      <c r="L644" s="139"/>
    </row>
    <row r="645" spans="1:12" x14ac:dyDescent="0.25">
      <c r="A645" s="1969" t="s">
        <v>516</v>
      </c>
      <c r="B645" s="1969"/>
      <c r="C645" s="1259" t="s">
        <v>27</v>
      </c>
      <c r="D645" s="1969" t="s">
        <v>1224</v>
      </c>
      <c r="E645" s="1969"/>
      <c r="F645" s="1969"/>
      <c r="G645" s="1259"/>
    </row>
    <row r="646" spans="1:12" x14ac:dyDescent="0.25">
      <c r="A646" s="1969" t="s">
        <v>28</v>
      </c>
      <c r="B646" s="1969"/>
      <c r="C646" s="1259"/>
      <c r="D646" s="1971" t="s">
        <v>3000</v>
      </c>
      <c r="E646" s="1971"/>
      <c r="F646" s="1971"/>
      <c r="G646" s="1259"/>
    </row>
    <row r="647" spans="1:12" x14ac:dyDescent="0.25">
      <c r="A647" s="1261"/>
      <c r="B647" s="1262"/>
      <c r="C647" s="1259"/>
      <c r="D647" s="1260"/>
      <c r="E647" s="948"/>
      <c r="F647" s="948"/>
      <c r="G647" s="1259"/>
    </row>
    <row r="648" spans="1:12" x14ac:dyDescent="0.25">
      <c r="A648" s="1261"/>
      <c r="B648" s="1262"/>
      <c r="C648" s="1259"/>
      <c r="D648" s="1260"/>
      <c r="E648" s="948"/>
      <c r="F648" s="993"/>
      <c r="G648" s="1259"/>
    </row>
    <row r="649" spans="1:12" x14ac:dyDescent="0.25">
      <c r="A649" s="1969"/>
      <c r="B649" s="1969"/>
      <c r="C649" s="1259"/>
      <c r="D649" s="1260"/>
      <c r="E649" s="2009"/>
      <c r="F649" s="1969"/>
      <c r="G649" s="1259"/>
    </row>
    <row r="650" spans="1:12" x14ac:dyDescent="0.25">
      <c r="A650" s="1969" t="s">
        <v>29</v>
      </c>
      <c r="B650" s="1969"/>
      <c r="C650" s="1259"/>
      <c r="D650" s="1969" t="s">
        <v>3001</v>
      </c>
      <c r="E650" s="1969"/>
      <c r="F650" s="1969"/>
      <c r="G650" s="1259"/>
    </row>
    <row r="651" spans="1:12" x14ac:dyDescent="0.25">
      <c r="A651" s="96"/>
      <c r="B651" s="96"/>
      <c r="C651" s="96"/>
      <c r="D651" s="96"/>
      <c r="E651" s="96"/>
      <c r="F651" s="96"/>
      <c r="G651" s="96"/>
    </row>
    <row r="652" spans="1:12" x14ac:dyDescent="0.25">
      <c r="A652" s="2181" t="s">
        <v>0</v>
      </c>
      <c r="B652" s="2181"/>
      <c r="C652" s="2181"/>
      <c r="D652" s="2181"/>
      <c r="E652" s="2181"/>
      <c r="F652" s="2181"/>
      <c r="G652" s="2181"/>
    </row>
    <row r="653" spans="1:12" x14ac:dyDescent="0.25">
      <c r="A653" s="2181" t="s">
        <v>1</v>
      </c>
      <c r="B653" s="2181"/>
      <c r="C653" s="2181"/>
      <c r="D653" s="2181"/>
      <c r="E653" s="2181"/>
      <c r="F653" s="2181"/>
      <c r="G653" s="2181"/>
    </row>
    <row r="654" spans="1:12" x14ac:dyDescent="0.25">
      <c r="A654" s="2181" t="s">
        <v>2398</v>
      </c>
      <c r="B654" s="2181"/>
      <c r="C654" s="2181"/>
      <c r="D654" s="2181"/>
      <c r="E654" s="2181"/>
      <c r="F654" s="2181"/>
      <c r="G654" s="2181"/>
    </row>
    <row r="655" spans="1:12" x14ac:dyDescent="0.25">
      <c r="A655" s="1330"/>
      <c r="B655" s="1330"/>
      <c r="C655" s="1380"/>
      <c r="D655" s="1380"/>
      <c r="E655" s="1381"/>
      <c r="F655" s="1330"/>
      <c r="G655" s="1269"/>
    </row>
    <row r="656" spans="1:12" x14ac:dyDescent="0.25">
      <c r="A656" s="1376" t="s">
        <v>491</v>
      </c>
      <c r="B656" s="1376" t="s">
        <v>412</v>
      </c>
      <c r="C656" s="1376"/>
      <c r="D656" s="1376"/>
      <c r="E656" s="1435"/>
      <c r="F656" s="1376"/>
      <c r="G656" s="1269"/>
    </row>
    <row r="657" spans="1:7" ht="30" x14ac:dyDescent="0.25">
      <c r="A657" s="1376" t="s">
        <v>492</v>
      </c>
      <c r="B657" s="1436" t="s">
        <v>2843</v>
      </c>
      <c r="C657" s="1376"/>
      <c r="D657" s="1376"/>
      <c r="E657" s="1269"/>
      <c r="F657" s="1269"/>
      <c r="G657" s="1269"/>
    </row>
    <row r="658" spans="1:7" ht="60" x14ac:dyDescent="0.25">
      <c r="A658" s="1437" t="s">
        <v>493</v>
      </c>
      <c r="B658" s="1436" t="s">
        <v>2821</v>
      </c>
      <c r="C658" s="1376"/>
      <c r="D658" s="1376"/>
      <c r="E658" s="1269"/>
      <c r="F658" s="1269"/>
      <c r="G658" s="1269"/>
    </row>
    <row r="659" spans="1:7" ht="30" x14ac:dyDescent="0.25">
      <c r="A659" s="1438" t="s">
        <v>469</v>
      </c>
      <c r="B659" s="1439" t="s">
        <v>60</v>
      </c>
      <c r="C659" s="1330"/>
      <c r="D659" s="1330"/>
      <c r="E659" s="1330"/>
      <c r="F659" s="1330"/>
      <c r="G659" s="1269"/>
    </row>
    <row r="660" spans="1:7" x14ac:dyDescent="0.25">
      <c r="A660" s="2088" t="s">
        <v>470</v>
      </c>
      <c r="B660" s="2088"/>
      <c r="C660" s="1380"/>
      <c r="D660" s="1380"/>
      <c r="E660" s="1381"/>
      <c r="F660" s="1330"/>
      <c r="G660" s="1382"/>
    </row>
    <row r="661" spans="1:7" ht="30" x14ac:dyDescent="0.25">
      <c r="A661" s="1440" t="s">
        <v>30</v>
      </c>
      <c r="B661" s="1440" t="s">
        <v>11</v>
      </c>
      <c r="C661" s="2182" t="s">
        <v>12</v>
      </c>
      <c r="D661" s="2183"/>
      <c r="E661" s="1442" t="s">
        <v>13</v>
      </c>
      <c r="F661" s="1441" t="s">
        <v>14</v>
      </c>
      <c r="G661" s="1443" t="s">
        <v>34</v>
      </c>
    </row>
    <row r="662" spans="1:7" x14ac:dyDescent="0.25">
      <c r="A662" s="1336">
        <v>1</v>
      </c>
      <c r="B662" s="1336">
        <v>2</v>
      </c>
      <c r="C662" s="2090">
        <v>3</v>
      </c>
      <c r="D662" s="2091"/>
      <c r="E662" s="1338">
        <v>4</v>
      </c>
      <c r="F662" s="1337">
        <v>5</v>
      </c>
      <c r="G662" s="1444">
        <v>6</v>
      </c>
    </row>
    <row r="663" spans="1:7" x14ac:dyDescent="0.25">
      <c r="A663" s="1415" t="s">
        <v>2822</v>
      </c>
      <c r="B663" s="1403" t="s">
        <v>462</v>
      </c>
      <c r="C663" s="1445"/>
      <c r="D663" s="1446"/>
      <c r="E663" s="1447"/>
      <c r="F663" s="1445"/>
      <c r="G663" s="1448"/>
    </row>
    <row r="664" spans="1:7" x14ac:dyDescent="0.25">
      <c r="A664" s="1415" t="s">
        <v>2823</v>
      </c>
      <c r="B664" s="1403" t="s">
        <v>84</v>
      </c>
      <c r="C664" s="1445"/>
      <c r="D664" s="1446"/>
      <c r="E664" s="1447"/>
      <c r="F664" s="1445"/>
      <c r="G664" s="1448"/>
    </row>
    <row r="665" spans="1:7" ht="30" x14ac:dyDescent="0.25">
      <c r="A665" s="1415" t="s">
        <v>2824</v>
      </c>
      <c r="B665" s="1403" t="s">
        <v>307</v>
      </c>
      <c r="C665" s="1449"/>
      <c r="D665" s="1450"/>
      <c r="E665" s="1451"/>
      <c r="F665" s="1407"/>
      <c r="G665" s="1404"/>
    </row>
    <row r="666" spans="1:7" x14ac:dyDescent="0.25">
      <c r="A666" s="1448"/>
      <c r="B666" s="1402" t="s">
        <v>2825</v>
      </c>
      <c r="C666" s="1449">
        <v>23</v>
      </c>
      <c r="D666" s="1450" t="s">
        <v>474</v>
      </c>
      <c r="E666" s="1451">
        <v>20000</v>
      </c>
      <c r="F666" s="1407">
        <f>E666*C666</f>
        <v>460000</v>
      </c>
      <c r="G666" s="1404"/>
    </row>
    <row r="667" spans="1:7" x14ac:dyDescent="0.25">
      <c r="A667" s="1448"/>
      <c r="B667" s="1402"/>
      <c r="C667" s="1449"/>
      <c r="D667" s="1450"/>
      <c r="E667" s="1451"/>
      <c r="F667" s="1407">
        <f t="shared" ref="F667:F694" si="14">E667*C667</f>
        <v>0</v>
      </c>
      <c r="G667" s="1404"/>
    </row>
    <row r="668" spans="1:7" ht="30" x14ac:dyDescent="0.25">
      <c r="A668" s="1415" t="s">
        <v>2826</v>
      </c>
      <c r="B668" s="1403" t="s">
        <v>325</v>
      </c>
      <c r="C668" s="1449"/>
      <c r="D668" s="1450"/>
      <c r="E668" s="1451"/>
      <c r="F668" s="1407">
        <f t="shared" si="14"/>
        <v>0</v>
      </c>
      <c r="G668" s="1404"/>
    </row>
    <row r="669" spans="1:7" x14ac:dyDescent="0.25">
      <c r="A669" s="1448"/>
      <c r="B669" s="1402" t="s">
        <v>326</v>
      </c>
      <c r="C669" s="1449">
        <v>1</v>
      </c>
      <c r="D669" s="1450" t="s">
        <v>93</v>
      </c>
      <c r="E669" s="1451">
        <v>90000</v>
      </c>
      <c r="F669" s="1407">
        <f t="shared" si="14"/>
        <v>90000</v>
      </c>
      <c r="G669" s="1404"/>
    </row>
    <row r="670" spans="1:7" x14ac:dyDescent="0.25">
      <c r="A670" s="1448"/>
      <c r="B670" s="1402"/>
      <c r="C670" s="1449"/>
      <c r="D670" s="1450"/>
      <c r="E670" s="1451"/>
      <c r="F670" s="1407">
        <f t="shared" si="14"/>
        <v>0</v>
      </c>
      <c r="G670" s="1404"/>
    </row>
    <row r="671" spans="1:7" ht="30" x14ac:dyDescent="0.25">
      <c r="A671" s="1402" t="s">
        <v>2827</v>
      </c>
      <c r="B671" s="1403" t="s">
        <v>421</v>
      </c>
      <c r="C671" s="1449"/>
      <c r="D671" s="1450"/>
      <c r="E671" s="1451"/>
      <c r="F671" s="1407">
        <f t="shared" si="14"/>
        <v>0</v>
      </c>
      <c r="G671" s="1404"/>
    </row>
    <row r="672" spans="1:7" x14ac:dyDescent="0.25">
      <c r="A672" s="1402"/>
      <c r="B672" s="1402" t="s">
        <v>422</v>
      </c>
      <c r="C672" s="1449">
        <v>1</v>
      </c>
      <c r="D672" s="1450" t="s">
        <v>93</v>
      </c>
      <c r="E672" s="1451">
        <v>50000</v>
      </c>
      <c r="F672" s="1407">
        <f t="shared" si="14"/>
        <v>50000</v>
      </c>
      <c r="G672" s="1404"/>
    </row>
    <row r="673" spans="1:7" x14ac:dyDescent="0.25">
      <c r="A673" s="1402"/>
      <c r="B673" s="1402" t="s">
        <v>275</v>
      </c>
      <c r="C673" s="1449">
        <v>5</v>
      </c>
      <c r="D673" s="1450" t="s">
        <v>606</v>
      </c>
      <c r="E673" s="1451">
        <v>3000</v>
      </c>
      <c r="F673" s="1407">
        <f t="shared" si="14"/>
        <v>15000</v>
      </c>
      <c r="G673" s="1404"/>
    </row>
    <row r="674" spans="1:7" x14ac:dyDescent="0.25">
      <c r="A674" s="1402"/>
      <c r="B674" s="1402" t="s">
        <v>289</v>
      </c>
      <c r="C674" s="1449">
        <v>1</v>
      </c>
      <c r="D674" s="1450" t="s">
        <v>152</v>
      </c>
      <c r="E674" s="1451">
        <v>10000</v>
      </c>
      <c r="F674" s="1407">
        <f t="shared" si="14"/>
        <v>10000</v>
      </c>
      <c r="G674" s="1404"/>
    </row>
    <row r="675" spans="1:7" x14ac:dyDescent="0.25">
      <c r="A675" s="1402"/>
      <c r="B675" s="1402"/>
      <c r="C675" s="1449"/>
      <c r="D675" s="1450"/>
      <c r="E675" s="1451"/>
      <c r="F675" s="1407">
        <f t="shared" si="14"/>
        <v>0</v>
      </c>
      <c r="G675" s="1404"/>
    </row>
    <row r="676" spans="1:7" x14ac:dyDescent="0.25">
      <c r="A676" s="1415" t="s">
        <v>2828</v>
      </c>
      <c r="B676" s="1402" t="s">
        <v>294</v>
      </c>
      <c r="C676" s="1449"/>
      <c r="D676" s="1450"/>
      <c r="E676" s="1406"/>
      <c r="F676" s="1407">
        <f t="shared" si="14"/>
        <v>0</v>
      </c>
      <c r="G676" s="1404"/>
    </row>
    <row r="677" spans="1:7" ht="30" x14ac:dyDescent="0.25">
      <c r="A677" s="1415" t="s">
        <v>2829</v>
      </c>
      <c r="B677" s="1403" t="s">
        <v>484</v>
      </c>
      <c r="C677" s="1449"/>
      <c r="D677" s="1450"/>
      <c r="E677" s="1406"/>
      <c r="F677" s="1407">
        <f t="shared" si="14"/>
        <v>0</v>
      </c>
      <c r="G677" s="1404"/>
    </row>
    <row r="678" spans="1:7" x14ac:dyDescent="0.25">
      <c r="A678" s="1448"/>
      <c r="B678" s="1402" t="s">
        <v>402</v>
      </c>
      <c r="C678" s="1449">
        <v>1</v>
      </c>
      <c r="D678" s="1450" t="s">
        <v>269</v>
      </c>
      <c r="E678" s="1406">
        <v>300000</v>
      </c>
      <c r="F678" s="1407">
        <f t="shared" si="14"/>
        <v>300000</v>
      </c>
      <c r="G678" s="1404"/>
    </row>
    <row r="679" spans="1:7" x14ac:dyDescent="0.25">
      <c r="A679" s="1448"/>
      <c r="B679" s="1402" t="s">
        <v>502</v>
      </c>
      <c r="C679" s="1449">
        <v>1</v>
      </c>
      <c r="D679" s="1450" t="s">
        <v>269</v>
      </c>
      <c r="E679" s="1406">
        <v>250000</v>
      </c>
      <c r="F679" s="1407">
        <f t="shared" si="14"/>
        <v>250000</v>
      </c>
      <c r="G679" s="1404"/>
    </row>
    <row r="680" spans="1:7" x14ac:dyDescent="0.25">
      <c r="A680" s="1448"/>
      <c r="B680" s="1402" t="s">
        <v>485</v>
      </c>
      <c r="C680" s="1449">
        <v>3</v>
      </c>
      <c r="D680" s="1450" t="s">
        <v>269</v>
      </c>
      <c r="E680" s="1406">
        <v>200000</v>
      </c>
      <c r="F680" s="1407">
        <f t="shared" si="14"/>
        <v>600000</v>
      </c>
      <c r="G680" s="1404"/>
    </row>
    <row r="681" spans="1:7" x14ac:dyDescent="0.25">
      <c r="A681" s="1448"/>
      <c r="B681" s="1402"/>
      <c r="C681" s="1449"/>
      <c r="D681" s="1450"/>
      <c r="E681" s="1406"/>
      <c r="F681" s="1407">
        <f t="shared" si="14"/>
        <v>0</v>
      </c>
      <c r="G681" s="1404"/>
    </row>
    <row r="682" spans="1:7" ht="45" x14ac:dyDescent="0.25">
      <c r="A682" s="1402" t="s">
        <v>2830</v>
      </c>
      <c r="B682" s="1403" t="s">
        <v>411</v>
      </c>
      <c r="C682" s="1449"/>
      <c r="D682" s="1450"/>
      <c r="E682" s="1406"/>
      <c r="F682" s="1407">
        <f t="shared" si="14"/>
        <v>0</v>
      </c>
      <c r="G682" s="1404"/>
    </row>
    <row r="683" spans="1:7" ht="30" x14ac:dyDescent="0.25">
      <c r="A683" s="1448"/>
      <c r="B683" s="1403" t="s">
        <v>2445</v>
      </c>
      <c r="C683" s="1449">
        <v>2</v>
      </c>
      <c r="D683" s="1450" t="s">
        <v>392</v>
      </c>
      <c r="E683" s="1406">
        <v>900000</v>
      </c>
      <c r="F683" s="1407">
        <f t="shared" si="14"/>
        <v>1800000</v>
      </c>
      <c r="G683" s="1404"/>
    </row>
    <row r="684" spans="1:7" x14ac:dyDescent="0.25">
      <c r="A684" s="1448"/>
      <c r="B684" s="1402"/>
      <c r="C684" s="1449"/>
      <c r="D684" s="1450"/>
      <c r="E684" s="1451"/>
      <c r="F684" s="1407">
        <f t="shared" si="14"/>
        <v>0</v>
      </c>
      <c r="G684" s="1404"/>
    </row>
    <row r="685" spans="1:7" ht="30" x14ac:dyDescent="0.25">
      <c r="A685" s="1415" t="s">
        <v>2831</v>
      </c>
      <c r="B685" s="1403" t="s">
        <v>486</v>
      </c>
      <c r="C685" s="1449"/>
      <c r="D685" s="1450"/>
      <c r="E685" s="1451"/>
      <c r="F685" s="1407">
        <f t="shared" si="14"/>
        <v>0</v>
      </c>
      <c r="G685" s="1404"/>
    </row>
    <row r="686" spans="1:7" ht="45" x14ac:dyDescent="0.25">
      <c r="A686" s="1402" t="s">
        <v>2832</v>
      </c>
      <c r="B686" s="1403" t="s">
        <v>487</v>
      </c>
      <c r="C686" s="1449"/>
      <c r="D686" s="1450"/>
      <c r="E686" s="1451"/>
      <c r="F686" s="1407">
        <f t="shared" si="14"/>
        <v>0</v>
      </c>
      <c r="G686" s="1404"/>
    </row>
    <row r="687" spans="1:7" x14ac:dyDescent="0.25">
      <c r="A687" s="1448"/>
      <c r="B687" s="1452" t="s">
        <v>2833</v>
      </c>
      <c r="C687" s="1449">
        <f>5*19</f>
        <v>95</v>
      </c>
      <c r="D687" s="1450" t="s">
        <v>2834</v>
      </c>
      <c r="E687" s="1451">
        <v>75000</v>
      </c>
      <c r="F687" s="1407">
        <f t="shared" si="14"/>
        <v>7125000</v>
      </c>
      <c r="G687" s="1404"/>
    </row>
    <row r="688" spans="1:7" x14ac:dyDescent="0.25">
      <c r="A688" s="1448"/>
      <c r="B688" s="1452" t="s">
        <v>2835</v>
      </c>
      <c r="C688" s="1449">
        <v>19</v>
      </c>
      <c r="D688" s="1450" t="s">
        <v>312</v>
      </c>
      <c r="E688" s="1451">
        <v>188000</v>
      </c>
      <c r="F688" s="1407">
        <f t="shared" si="14"/>
        <v>3572000</v>
      </c>
      <c r="G688" s="1404"/>
    </row>
    <row r="689" spans="1:8" x14ac:dyDescent="0.25">
      <c r="A689" s="1448"/>
      <c r="B689" s="1452" t="s">
        <v>2836</v>
      </c>
      <c r="C689" s="1449">
        <v>19</v>
      </c>
      <c r="D689" s="1450" t="s">
        <v>93</v>
      </c>
      <c r="E689" s="1451">
        <v>15000</v>
      </c>
      <c r="F689" s="1407">
        <f t="shared" si="14"/>
        <v>285000</v>
      </c>
      <c r="G689" s="1404"/>
    </row>
    <row r="690" spans="1:8" x14ac:dyDescent="0.25">
      <c r="A690" s="1448"/>
      <c r="B690" s="1452" t="s">
        <v>2837</v>
      </c>
      <c r="C690" s="1449">
        <v>19</v>
      </c>
      <c r="D690" s="1450" t="s">
        <v>93</v>
      </c>
      <c r="E690" s="1451">
        <v>200000</v>
      </c>
      <c r="F690" s="1407">
        <f t="shared" si="14"/>
        <v>3800000</v>
      </c>
      <c r="G690" s="1404"/>
      <c r="H690" s="96"/>
    </row>
    <row r="691" spans="1:8" x14ac:dyDescent="0.25">
      <c r="A691" s="1448"/>
      <c r="B691" s="1452" t="s">
        <v>2838</v>
      </c>
      <c r="C691" s="1449">
        <v>19</v>
      </c>
      <c r="D691" s="1450" t="s">
        <v>93</v>
      </c>
      <c r="E691" s="1451">
        <v>159000</v>
      </c>
      <c r="F691" s="1407">
        <f t="shared" si="14"/>
        <v>3021000</v>
      </c>
      <c r="G691" s="1404"/>
    </row>
    <row r="692" spans="1:8" x14ac:dyDescent="0.25">
      <c r="A692" s="1448"/>
      <c r="B692" s="1452" t="s">
        <v>2839</v>
      </c>
      <c r="C692" s="1449">
        <v>19</v>
      </c>
      <c r="D692" s="1450" t="s">
        <v>93</v>
      </c>
      <c r="E692" s="1451">
        <v>200000</v>
      </c>
      <c r="F692" s="1407">
        <f t="shared" si="14"/>
        <v>3800000</v>
      </c>
      <c r="G692" s="1404"/>
      <c r="H692" s="96"/>
    </row>
    <row r="693" spans="1:8" x14ac:dyDescent="0.25">
      <c r="A693" s="1448"/>
      <c r="B693" s="1452" t="s">
        <v>2840</v>
      </c>
      <c r="C693" s="1449">
        <v>19</v>
      </c>
      <c r="D693" s="1450" t="s">
        <v>93</v>
      </c>
      <c r="E693" s="1451">
        <v>9000000</v>
      </c>
      <c r="F693" s="1407">
        <f t="shared" si="14"/>
        <v>171000000</v>
      </c>
      <c r="G693" s="1404"/>
    </row>
    <row r="694" spans="1:8" x14ac:dyDescent="0.25">
      <c r="A694" s="1448"/>
      <c r="B694" s="1452" t="s">
        <v>2841</v>
      </c>
      <c r="C694" s="1449">
        <v>19</v>
      </c>
      <c r="D694" s="1450" t="s">
        <v>2842</v>
      </c>
      <c r="E694" s="1451">
        <v>65000</v>
      </c>
      <c r="F694" s="1407">
        <f t="shared" si="14"/>
        <v>1235000</v>
      </c>
      <c r="G694" s="1404"/>
    </row>
    <row r="695" spans="1:8" x14ac:dyDescent="0.25">
      <c r="A695" s="1453"/>
      <c r="B695" s="2184" t="s">
        <v>26</v>
      </c>
      <c r="C695" s="2184"/>
      <c r="D695" s="2184"/>
      <c r="E695" s="2184"/>
      <c r="F695" s="1454">
        <f>SUM(F666:F694)</f>
        <v>197413000</v>
      </c>
      <c r="G695" s="1455"/>
    </row>
    <row r="696" spans="1:8" x14ac:dyDescent="0.25">
      <c r="A696" s="1969" t="s">
        <v>516</v>
      </c>
      <c r="B696" s="1969"/>
      <c r="C696" s="1259" t="s">
        <v>27</v>
      </c>
      <c r="D696" s="1970" t="s">
        <v>1224</v>
      </c>
      <c r="E696" s="1970"/>
      <c r="F696" s="1970"/>
      <c r="G696" s="1259"/>
    </row>
    <row r="697" spans="1:8" x14ac:dyDescent="0.25">
      <c r="A697" s="1969" t="s">
        <v>28</v>
      </c>
      <c r="B697" s="1969"/>
      <c r="C697" s="1259"/>
      <c r="D697" s="1971" t="s">
        <v>2443</v>
      </c>
      <c r="E697" s="1971"/>
      <c r="F697" s="1971"/>
      <c r="G697" s="1259"/>
    </row>
    <row r="698" spans="1:8" x14ac:dyDescent="0.25">
      <c r="A698" s="1261"/>
      <c r="B698" s="1262"/>
      <c r="C698" s="1259"/>
      <c r="D698" s="1260"/>
      <c r="E698" s="948"/>
      <c r="F698" s="948"/>
      <c r="G698" s="1259"/>
    </row>
    <row r="699" spans="1:8" x14ac:dyDescent="0.25">
      <c r="A699" s="1261"/>
      <c r="B699" s="1262"/>
      <c r="C699" s="1259"/>
      <c r="D699" s="1260"/>
      <c r="E699" s="948"/>
      <c r="F699" s="948"/>
      <c r="G699" s="1259"/>
    </row>
    <row r="700" spans="1:8" x14ac:dyDescent="0.25">
      <c r="A700" s="1969"/>
      <c r="B700" s="1969"/>
      <c r="C700" s="1259"/>
      <c r="D700" s="1260"/>
      <c r="E700" s="1969"/>
      <c r="F700" s="1969"/>
      <c r="G700" s="1259"/>
    </row>
    <row r="701" spans="1:8" x14ac:dyDescent="0.25">
      <c r="A701" s="1969" t="s">
        <v>29</v>
      </c>
      <c r="B701" s="1969"/>
      <c r="C701" s="1259"/>
      <c r="D701" s="1969" t="s">
        <v>517</v>
      </c>
      <c r="E701" s="1969"/>
      <c r="F701" s="1969"/>
      <c r="G701" s="1259"/>
    </row>
    <row r="702" spans="1:8" x14ac:dyDescent="0.25">
      <c r="A702" s="2181" t="s">
        <v>0</v>
      </c>
      <c r="B702" s="2181"/>
      <c r="C702" s="2181"/>
      <c r="D702" s="2181"/>
      <c r="E702" s="2181"/>
      <c r="F702" s="2181"/>
      <c r="G702" s="2181"/>
    </row>
    <row r="703" spans="1:8" x14ac:dyDescent="0.25">
      <c r="A703" s="2181" t="s">
        <v>1</v>
      </c>
      <c r="B703" s="2181"/>
      <c r="C703" s="2181"/>
      <c r="D703" s="2181"/>
      <c r="E703" s="2181"/>
      <c r="F703" s="2181"/>
      <c r="G703" s="2181"/>
    </row>
    <row r="704" spans="1:8" x14ac:dyDescent="0.25">
      <c r="A704" s="2181" t="s">
        <v>2398</v>
      </c>
      <c r="B704" s="2181"/>
      <c r="C704" s="2181"/>
      <c r="D704" s="2181"/>
      <c r="E704" s="2181"/>
      <c r="F704" s="2181"/>
      <c r="G704" s="2181"/>
    </row>
    <row r="705" spans="1:7" x14ac:dyDescent="0.25">
      <c r="A705" s="1330"/>
      <c r="B705" s="1330"/>
      <c r="C705" s="1380"/>
      <c r="D705" s="1380"/>
      <c r="E705" s="1381"/>
      <c r="F705" s="1330"/>
      <c r="G705" s="1269"/>
    </row>
    <row r="706" spans="1:7" x14ac:dyDescent="0.25">
      <c r="A706" s="1376" t="s">
        <v>491</v>
      </c>
      <c r="B706" s="1376" t="s">
        <v>412</v>
      </c>
      <c r="C706" s="1376"/>
      <c r="D706" s="1376"/>
      <c r="E706" s="1435"/>
      <c r="F706" s="1376"/>
      <c r="G706" s="1269"/>
    </row>
    <row r="707" spans="1:7" x14ac:dyDescent="0.25">
      <c r="A707" s="1376" t="s">
        <v>492</v>
      </c>
      <c r="B707" s="1376" t="s">
        <v>2859</v>
      </c>
      <c r="C707" s="1376"/>
      <c r="D707" s="1376"/>
      <c r="E707" s="1269"/>
      <c r="F707" s="1269"/>
      <c r="G707" s="1269"/>
    </row>
    <row r="708" spans="1:7" ht="60" x14ac:dyDescent="0.25">
      <c r="A708" s="1437" t="s">
        <v>493</v>
      </c>
      <c r="B708" s="1436" t="s">
        <v>2860</v>
      </c>
      <c r="C708" s="1376"/>
      <c r="D708" s="1376"/>
      <c r="E708" s="1269"/>
      <c r="F708" s="1269"/>
      <c r="G708" s="1269"/>
    </row>
    <row r="709" spans="1:7" ht="30" x14ac:dyDescent="0.25">
      <c r="A709" s="1438" t="s">
        <v>469</v>
      </c>
      <c r="B709" s="1439" t="s">
        <v>60</v>
      </c>
      <c r="C709" s="1330"/>
      <c r="D709" s="1330"/>
      <c r="E709" s="1330"/>
      <c r="F709" s="1330"/>
      <c r="G709" s="1269"/>
    </row>
    <row r="710" spans="1:7" x14ac:dyDescent="0.25">
      <c r="A710" s="2088" t="s">
        <v>470</v>
      </c>
      <c r="B710" s="2088"/>
      <c r="C710" s="1380"/>
      <c r="D710" s="1380"/>
      <c r="E710" s="1381"/>
      <c r="F710" s="1330"/>
      <c r="G710" s="1382"/>
    </row>
    <row r="711" spans="1:7" ht="30" x14ac:dyDescent="0.25">
      <c r="A711" s="1440" t="s">
        <v>30</v>
      </c>
      <c r="B711" s="1440" t="s">
        <v>11</v>
      </c>
      <c r="C711" s="2182" t="s">
        <v>12</v>
      </c>
      <c r="D711" s="2183"/>
      <c r="E711" s="1442" t="s">
        <v>13</v>
      </c>
      <c r="F711" s="1441" t="s">
        <v>14</v>
      </c>
      <c r="G711" s="1443" t="s">
        <v>34</v>
      </c>
    </row>
    <row r="712" spans="1:7" x14ac:dyDescent="0.25">
      <c r="A712" s="1336">
        <v>1</v>
      </c>
      <c r="B712" s="1336">
        <v>2</v>
      </c>
      <c r="C712" s="2090">
        <v>3</v>
      </c>
      <c r="D712" s="2091"/>
      <c r="E712" s="1338">
        <v>4</v>
      </c>
      <c r="F712" s="1337">
        <v>5</v>
      </c>
      <c r="G712" s="1444">
        <v>6</v>
      </c>
    </row>
    <row r="713" spans="1:7" x14ac:dyDescent="0.25">
      <c r="A713" s="1415" t="s">
        <v>2822</v>
      </c>
      <c r="B713" s="1403" t="s">
        <v>462</v>
      </c>
      <c r="C713" s="1445"/>
      <c r="D713" s="1446"/>
      <c r="E713" s="1447"/>
      <c r="F713" s="1445"/>
      <c r="G713" s="1448"/>
    </row>
    <row r="714" spans="1:7" x14ac:dyDescent="0.25">
      <c r="A714" s="1415" t="s">
        <v>2823</v>
      </c>
      <c r="B714" s="1403" t="s">
        <v>84</v>
      </c>
      <c r="C714" s="1445"/>
      <c r="D714" s="1446"/>
      <c r="E714" s="1447"/>
      <c r="F714" s="1445"/>
      <c r="G714" s="1448"/>
    </row>
    <row r="715" spans="1:7" ht="30" x14ac:dyDescent="0.25">
      <c r="A715" s="1415" t="s">
        <v>2824</v>
      </c>
      <c r="B715" s="1403" t="s">
        <v>307</v>
      </c>
      <c r="C715" s="1449"/>
      <c r="D715" s="1450"/>
      <c r="E715" s="1451"/>
      <c r="F715" s="1407"/>
      <c r="G715" s="1404"/>
    </row>
    <row r="716" spans="1:7" x14ac:dyDescent="0.25">
      <c r="A716" s="1448"/>
      <c r="B716" s="1402" t="s">
        <v>2845</v>
      </c>
      <c r="C716" s="1449">
        <v>15</v>
      </c>
      <c r="D716" s="1450" t="s">
        <v>474</v>
      </c>
      <c r="E716" s="1451">
        <v>20000</v>
      </c>
      <c r="F716" s="1407">
        <f>E716*C716</f>
        <v>300000</v>
      </c>
      <c r="G716" s="1404"/>
    </row>
    <row r="717" spans="1:7" x14ac:dyDescent="0.25">
      <c r="A717" s="1448"/>
      <c r="B717" s="1402"/>
      <c r="C717" s="1449"/>
      <c r="D717" s="1450"/>
      <c r="E717" s="1451"/>
      <c r="F717" s="1407"/>
      <c r="G717" s="1404"/>
    </row>
    <row r="718" spans="1:7" ht="30" x14ac:dyDescent="0.25">
      <c r="A718" s="1415" t="s">
        <v>2826</v>
      </c>
      <c r="B718" s="1403" t="s">
        <v>325</v>
      </c>
      <c r="C718" s="1449"/>
      <c r="D718" s="1450"/>
      <c r="E718" s="1451"/>
      <c r="F718" s="1407"/>
      <c r="G718" s="1404"/>
    </row>
    <row r="719" spans="1:7" x14ac:dyDescent="0.25">
      <c r="A719" s="1448"/>
      <c r="B719" s="1402" t="s">
        <v>326</v>
      </c>
      <c r="C719" s="1449">
        <v>1</v>
      </c>
      <c r="D719" s="1450" t="s">
        <v>93</v>
      </c>
      <c r="E719" s="1451">
        <v>90000</v>
      </c>
      <c r="F719" s="1407">
        <f>E719*C719</f>
        <v>90000</v>
      </c>
      <c r="G719" s="1404"/>
    </row>
    <row r="720" spans="1:7" x14ac:dyDescent="0.25">
      <c r="A720" s="1448"/>
      <c r="B720" s="1402"/>
      <c r="C720" s="1449"/>
      <c r="D720" s="1450"/>
      <c r="E720" s="1451"/>
      <c r="F720" s="1407"/>
      <c r="G720" s="1404"/>
    </row>
    <row r="721" spans="1:7" ht="30" x14ac:dyDescent="0.25">
      <c r="A721" s="1402" t="s">
        <v>2827</v>
      </c>
      <c r="B721" s="1403" t="s">
        <v>421</v>
      </c>
      <c r="C721" s="1449"/>
      <c r="D721" s="1450"/>
      <c r="E721" s="1451"/>
      <c r="F721" s="1465"/>
      <c r="G721" s="1404"/>
    </row>
    <row r="722" spans="1:7" x14ac:dyDescent="0.25">
      <c r="A722" s="1402"/>
      <c r="B722" s="1402" t="s">
        <v>422</v>
      </c>
      <c r="C722" s="1449">
        <v>1</v>
      </c>
      <c r="D722" s="1450" t="s">
        <v>93</v>
      </c>
      <c r="E722" s="1451">
        <v>50000</v>
      </c>
      <c r="F722" s="1465">
        <f>E722*C722</f>
        <v>50000</v>
      </c>
      <c r="G722" s="1404"/>
    </row>
    <row r="723" spans="1:7" x14ac:dyDescent="0.25">
      <c r="A723" s="1402"/>
      <c r="B723" s="1402" t="s">
        <v>275</v>
      </c>
      <c r="C723" s="1449">
        <v>5</v>
      </c>
      <c r="D723" s="1450" t="s">
        <v>606</v>
      </c>
      <c r="E723" s="1451">
        <v>3000</v>
      </c>
      <c r="F723" s="1465">
        <f>E723*C723</f>
        <v>15000</v>
      </c>
      <c r="G723" s="1404"/>
    </row>
    <row r="724" spans="1:7" x14ac:dyDescent="0.25">
      <c r="A724" s="1402"/>
      <c r="B724" s="1402" t="s">
        <v>289</v>
      </c>
      <c r="C724" s="1449">
        <v>1</v>
      </c>
      <c r="D724" s="1450" t="s">
        <v>152</v>
      </c>
      <c r="E724" s="1451">
        <v>10000</v>
      </c>
      <c r="F724" s="1465">
        <f>E724*C724</f>
        <v>10000</v>
      </c>
      <c r="G724" s="1404"/>
    </row>
    <row r="725" spans="1:7" x14ac:dyDescent="0.25">
      <c r="A725" s="1402"/>
      <c r="B725" s="1402"/>
      <c r="C725" s="1449"/>
      <c r="D725" s="1450"/>
      <c r="E725" s="1451"/>
      <c r="F725" s="1465"/>
      <c r="G725" s="1404"/>
    </row>
    <row r="726" spans="1:7" x14ac:dyDescent="0.25">
      <c r="A726" s="1415" t="s">
        <v>2828</v>
      </c>
      <c r="B726" s="1402" t="s">
        <v>294</v>
      </c>
      <c r="C726" s="1449"/>
      <c r="D726" s="1450"/>
      <c r="E726" s="1406"/>
      <c r="F726" s="1407"/>
      <c r="G726" s="1404"/>
    </row>
    <row r="727" spans="1:7" ht="30" x14ac:dyDescent="0.25">
      <c r="A727" s="1415" t="s">
        <v>2829</v>
      </c>
      <c r="B727" s="1403" t="s">
        <v>484</v>
      </c>
      <c r="C727" s="1449"/>
      <c r="D727" s="1450"/>
      <c r="E727" s="1406"/>
      <c r="F727" s="1407"/>
      <c r="G727" s="1404"/>
    </row>
    <row r="728" spans="1:7" x14ac:dyDescent="0.25">
      <c r="A728" s="1448"/>
      <c r="B728" s="1402" t="s">
        <v>402</v>
      </c>
      <c r="C728" s="1449">
        <v>1</v>
      </c>
      <c r="D728" s="1450" t="s">
        <v>269</v>
      </c>
      <c r="E728" s="1406">
        <v>300000</v>
      </c>
      <c r="F728" s="1407">
        <f>E728*C728</f>
        <v>300000</v>
      </c>
      <c r="G728" s="1404"/>
    </row>
    <row r="729" spans="1:7" x14ac:dyDescent="0.25">
      <c r="A729" s="1448"/>
      <c r="B729" s="1402" t="s">
        <v>502</v>
      </c>
      <c r="C729" s="1449">
        <v>1</v>
      </c>
      <c r="D729" s="1450" t="s">
        <v>269</v>
      </c>
      <c r="E729" s="1406">
        <v>250000</v>
      </c>
      <c r="F729" s="1407">
        <f>E729*C729</f>
        <v>250000</v>
      </c>
      <c r="G729" s="1404"/>
    </row>
    <row r="730" spans="1:7" x14ac:dyDescent="0.25">
      <c r="A730" s="1448"/>
      <c r="B730" s="1402" t="s">
        <v>485</v>
      </c>
      <c r="C730" s="1449">
        <v>3</v>
      </c>
      <c r="D730" s="1450" t="s">
        <v>269</v>
      </c>
      <c r="E730" s="1406">
        <v>200000</v>
      </c>
      <c r="F730" s="1407">
        <f>E730*C730</f>
        <v>600000</v>
      </c>
      <c r="G730" s="1404"/>
    </row>
    <row r="731" spans="1:7" x14ac:dyDescent="0.25">
      <c r="A731" s="1448"/>
      <c r="B731" s="1402"/>
      <c r="C731" s="1449"/>
      <c r="D731" s="1450"/>
      <c r="E731" s="1406"/>
      <c r="F731" s="1407"/>
      <c r="G731" s="1404"/>
    </row>
    <row r="732" spans="1:7" ht="45" x14ac:dyDescent="0.25">
      <c r="A732" s="1402" t="s">
        <v>2830</v>
      </c>
      <c r="B732" s="1403" t="s">
        <v>411</v>
      </c>
      <c r="C732" s="1449"/>
      <c r="D732" s="1450"/>
      <c r="E732" s="1406"/>
      <c r="F732" s="1407"/>
      <c r="G732" s="1404"/>
    </row>
    <row r="733" spans="1:7" ht="30" x14ac:dyDescent="0.25">
      <c r="A733" s="1448"/>
      <c r="B733" s="1403" t="s">
        <v>2445</v>
      </c>
      <c r="C733" s="1449">
        <v>2</v>
      </c>
      <c r="D733" s="1450" t="s">
        <v>392</v>
      </c>
      <c r="E733" s="1406">
        <v>900000</v>
      </c>
      <c r="F733" s="1407">
        <f>E733*C733</f>
        <v>1800000</v>
      </c>
      <c r="G733" s="1404"/>
    </row>
    <row r="734" spans="1:7" x14ac:dyDescent="0.25">
      <c r="A734" s="1448"/>
      <c r="B734" s="1402"/>
      <c r="C734" s="1449"/>
      <c r="D734" s="1450"/>
      <c r="E734" s="1451"/>
      <c r="F734" s="1407"/>
      <c r="G734" s="1404"/>
    </row>
    <row r="735" spans="1:7" ht="30" x14ac:dyDescent="0.25">
      <c r="A735" s="1415" t="s">
        <v>2861</v>
      </c>
      <c r="B735" s="1403" t="s">
        <v>486</v>
      </c>
      <c r="C735" s="1449"/>
      <c r="D735" s="1450"/>
      <c r="E735" s="1451"/>
      <c r="F735" s="1407"/>
      <c r="G735" s="1404"/>
    </row>
    <row r="736" spans="1:7" ht="45" x14ac:dyDescent="0.25">
      <c r="A736" s="1402" t="s">
        <v>2832</v>
      </c>
      <c r="B736" s="1403" t="s">
        <v>487</v>
      </c>
      <c r="C736" s="1449"/>
      <c r="D736" s="1450"/>
      <c r="E736" s="1451"/>
      <c r="F736" s="1407"/>
      <c r="G736" s="1404"/>
    </row>
    <row r="737" spans="1:8" x14ac:dyDescent="0.25">
      <c r="A737" s="1448"/>
      <c r="B737" s="1452" t="s">
        <v>2862</v>
      </c>
      <c r="C737" s="1449">
        <v>6</v>
      </c>
      <c r="D737" s="1450" t="s">
        <v>90</v>
      </c>
      <c r="E737" s="1451">
        <v>2809000</v>
      </c>
      <c r="F737" s="1407">
        <f>E737*C737</f>
        <v>16854000</v>
      </c>
      <c r="G737" s="1404"/>
    </row>
    <row r="738" spans="1:8" x14ac:dyDescent="0.25">
      <c r="A738" s="1448"/>
      <c r="B738" s="1452" t="s">
        <v>2863</v>
      </c>
      <c r="C738" s="1449">
        <v>6</v>
      </c>
      <c r="D738" s="1450" t="s">
        <v>90</v>
      </c>
      <c r="E738" s="1451">
        <v>3455000</v>
      </c>
      <c r="F738" s="1407">
        <f t="shared" ref="F738:F747" si="15">E738*C738</f>
        <v>20730000</v>
      </c>
      <c r="G738" s="1404"/>
    </row>
    <row r="739" spans="1:8" x14ac:dyDescent="0.25">
      <c r="A739" s="1448"/>
      <c r="B739" s="1452" t="s">
        <v>2864</v>
      </c>
      <c r="C739" s="1449">
        <f>8*6</f>
        <v>48</v>
      </c>
      <c r="D739" s="1450" t="s">
        <v>1274</v>
      </c>
      <c r="E739" s="1451">
        <v>25000</v>
      </c>
      <c r="F739" s="1407">
        <f t="shared" si="15"/>
        <v>1200000</v>
      </c>
      <c r="G739" s="1404"/>
    </row>
    <row r="740" spans="1:8" x14ac:dyDescent="0.25">
      <c r="A740" s="1448"/>
      <c r="B740" s="1452" t="s">
        <v>2865</v>
      </c>
      <c r="C740" s="1449">
        <v>12</v>
      </c>
      <c r="D740" s="1450" t="s">
        <v>1801</v>
      </c>
      <c r="E740" s="1451">
        <v>200000</v>
      </c>
      <c r="F740" s="1407">
        <f t="shared" si="15"/>
        <v>2400000</v>
      </c>
      <c r="G740" s="1404"/>
      <c r="H740" s="96"/>
    </row>
    <row r="741" spans="1:8" x14ac:dyDescent="0.25">
      <c r="A741" s="1448"/>
      <c r="B741" s="1452" t="s">
        <v>2866</v>
      </c>
      <c r="C741" s="1449">
        <v>12</v>
      </c>
      <c r="D741" s="1450" t="s">
        <v>90</v>
      </c>
      <c r="E741" s="1451">
        <v>139000</v>
      </c>
      <c r="F741" s="1407">
        <f t="shared" si="15"/>
        <v>1668000</v>
      </c>
      <c r="G741" s="1404"/>
    </row>
    <row r="742" spans="1:8" x14ac:dyDescent="0.25">
      <c r="A742" s="1448"/>
      <c r="B742" s="1452" t="s">
        <v>2867</v>
      </c>
      <c r="C742" s="1449">
        <v>6</v>
      </c>
      <c r="D742" s="1450" t="s">
        <v>90</v>
      </c>
      <c r="E742" s="1451">
        <v>348000</v>
      </c>
      <c r="F742" s="1407">
        <f t="shared" si="15"/>
        <v>2088000</v>
      </c>
      <c r="G742" s="1404"/>
    </row>
    <row r="743" spans="1:8" x14ac:dyDescent="0.25">
      <c r="A743" s="1448"/>
      <c r="B743" s="1452" t="s">
        <v>2868</v>
      </c>
      <c r="C743" s="1449">
        <v>12</v>
      </c>
      <c r="D743" s="1450" t="s">
        <v>90</v>
      </c>
      <c r="E743" s="1451">
        <v>84000</v>
      </c>
      <c r="F743" s="1407">
        <f t="shared" si="15"/>
        <v>1008000</v>
      </c>
      <c r="G743" s="1404"/>
    </row>
    <row r="744" spans="1:8" x14ac:dyDescent="0.25">
      <c r="A744" s="1448"/>
      <c r="B744" s="1452" t="s">
        <v>2869</v>
      </c>
      <c r="C744" s="1449">
        <v>12</v>
      </c>
      <c r="D744" s="1450" t="s">
        <v>90</v>
      </c>
      <c r="E744" s="1451">
        <v>84000</v>
      </c>
      <c r="F744" s="1407">
        <f t="shared" si="15"/>
        <v>1008000</v>
      </c>
      <c r="G744" s="1404"/>
    </row>
    <row r="745" spans="1:8" x14ac:dyDescent="0.25">
      <c r="A745" s="1448"/>
      <c r="B745" s="1452" t="s">
        <v>2870</v>
      </c>
      <c r="C745" s="1449">
        <v>6</v>
      </c>
      <c r="D745" s="1450" t="s">
        <v>90</v>
      </c>
      <c r="E745" s="1451">
        <v>1225000</v>
      </c>
      <c r="F745" s="1407">
        <f t="shared" si="15"/>
        <v>7350000</v>
      </c>
      <c r="G745" s="1404"/>
      <c r="H745" s="96"/>
    </row>
    <row r="746" spans="1:8" x14ac:dyDescent="0.25">
      <c r="A746" s="1448"/>
      <c r="B746" s="1452" t="s">
        <v>2871</v>
      </c>
      <c r="C746" s="1449">
        <v>6</v>
      </c>
      <c r="D746" s="1450" t="s">
        <v>449</v>
      </c>
      <c r="E746" s="1451">
        <v>93000</v>
      </c>
      <c r="F746" s="1407">
        <f t="shared" si="15"/>
        <v>558000</v>
      </c>
      <c r="G746" s="1404"/>
    </row>
    <row r="747" spans="1:8" x14ac:dyDescent="0.25">
      <c r="A747" s="1448"/>
      <c r="B747" s="1452" t="s">
        <v>2872</v>
      </c>
      <c r="C747" s="1449">
        <v>6</v>
      </c>
      <c r="D747" s="1450" t="s">
        <v>449</v>
      </c>
      <c r="E747" s="1451">
        <v>93000</v>
      </c>
      <c r="F747" s="1407">
        <f t="shared" si="15"/>
        <v>558000</v>
      </c>
      <c r="G747" s="1404"/>
    </row>
    <row r="748" spans="1:8" x14ac:dyDescent="0.25">
      <c r="A748" s="1453"/>
      <c r="B748" s="2184" t="s">
        <v>26</v>
      </c>
      <c r="C748" s="2184"/>
      <c r="D748" s="2184"/>
      <c r="E748" s="2184"/>
      <c r="F748" s="1454">
        <f>SUM(F716:F747)</f>
        <v>58837000</v>
      </c>
      <c r="G748" s="1455"/>
    </row>
    <row r="749" spans="1:8" x14ac:dyDescent="0.25">
      <c r="A749" s="1969" t="s">
        <v>516</v>
      </c>
      <c r="B749" s="1969"/>
      <c r="C749" s="1259" t="s">
        <v>27</v>
      </c>
      <c r="D749" s="1970" t="s">
        <v>1224</v>
      </c>
      <c r="E749" s="1970"/>
      <c r="F749" s="1970"/>
      <c r="G749" s="1259"/>
    </row>
    <row r="750" spans="1:8" x14ac:dyDescent="0.25">
      <c r="A750" s="1969" t="s">
        <v>28</v>
      </c>
      <c r="B750" s="1969"/>
      <c r="C750" s="1259"/>
      <c r="D750" s="1971" t="s">
        <v>2443</v>
      </c>
      <c r="E750" s="1971"/>
      <c r="F750" s="1971"/>
      <c r="G750" s="1259"/>
    </row>
    <row r="751" spans="1:8" x14ac:dyDescent="0.25">
      <c r="A751" s="1261"/>
      <c r="B751" s="1262"/>
      <c r="C751" s="1259"/>
      <c r="D751" s="1260"/>
      <c r="E751" s="948"/>
      <c r="F751" s="948"/>
      <c r="G751" s="1259"/>
    </row>
    <row r="752" spans="1:8" x14ac:dyDescent="0.25">
      <c r="A752" s="1261"/>
      <c r="B752" s="1262"/>
      <c r="C752" s="1259"/>
      <c r="D752" s="1260"/>
      <c r="E752" s="948"/>
      <c r="F752" s="948"/>
      <c r="G752" s="1259"/>
    </row>
    <row r="753" spans="1:7" x14ac:dyDescent="0.25">
      <c r="A753" s="1969"/>
      <c r="B753" s="1969"/>
      <c r="C753" s="1259"/>
      <c r="D753" s="1260"/>
      <c r="E753" s="1969"/>
      <c r="F753" s="1969"/>
      <c r="G753" s="1259"/>
    </row>
    <row r="754" spans="1:7" x14ac:dyDescent="0.25">
      <c r="A754" s="1969" t="s">
        <v>29</v>
      </c>
      <c r="B754" s="1969"/>
      <c r="C754" s="1259"/>
      <c r="D754" s="1969" t="s">
        <v>517</v>
      </c>
      <c r="E754" s="1969"/>
      <c r="F754" s="1969"/>
      <c r="G754" s="1259"/>
    </row>
    <row r="756" spans="1:7" x14ac:dyDescent="0.25">
      <c r="A756" s="2181" t="s">
        <v>0</v>
      </c>
      <c r="B756" s="2181"/>
      <c r="C756" s="2181"/>
      <c r="D756" s="2181"/>
      <c r="E756" s="2181"/>
      <c r="F756" s="2181"/>
      <c r="G756" s="2181"/>
    </row>
    <row r="757" spans="1:7" x14ac:dyDescent="0.25">
      <c r="A757" s="2181" t="s">
        <v>1</v>
      </c>
      <c r="B757" s="2181"/>
      <c r="C757" s="2181"/>
      <c r="D757" s="2181"/>
      <c r="E757" s="2181"/>
      <c r="F757" s="2181"/>
      <c r="G757" s="2181"/>
    </row>
    <row r="758" spans="1:7" x14ac:dyDescent="0.25">
      <c r="A758" s="2181" t="s">
        <v>2398</v>
      </c>
      <c r="B758" s="2181"/>
      <c r="C758" s="2181"/>
      <c r="D758" s="2181"/>
      <c r="E758" s="2181"/>
      <c r="F758" s="2181"/>
      <c r="G758" s="2181"/>
    </row>
    <row r="759" spans="1:7" x14ac:dyDescent="0.25">
      <c r="A759" s="1330"/>
      <c r="B759" s="1330"/>
      <c r="C759" s="1380"/>
      <c r="D759" s="1380"/>
      <c r="E759" s="1381"/>
      <c r="F759" s="1330"/>
      <c r="G759" s="1269"/>
    </row>
    <row r="760" spans="1:7" x14ac:dyDescent="0.25">
      <c r="A760" s="1376" t="s">
        <v>491</v>
      </c>
      <c r="B760" s="1376" t="s">
        <v>412</v>
      </c>
      <c r="C760" s="1376"/>
      <c r="D760" s="1376"/>
      <c r="E760" s="1435"/>
      <c r="F760" s="1376"/>
      <c r="G760" s="1269"/>
    </row>
    <row r="761" spans="1:7" x14ac:dyDescent="0.25">
      <c r="A761" s="1376" t="s">
        <v>492</v>
      </c>
      <c r="B761" s="96" t="s">
        <v>1816</v>
      </c>
      <c r="C761" s="1376"/>
      <c r="D761" s="1376"/>
      <c r="E761" s="1269"/>
      <c r="F761" s="1269"/>
      <c r="G761" s="1269"/>
    </row>
    <row r="762" spans="1:7" ht="60" x14ac:dyDescent="0.25">
      <c r="A762" s="1437" t="s">
        <v>493</v>
      </c>
      <c r="B762" s="1436" t="s">
        <v>2873</v>
      </c>
      <c r="C762" s="1376"/>
      <c r="D762" s="1376"/>
      <c r="E762" s="1269"/>
      <c r="F762" s="1269"/>
      <c r="G762" s="1269"/>
    </row>
    <row r="763" spans="1:7" ht="30" x14ac:dyDescent="0.25">
      <c r="A763" s="1438" t="s">
        <v>469</v>
      </c>
      <c r="B763" s="1439" t="s">
        <v>60</v>
      </c>
      <c r="C763" s="1330"/>
      <c r="D763" s="1330"/>
      <c r="E763" s="1330"/>
      <c r="F763" s="1330"/>
      <c r="G763" s="1269"/>
    </row>
    <row r="764" spans="1:7" x14ac:dyDescent="0.25">
      <c r="A764" s="2088" t="s">
        <v>470</v>
      </c>
      <c r="B764" s="2088"/>
      <c r="C764" s="1380"/>
      <c r="D764" s="1380"/>
      <c r="E764" s="1381"/>
      <c r="F764" s="1330"/>
      <c r="G764" s="1382"/>
    </row>
    <row r="765" spans="1:7" ht="30" x14ac:dyDescent="0.25">
      <c r="A765" s="1440" t="s">
        <v>30</v>
      </c>
      <c r="B765" s="1440" t="s">
        <v>11</v>
      </c>
      <c r="C765" s="2182" t="s">
        <v>12</v>
      </c>
      <c r="D765" s="2183"/>
      <c r="E765" s="1442" t="s">
        <v>13</v>
      </c>
      <c r="F765" s="1441" t="s">
        <v>14</v>
      </c>
      <c r="G765" s="1443" t="s">
        <v>34</v>
      </c>
    </row>
    <row r="766" spans="1:7" x14ac:dyDescent="0.25">
      <c r="A766" s="1336">
        <v>1</v>
      </c>
      <c r="B766" s="1336">
        <v>2</v>
      </c>
      <c r="C766" s="2090">
        <v>3</v>
      </c>
      <c r="D766" s="2091"/>
      <c r="E766" s="1338">
        <v>4</v>
      </c>
      <c r="F766" s="1337">
        <v>5</v>
      </c>
      <c r="G766" s="1444">
        <v>6</v>
      </c>
    </row>
    <row r="767" spans="1:7" x14ac:dyDescent="0.25">
      <c r="A767" s="1415" t="s">
        <v>1819</v>
      </c>
      <c r="B767" s="1403" t="s">
        <v>462</v>
      </c>
      <c r="C767" s="1445"/>
      <c r="D767" s="1446"/>
      <c r="E767" s="1447"/>
      <c r="F767" s="1445"/>
      <c r="G767" s="1448"/>
    </row>
    <row r="768" spans="1:7" x14ac:dyDescent="0.25">
      <c r="A768" s="1415" t="s">
        <v>1820</v>
      </c>
      <c r="B768" s="1403" t="s">
        <v>84</v>
      </c>
      <c r="C768" s="1445"/>
      <c r="D768" s="1446"/>
      <c r="E768" s="1447"/>
      <c r="F768" s="1445"/>
      <c r="G768" s="1448"/>
    </row>
    <row r="769" spans="1:7" ht="30" x14ac:dyDescent="0.25">
      <c r="A769" s="1415" t="s">
        <v>1822</v>
      </c>
      <c r="B769" s="1403" t="s">
        <v>307</v>
      </c>
      <c r="C769" s="1449"/>
      <c r="D769" s="1450"/>
      <c r="E769" s="1451"/>
      <c r="F769" s="1407"/>
      <c r="G769" s="1404"/>
    </row>
    <row r="770" spans="1:7" x14ac:dyDescent="0.25">
      <c r="A770" s="1448"/>
      <c r="B770" s="1402" t="s">
        <v>2845</v>
      </c>
      <c r="C770" s="1449">
        <v>15</v>
      </c>
      <c r="D770" s="1450" t="s">
        <v>474</v>
      </c>
      <c r="E770" s="1451">
        <v>20000</v>
      </c>
      <c r="F770" s="1407">
        <f>E770*C770</f>
        <v>300000</v>
      </c>
      <c r="G770" s="1404"/>
    </row>
    <row r="771" spans="1:7" x14ac:dyDescent="0.25">
      <c r="A771" s="1448"/>
      <c r="B771" s="1402"/>
      <c r="C771" s="1449"/>
      <c r="D771" s="1450"/>
      <c r="E771" s="1451"/>
      <c r="F771" s="1407"/>
      <c r="G771" s="1404"/>
    </row>
    <row r="772" spans="1:7" ht="30" x14ac:dyDescent="0.25">
      <c r="A772" s="1415" t="s">
        <v>1823</v>
      </c>
      <c r="B772" s="1403" t="s">
        <v>325</v>
      </c>
      <c r="C772" s="1449"/>
      <c r="D772" s="1450"/>
      <c r="E772" s="1451"/>
      <c r="F772" s="1407"/>
      <c r="G772" s="1404"/>
    </row>
    <row r="773" spans="1:7" x14ac:dyDescent="0.25">
      <c r="A773" s="1448"/>
      <c r="B773" s="1402" t="s">
        <v>326</v>
      </c>
      <c r="C773" s="1449">
        <v>1</v>
      </c>
      <c r="D773" s="1450" t="s">
        <v>93</v>
      </c>
      <c r="E773" s="1451">
        <v>90000</v>
      </c>
      <c r="F773" s="1407">
        <f>E773*C773</f>
        <v>90000</v>
      </c>
      <c r="G773" s="1404"/>
    </row>
    <row r="774" spans="1:7" x14ac:dyDescent="0.25">
      <c r="A774" s="1448"/>
      <c r="B774" s="1402"/>
      <c r="C774" s="1449"/>
      <c r="D774" s="1450"/>
      <c r="E774" s="1451"/>
      <c r="F774" s="1407"/>
      <c r="G774" s="1404"/>
    </row>
    <row r="775" spans="1:7" ht="30" x14ac:dyDescent="0.25">
      <c r="A775" s="1402" t="s">
        <v>2874</v>
      </c>
      <c r="B775" s="1403" t="s">
        <v>421</v>
      </c>
      <c r="C775" s="1449"/>
      <c r="D775" s="1450"/>
      <c r="E775" s="1451"/>
      <c r="F775" s="1465"/>
      <c r="G775" s="1404"/>
    </row>
    <row r="776" spans="1:7" x14ac:dyDescent="0.25">
      <c r="A776" s="1402"/>
      <c r="B776" s="1402" t="s">
        <v>422</v>
      </c>
      <c r="C776" s="1449">
        <v>1</v>
      </c>
      <c r="D776" s="1450" t="s">
        <v>93</v>
      </c>
      <c r="E776" s="1451">
        <v>50000</v>
      </c>
      <c r="F776" s="1465">
        <f>E776*C776</f>
        <v>50000</v>
      </c>
      <c r="G776" s="1404"/>
    </row>
    <row r="777" spans="1:7" x14ac:dyDescent="0.25">
      <c r="A777" s="1402"/>
      <c r="B777" s="1402" t="s">
        <v>275</v>
      </c>
      <c r="C777" s="1449">
        <v>5</v>
      </c>
      <c r="D777" s="1450" t="s">
        <v>606</v>
      </c>
      <c r="E777" s="1451">
        <v>3000</v>
      </c>
      <c r="F777" s="1465">
        <f>E777*C777</f>
        <v>15000</v>
      </c>
      <c r="G777" s="1404"/>
    </row>
    <row r="778" spans="1:7" x14ac:dyDescent="0.25">
      <c r="A778" s="1402"/>
      <c r="B778" s="1402" t="s">
        <v>289</v>
      </c>
      <c r="C778" s="1449">
        <v>1</v>
      </c>
      <c r="D778" s="1450" t="s">
        <v>152</v>
      </c>
      <c r="E778" s="1451">
        <v>10000</v>
      </c>
      <c r="F778" s="1465">
        <f>E778*C778</f>
        <v>10000</v>
      </c>
      <c r="G778" s="1404"/>
    </row>
    <row r="779" spans="1:7" x14ac:dyDescent="0.25">
      <c r="A779" s="1402"/>
      <c r="B779" s="1402"/>
      <c r="C779" s="1449"/>
      <c r="D779" s="1450"/>
      <c r="E779" s="1451"/>
      <c r="F779" s="1465"/>
      <c r="G779" s="1404"/>
    </row>
    <row r="780" spans="1:7" x14ac:dyDescent="0.25">
      <c r="A780" s="1415" t="s">
        <v>500</v>
      </c>
      <c r="B780" s="1402" t="s">
        <v>294</v>
      </c>
      <c r="C780" s="1449"/>
      <c r="D780" s="1450"/>
      <c r="E780" s="1406"/>
      <c r="F780" s="1407"/>
      <c r="G780" s="1404"/>
    </row>
    <row r="781" spans="1:7" ht="30" x14ac:dyDescent="0.25">
      <c r="A781" s="1415" t="s">
        <v>501</v>
      </c>
      <c r="B781" s="1403" t="s">
        <v>484</v>
      </c>
      <c r="C781" s="1449"/>
      <c r="D781" s="1450"/>
      <c r="E781" s="1406"/>
      <c r="F781" s="1407"/>
      <c r="G781" s="1404"/>
    </row>
    <row r="782" spans="1:7" x14ac:dyDescent="0.25">
      <c r="A782" s="1448"/>
      <c r="B782" s="1402" t="s">
        <v>402</v>
      </c>
      <c r="C782" s="1449">
        <v>1</v>
      </c>
      <c r="D782" s="1450" t="s">
        <v>269</v>
      </c>
      <c r="E782" s="1406">
        <v>300000</v>
      </c>
      <c r="F782" s="1407">
        <f>E782*C782</f>
        <v>300000</v>
      </c>
      <c r="G782" s="1404"/>
    </row>
    <row r="783" spans="1:7" x14ac:dyDescent="0.25">
      <c r="A783" s="1448"/>
      <c r="B783" s="1402" t="s">
        <v>502</v>
      </c>
      <c r="C783" s="1449">
        <v>1</v>
      </c>
      <c r="D783" s="1450" t="s">
        <v>269</v>
      </c>
      <c r="E783" s="1406">
        <v>250000</v>
      </c>
      <c r="F783" s="1407">
        <f>E783*C783</f>
        <v>250000</v>
      </c>
      <c r="G783" s="1404"/>
    </row>
    <row r="784" spans="1:7" x14ac:dyDescent="0.25">
      <c r="A784" s="1448"/>
      <c r="B784" s="1402" t="s">
        <v>485</v>
      </c>
      <c r="C784" s="1449">
        <v>3</v>
      </c>
      <c r="D784" s="1450" t="s">
        <v>269</v>
      </c>
      <c r="E784" s="1406">
        <v>200000</v>
      </c>
      <c r="F784" s="1407">
        <f>E784*C784</f>
        <v>600000</v>
      </c>
      <c r="G784" s="1404"/>
    </row>
    <row r="785" spans="1:8" x14ac:dyDescent="0.25">
      <c r="A785" s="1448"/>
      <c r="B785" s="1402"/>
      <c r="C785" s="1449"/>
      <c r="D785" s="1450"/>
      <c r="E785" s="1406"/>
      <c r="F785" s="1407"/>
      <c r="G785" s="1404"/>
    </row>
    <row r="786" spans="1:8" ht="45" x14ac:dyDescent="0.25">
      <c r="A786" s="1402" t="s">
        <v>1826</v>
      </c>
      <c r="B786" s="1403" t="s">
        <v>411</v>
      </c>
      <c r="C786" s="1449"/>
      <c r="D786" s="1450"/>
      <c r="E786" s="1406"/>
      <c r="F786" s="1407"/>
      <c r="G786" s="1404"/>
    </row>
    <row r="787" spans="1:8" ht="30" x14ac:dyDescent="0.25">
      <c r="A787" s="1448"/>
      <c r="B787" s="1403" t="s">
        <v>2445</v>
      </c>
      <c r="C787" s="1449">
        <v>2</v>
      </c>
      <c r="D787" s="1450" t="s">
        <v>392</v>
      </c>
      <c r="E787" s="1406">
        <v>900000</v>
      </c>
      <c r="F787" s="1407">
        <f>E787*C787</f>
        <v>1800000</v>
      </c>
      <c r="G787" s="1404"/>
    </row>
    <row r="788" spans="1:8" x14ac:dyDescent="0.25">
      <c r="A788" s="1448"/>
      <c r="B788" s="1402"/>
      <c r="C788" s="1449"/>
      <c r="D788" s="1450"/>
      <c r="E788" s="1451"/>
      <c r="F788" s="1407"/>
      <c r="G788" s="1404"/>
    </row>
    <row r="789" spans="1:8" ht="30" x14ac:dyDescent="0.25">
      <c r="A789" s="1415" t="s">
        <v>1828</v>
      </c>
      <c r="B789" s="1403" t="s">
        <v>486</v>
      </c>
      <c r="C789" s="1449"/>
      <c r="D789" s="1450"/>
      <c r="E789" s="1451"/>
      <c r="F789" s="1407"/>
      <c r="G789" s="1404"/>
    </row>
    <row r="790" spans="1:8" ht="45" x14ac:dyDescent="0.25">
      <c r="A790" s="1402" t="s">
        <v>1829</v>
      </c>
      <c r="B790" s="1403" t="s">
        <v>487</v>
      </c>
      <c r="C790" s="1449"/>
      <c r="D790" s="1450"/>
      <c r="E790" s="1451"/>
      <c r="F790" s="1407"/>
      <c r="G790" s="1404"/>
    </row>
    <row r="791" spans="1:8" x14ac:dyDescent="0.25">
      <c r="A791" s="1448"/>
      <c r="B791" s="1452" t="s">
        <v>2494</v>
      </c>
      <c r="C791" s="1449">
        <v>80</v>
      </c>
      <c r="D791" s="1450" t="s">
        <v>1274</v>
      </c>
      <c r="E791" s="1451">
        <v>19000</v>
      </c>
      <c r="F791" s="1407">
        <f>E791*C791</f>
        <v>1520000</v>
      </c>
      <c r="G791" s="1404"/>
    </row>
    <row r="792" spans="1:8" x14ac:dyDescent="0.25">
      <c r="A792" s="1448"/>
      <c r="B792" s="1452" t="s">
        <v>2875</v>
      </c>
      <c r="C792" s="1449">
        <v>40</v>
      </c>
      <c r="D792" s="1450" t="s">
        <v>1274</v>
      </c>
      <c r="E792" s="1451">
        <v>45000</v>
      </c>
      <c r="F792" s="1407">
        <f t="shared" ref="F792:F809" si="16">E792*C792</f>
        <v>1800000</v>
      </c>
      <c r="G792" s="1404"/>
    </row>
    <row r="793" spans="1:8" x14ac:dyDescent="0.25">
      <c r="A793" s="1448"/>
      <c r="B793" s="1452" t="s">
        <v>2876</v>
      </c>
      <c r="C793" s="1449">
        <v>20</v>
      </c>
      <c r="D793" s="1450" t="s">
        <v>1274</v>
      </c>
      <c r="E793" s="1451">
        <v>5000</v>
      </c>
      <c r="F793" s="1407">
        <f t="shared" si="16"/>
        <v>100000</v>
      </c>
      <c r="G793" s="1404"/>
    </row>
    <row r="794" spans="1:8" x14ac:dyDescent="0.25">
      <c r="A794" s="1448"/>
      <c r="B794" s="1452" t="s">
        <v>2877</v>
      </c>
      <c r="C794" s="1449">
        <v>40</v>
      </c>
      <c r="D794" s="1450" t="s">
        <v>124</v>
      </c>
      <c r="E794" s="1451">
        <v>20000</v>
      </c>
      <c r="F794" s="1407">
        <f t="shared" si="16"/>
        <v>800000</v>
      </c>
      <c r="G794" s="1404"/>
    </row>
    <row r="795" spans="1:8" x14ac:dyDescent="0.25">
      <c r="A795" s="1448"/>
      <c r="B795" s="1452" t="s">
        <v>2878</v>
      </c>
      <c r="C795" s="1449">
        <v>8</v>
      </c>
      <c r="D795" s="1450" t="s">
        <v>118</v>
      </c>
      <c r="E795" s="1451">
        <v>26000</v>
      </c>
      <c r="F795" s="1407">
        <f t="shared" si="16"/>
        <v>208000</v>
      </c>
      <c r="G795" s="1404"/>
    </row>
    <row r="796" spans="1:8" x14ac:dyDescent="0.25">
      <c r="A796" s="1448"/>
      <c r="B796" s="1452" t="s">
        <v>2856</v>
      </c>
      <c r="C796" s="1449">
        <v>4</v>
      </c>
      <c r="D796" s="1450" t="s">
        <v>110</v>
      </c>
      <c r="E796" s="1451">
        <v>735000</v>
      </c>
      <c r="F796" s="1407">
        <f t="shared" si="16"/>
        <v>2940000</v>
      </c>
      <c r="G796" s="1404"/>
      <c r="H796" s="96"/>
    </row>
    <row r="797" spans="1:8" x14ac:dyDescent="0.25">
      <c r="A797" s="1448"/>
      <c r="B797" s="1452" t="s">
        <v>2879</v>
      </c>
      <c r="C797" s="1449">
        <v>4</v>
      </c>
      <c r="D797" s="1450" t="s">
        <v>93</v>
      </c>
      <c r="E797" s="1451">
        <v>69000</v>
      </c>
      <c r="F797" s="1407">
        <f t="shared" si="16"/>
        <v>276000</v>
      </c>
      <c r="G797" s="1404"/>
    </row>
    <row r="798" spans="1:8" x14ac:dyDescent="0.25">
      <c r="A798" s="1448"/>
      <c r="B798" s="1452" t="s">
        <v>2880</v>
      </c>
      <c r="C798" s="1449">
        <v>4</v>
      </c>
      <c r="D798" s="1450" t="s">
        <v>93</v>
      </c>
      <c r="E798" s="1451">
        <v>526000</v>
      </c>
      <c r="F798" s="1407">
        <f t="shared" si="16"/>
        <v>2104000</v>
      </c>
      <c r="G798" s="1404"/>
    </row>
    <row r="799" spans="1:8" x14ac:dyDescent="0.25">
      <c r="A799" s="1448"/>
      <c r="B799" s="1452" t="s">
        <v>1647</v>
      </c>
      <c r="C799" s="1449">
        <v>8</v>
      </c>
      <c r="D799" s="1450" t="s">
        <v>93</v>
      </c>
      <c r="E799" s="1451">
        <v>150000</v>
      </c>
      <c r="F799" s="1407">
        <f t="shared" si="16"/>
        <v>1200000</v>
      </c>
      <c r="G799" s="1404"/>
    </row>
    <row r="800" spans="1:8" x14ac:dyDescent="0.25">
      <c r="A800" s="1448"/>
      <c r="B800" s="1452" t="s">
        <v>2881</v>
      </c>
      <c r="C800" s="1449">
        <v>8</v>
      </c>
      <c r="D800" s="1450" t="s">
        <v>93</v>
      </c>
      <c r="E800" s="1451">
        <v>128000</v>
      </c>
      <c r="F800" s="1407">
        <f t="shared" si="16"/>
        <v>1024000</v>
      </c>
      <c r="G800" s="1404"/>
    </row>
    <row r="801" spans="1:8" x14ac:dyDescent="0.25">
      <c r="A801" s="1448"/>
      <c r="B801" s="1452" t="s">
        <v>2882</v>
      </c>
      <c r="C801" s="1449">
        <v>4</v>
      </c>
      <c r="D801" s="1450" t="s">
        <v>110</v>
      </c>
      <c r="E801" s="1451">
        <v>6500000</v>
      </c>
      <c r="F801" s="1407">
        <f t="shared" si="16"/>
        <v>26000000</v>
      </c>
      <c r="G801" s="1404"/>
      <c r="H801" s="96"/>
    </row>
    <row r="802" spans="1:8" x14ac:dyDescent="0.25">
      <c r="A802" s="1448"/>
      <c r="B802" s="1452" t="s">
        <v>2514</v>
      </c>
      <c r="C802" s="1449">
        <v>12</v>
      </c>
      <c r="D802" s="1450" t="s">
        <v>93</v>
      </c>
      <c r="E802" s="1451">
        <v>238000</v>
      </c>
      <c r="F802" s="1407">
        <f t="shared" si="16"/>
        <v>2856000</v>
      </c>
      <c r="G802" s="1404"/>
    </row>
    <row r="803" spans="1:8" x14ac:dyDescent="0.25">
      <c r="A803" s="1448"/>
      <c r="B803" s="1452" t="s">
        <v>2883</v>
      </c>
      <c r="C803" s="1449">
        <v>8</v>
      </c>
      <c r="D803" s="1450" t="s">
        <v>93</v>
      </c>
      <c r="E803" s="1451">
        <v>228000</v>
      </c>
      <c r="F803" s="1407">
        <f t="shared" si="16"/>
        <v>1824000</v>
      </c>
      <c r="G803" s="1404"/>
    </row>
    <row r="804" spans="1:8" x14ac:dyDescent="0.25">
      <c r="A804" s="1448"/>
      <c r="B804" s="1452" t="s">
        <v>2884</v>
      </c>
      <c r="C804" s="1449">
        <v>4</v>
      </c>
      <c r="D804" s="1450" t="s">
        <v>93</v>
      </c>
      <c r="E804" s="1451">
        <v>428000</v>
      </c>
      <c r="F804" s="1407">
        <f t="shared" si="16"/>
        <v>1712000</v>
      </c>
      <c r="G804" s="1404"/>
    </row>
    <row r="805" spans="1:8" x14ac:dyDescent="0.25">
      <c r="A805" s="1448"/>
      <c r="B805" s="1402" t="s">
        <v>1836</v>
      </c>
      <c r="C805" s="1449">
        <v>4</v>
      </c>
      <c r="D805" s="1450" t="s">
        <v>110</v>
      </c>
      <c r="E805" s="1451">
        <v>1135000</v>
      </c>
      <c r="F805" s="1407">
        <f t="shared" si="16"/>
        <v>4540000</v>
      </c>
      <c r="G805" s="1404"/>
    </row>
    <row r="806" spans="1:8" x14ac:dyDescent="0.25">
      <c r="A806" s="1448"/>
      <c r="B806" s="1466" t="s">
        <v>2885</v>
      </c>
      <c r="C806" s="1467">
        <v>4</v>
      </c>
      <c r="D806" s="1468" t="s">
        <v>110</v>
      </c>
      <c r="E806" s="1469">
        <v>1063000</v>
      </c>
      <c r="F806" s="1407">
        <f t="shared" si="16"/>
        <v>4252000</v>
      </c>
      <c r="G806" s="1404"/>
      <c r="H806" s="96"/>
    </row>
    <row r="807" spans="1:8" x14ac:dyDescent="0.25">
      <c r="A807" s="1448"/>
      <c r="B807" s="1466" t="s">
        <v>2886</v>
      </c>
      <c r="C807" s="1467">
        <v>1000</v>
      </c>
      <c r="D807" s="1468" t="s">
        <v>131</v>
      </c>
      <c r="E807" s="1469">
        <v>2000</v>
      </c>
      <c r="F807" s="1407">
        <f t="shared" si="16"/>
        <v>2000000</v>
      </c>
      <c r="G807" s="1404"/>
    </row>
    <row r="808" spans="1:8" x14ac:dyDescent="0.25">
      <c r="A808" s="1448"/>
      <c r="B808" s="1466" t="s">
        <v>2887</v>
      </c>
      <c r="C808" s="1467">
        <v>4</v>
      </c>
      <c r="D808" s="1468" t="s">
        <v>110</v>
      </c>
      <c r="E808" s="1469">
        <v>600000</v>
      </c>
      <c r="F808" s="1407">
        <f t="shared" si="16"/>
        <v>2400000</v>
      </c>
      <c r="G808" s="1404"/>
      <c r="H808" s="96"/>
    </row>
    <row r="809" spans="1:8" x14ac:dyDescent="0.25">
      <c r="A809" s="1448"/>
      <c r="B809" s="1466" t="s">
        <v>2888</v>
      </c>
      <c r="C809" s="1467">
        <v>4</v>
      </c>
      <c r="D809" s="1468" t="s">
        <v>110</v>
      </c>
      <c r="E809" s="1469">
        <v>1368000</v>
      </c>
      <c r="F809" s="1407">
        <f t="shared" si="16"/>
        <v>5472000</v>
      </c>
      <c r="G809" s="1404"/>
      <c r="H809" s="96"/>
    </row>
    <row r="810" spans="1:8" x14ac:dyDescent="0.25">
      <c r="A810" s="1453"/>
      <c r="B810" s="2184" t="s">
        <v>26</v>
      </c>
      <c r="C810" s="2184"/>
      <c r="D810" s="2184"/>
      <c r="E810" s="2184"/>
      <c r="F810" s="1454">
        <f>SUM(F770:F809)</f>
        <v>66443000</v>
      </c>
      <c r="G810" s="1455"/>
    </row>
    <row r="811" spans="1:8" x14ac:dyDescent="0.25">
      <c r="A811" s="1969" t="s">
        <v>516</v>
      </c>
      <c r="B811" s="1969"/>
      <c r="C811" s="1259" t="s">
        <v>27</v>
      </c>
      <c r="D811" s="1970" t="s">
        <v>1224</v>
      </c>
      <c r="E811" s="1970"/>
      <c r="F811" s="1970"/>
      <c r="G811" s="1259"/>
    </row>
    <row r="812" spans="1:8" x14ac:dyDescent="0.25">
      <c r="A812" s="1969" t="s">
        <v>28</v>
      </c>
      <c r="B812" s="1969"/>
      <c r="C812" s="1259"/>
      <c r="D812" s="1971" t="s">
        <v>2443</v>
      </c>
      <c r="E812" s="1971"/>
      <c r="F812" s="1971"/>
      <c r="G812" s="1259"/>
    </row>
    <row r="813" spans="1:8" x14ac:dyDescent="0.25">
      <c r="A813" s="1261"/>
      <c r="B813" s="1262"/>
      <c r="C813" s="1259"/>
      <c r="D813" s="1260"/>
      <c r="E813" s="948"/>
      <c r="F813" s="948"/>
      <c r="G813" s="1259"/>
    </row>
    <row r="814" spans="1:8" x14ac:dyDescent="0.25">
      <c r="A814" s="1261"/>
      <c r="B814" s="1262"/>
      <c r="C814" s="1259"/>
      <c r="D814" s="1260"/>
      <c r="E814" s="948"/>
      <c r="F814" s="948"/>
      <c r="G814" s="1259"/>
    </row>
    <row r="815" spans="1:8" x14ac:dyDescent="0.25">
      <c r="A815" s="1969"/>
      <c r="B815" s="1969"/>
      <c r="C815" s="1259"/>
      <c r="D815" s="1260"/>
      <c r="E815" s="1969"/>
      <c r="F815" s="1969"/>
      <c r="G815" s="1259"/>
    </row>
    <row r="816" spans="1:8" x14ac:dyDescent="0.25">
      <c r="A816" s="1969" t="s">
        <v>29</v>
      </c>
      <c r="B816" s="1969"/>
      <c r="C816" s="1259"/>
      <c r="D816" s="1969" t="s">
        <v>517</v>
      </c>
      <c r="E816" s="1969"/>
      <c r="F816" s="1969"/>
      <c r="G816" s="1259"/>
    </row>
    <row r="817" spans="1:7" x14ac:dyDescent="0.25">
      <c r="A817" s="2181" t="s">
        <v>0</v>
      </c>
      <c r="B817" s="2181"/>
      <c r="C817" s="2181"/>
      <c r="D817" s="2181"/>
      <c r="E817" s="2181"/>
      <c r="F817" s="2181"/>
      <c r="G817" s="2181"/>
    </row>
    <row r="818" spans="1:7" x14ac:dyDescent="0.25">
      <c r="A818" s="2181" t="s">
        <v>1</v>
      </c>
      <c r="B818" s="2181"/>
      <c r="C818" s="2181"/>
      <c r="D818" s="2181"/>
      <c r="E818" s="2181"/>
      <c r="F818" s="2181"/>
      <c r="G818" s="2181"/>
    </row>
    <row r="819" spans="1:7" x14ac:dyDescent="0.25">
      <c r="A819" s="2181" t="s">
        <v>2398</v>
      </c>
      <c r="B819" s="2181"/>
      <c r="C819" s="2181"/>
      <c r="D819" s="2181"/>
      <c r="E819" s="2181"/>
      <c r="F819" s="2181"/>
      <c r="G819" s="2181"/>
    </row>
    <row r="820" spans="1:7" x14ac:dyDescent="0.25">
      <c r="A820" s="1330"/>
      <c r="B820" s="1330"/>
      <c r="C820" s="1380"/>
      <c r="D820" s="1380"/>
      <c r="E820" s="1381"/>
      <c r="F820" s="1330"/>
      <c r="G820" s="1269"/>
    </row>
    <row r="821" spans="1:7" x14ac:dyDescent="0.25">
      <c r="A821" s="1376" t="s">
        <v>491</v>
      </c>
      <c r="B821" s="1376" t="s">
        <v>412</v>
      </c>
      <c r="C821" s="1376"/>
      <c r="D821" s="1376"/>
      <c r="E821" s="1435"/>
      <c r="F821" s="1376"/>
      <c r="G821" s="1269"/>
    </row>
    <row r="822" spans="1:7" x14ac:dyDescent="0.25">
      <c r="A822" s="1376" t="s">
        <v>492</v>
      </c>
      <c r="B822" s="1376" t="s">
        <v>1816</v>
      </c>
      <c r="C822" s="1376"/>
      <c r="D822" s="1376"/>
      <c r="E822" s="1269"/>
      <c r="F822" s="1269"/>
      <c r="G822" s="1269"/>
    </row>
    <row r="823" spans="1:7" ht="60" x14ac:dyDescent="0.25">
      <c r="A823" s="1437" t="s">
        <v>493</v>
      </c>
      <c r="B823" s="1436" t="s">
        <v>2889</v>
      </c>
      <c r="C823" s="1376"/>
      <c r="D823" s="1376"/>
      <c r="E823" s="1269"/>
      <c r="F823" s="1269"/>
      <c r="G823" s="1269"/>
    </row>
    <row r="824" spans="1:7" ht="30" x14ac:dyDescent="0.25">
      <c r="A824" s="1438" t="s">
        <v>469</v>
      </c>
      <c r="B824" s="1439" t="s">
        <v>60</v>
      </c>
      <c r="C824" s="1330"/>
      <c r="D824" s="1330"/>
      <c r="E824" s="1330"/>
      <c r="F824" s="1330"/>
      <c r="G824" s="1269"/>
    </row>
    <row r="825" spans="1:7" x14ac:dyDescent="0.25">
      <c r="A825" s="2088" t="s">
        <v>470</v>
      </c>
      <c r="B825" s="2088"/>
      <c r="C825" s="1380"/>
      <c r="D825" s="1380"/>
      <c r="E825" s="1381"/>
      <c r="F825" s="1330"/>
      <c r="G825" s="1382"/>
    </row>
    <row r="826" spans="1:7" ht="30" x14ac:dyDescent="0.25">
      <c r="A826" s="1440" t="s">
        <v>30</v>
      </c>
      <c r="B826" s="1440" t="s">
        <v>11</v>
      </c>
      <c r="C826" s="2182" t="s">
        <v>12</v>
      </c>
      <c r="D826" s="2183"/>
      <c r="E826" s="1442" t="s">
        <v>13</v>
      </c>
      <c r="F826" s="1441" t="s">
        <v>14</v>
      </c>
      <c r="G826" s="1443" t="s">
        <v>34</v>
      </c>
    </row>
    <row r="827" spans="1:7" x14ac:dyDescent="0.25">
      <c r="A827" s="1336">
        <v>1</v>
      </c>
      <c r="B827" s="1336">
        <v>2</v>
      </c>
      <c r="C827" s="2090">
        <v>3</v>
      </c>
      <c r="D827" s="2091"/>
      <c r="E827" s="1338">
        <v>4</v>
      </c>
      <c r="F827" s="1337">
        <v>5</v>
      </c>
      <c r="G827" s="1444">
        <v>6</v>
      </c>
    </row>
    <row r="828" spans="1:7" x14ac:dyDescent="0.25">
      <c r="A828" s="1415" t="s">
        <v>1819</v>
      </c>
      <c r="B828" s="1403" t="s">
        <v>462</v>
      </c>
      <c r="C828" s="1445"/>
      <c r="D828" s="1446"/>
      <c r="E828" s="1447"/>
      <c r="F828" s="1445"/>
      <c r="G828" s="1448"/>
    </row>
    <row r="829" spans="1:7" x14ac:dyDescent="0.25">
      <c r="A829" s="1415" t="s">
        <v>1820</v>
      </c>
      <c r="B829" s="1403" t="s">
        <v>84</v>
      </c>
      <c r="C829" s="1445"/>
      <c r="D829" s="1446"/>
      <c r="E829" s="1447"/>
      <c r="F829" s="1445"/>
      <c r="G829" s="1448"/>
    </row>
    <row r="830" spans="1:7" ht="30" x14ac:dyDescent="0.25">
      <c r="A830" s="1415" t="s">
        <v>1822</v>
      </c>
      <c r="B830" s="1403" t="s">
        <v>307</v>
      </c>
      <c r="C830" s="1449"/>
      <c r="D830" s="1450"/>
      <c r="E830" s="1451"/>
      <c r="F830" s="1407"/>
      <c r="G830" s="1404"/>
    </row>
    <row r="831" spans="1:7" x14ac:dyDescent="0.25">
      <c r="A831" s="1448"/>
      <c r="B831" s="1402" t="s">
        <v>2890</v>
      </c>
      <c r="C831" s="1449">
        <v>35</v>
      </c>
      <c r="D831" s="1450" t="s">
        <v>474</v>
      </c>
      <c r="E831" s="1451">
        <v>20000</v>
      </c>
      <c r="F831" s="1407">
        <f>E831*C831</f>
        <v>700000</v>
      </c>
      <c r="G831" s="1404"/>
    </row>
    <row r="832" spans="1:7" x14ac:dyDescent="0.25">
      <c r="A832" s="1448"/>
      <c r="B832" s="1402"/>
      <c r="C832" s="1449"/>
      <c r="D832" s="1450"/>
      <c r="E832" s="1451"/>
      <c r="F832" s="1407"/>
      <c r="G832" s="1404"/>
    </row>
    <row r="833" spans="1:7" ht="30" x14ac:dyDescent="0.25">
      <c r="A833" s="1415" t="s">
        <v>1823</v>
      </c>
      <c r="B833" s="1403" t="s">
        <v>325</v>
      </c>
      <c r="C833" s="1449"/>
      <c r="D833" s="1450"/>
      <c r="E833" s="1451"/>
      <c r="F833" s="1407"/>
      <c r="G833" s="1404"/>
    </row>
    <row r="834" spans="1:7" x14ac:dyDescent="0.25">
      <c r="A834" s="1448"/>
      <c r="B834" s="1402" t="s">
        <v>326</v>
      </c>
      <c r="C834" s="1449">
        <v>1</v>
      </c>
      <c r="D834" s="1450" t="s">
        <v>93</v>
      </c>
      <c r="E834" s="1451">
        <v>90000</v>
      </c>
      <c r="F834" s="1407">
        <f>E834*C834</f>
        <v>90000</v>
      </c>
      <c r="G834" s="1404"/>
    </row>
    <row r="835" spans="1:7" x14ac:dyDescent="0.25">
      <c r="A835" s="1448"/>
      <c r="B835" s="1402"/>
      <c r="C835" s="1449"/>
      <c r="D835" s="1450"/>
      <c r="E835" s="1451"/>
      <c r="F835" s="1407"/>
      <c r="G835" s="1404"/>
    </row>
    <row r="836" spans="1:7" ht="30" x14ac:dyDescent="0.25">
      <c r="A836" s="1402" t="s">
        <v>2874</v>
      </c>
      <c r="B836" s="1403" t="s">
        <v>421</v>
      </c>
      <c r="C836" s="1449"/>
      <c r="D836" s="1450"/>
      <c r="E836" s="1451"/>
      <c r="F836" s="1465"/>
      <c r="G836" s="1404"/>
    </row>
    <row r="837" spans="1:7" x14ac:dyDescent="0.25">
      <c r="A837" s="1402"/>
      <c r="B837" s="1402" t="s">
        <v>422</v>
      </c>
      <c r="C837" s="1449">
        <v>1</v>
      </c>
      <c r="D837" s="1450" t="s">
        <v>93</v>
      </c>
      <c r="E837" s="1451">
        <v>50000</v>
      </c>
      <c r="F837" s="1465">
        <f>E837*C837</f>
        <v>50000</v>
      </c>
      <c r="G837" s="1404"/>
    </row>
    <row r="838" spans="1:7" x14ac:dyDescent="0.25">
      <c r="A838" s="1402"/>
      <c r="B838" s="1402" t="s">
        <v>275</v>
      </c>
      <c r="C838" s="1449">
        <v>5</v>
      </c>
      <c r="D838" s="1450" t="s">
        <v>606</v>
      </c>
      <c r="E838" s="1451">
        <v>3000</v>
      </c>
      <c r="F838" s="1465">
        <f>E838*C838</f>
        <v>15000</v>
      </c>
      <c r="G838" s="1404"/>
    </row>
    <row r="839" spans="1:7" x14ac:dyDescent="0.25">
      <c r="A839" s="1402"/>
      <c r="B839" s="1402" t="s">
        <v>289</v>
      </c>
      <c r="C839" s="1449">
        <v>1</v>
      </c>
      <c r="D839" s="1450" t="s">
        <v>152</v>
      </c>
      <c r="E839" s="1451">
        <v>10000</v>
      </c>
      <c r="F839" s="1465">
        <f>E839*C839</f>
        <v>10000</v>
      </c>
      <c r="G839" s="1404"/>
    </row>
    <row r="840" spans="1:7" x14ac:dyDescent="0.25">
      <c r="A840" s="1402"/>
      <c r="B840" s="1402"/>
      <c r="C840" s="1449"/>
      <c r="D840" s="1450"/>
      <c r="E840" s="1451"/>
      <c r="F840" s="1465"/>
      <c r="G840" s="1404"/>
    </row>
    <row r="841" spans="1:7" x14ac:dyDescent="0.25">
      <c r="A841" s="1415" t="s">
        <v>1824</v>
      </c>
      <c r="B841" s="1402" t="s">
        <v>294</v>
      </c>
      <c r="C841" s="1449"/>
      <c r="D841" s="1450"/>
      <c r="E841" s="1406"/>
      <c r="F841" s="1407"/>
      <c r="G841" s="1404"/>
    </row>
    <row r="842" spans="1:7" ht="30" x14ac:dyDescent="0.25">
      <c r="A842" s="1415" t="s">
        <v>1825</v>
      </c>
      <c r="B842" s="1403" t="s">
        <v>484</v>
      </c>
      <c r="C842" s="1449"/>
      <c r="D842" s="1450"/>
      <c r="E842" s="1406"/>
      <c r="F842" s="1407"/>
      <c r="G842" s="1404"/>
    </row>
    <row r="843" spans="1:7" x14ac:dyDescent="0.25">
      <c r="A843" s="1448"/>
      <c r="B843" s="1402" t="s">
        <v>402</v>
      </c>
      <c r="C843" s="1449">
        <v>1</v>
      </c>
      <c r="D843" s="1450" t="s">
        <v>269</v>
      </c>
      <c r="E843" s="1406">
        <v>300000</v>
      </c>
      <c r="F843" s="1407">
        <f>E843*C843</f>
        <v>300000</v>
      </c>
      <c r="G843" s="1404"/>
    </row>
    <row r="844" spans="1:7" x14ac:dyDescent="0.25">
      <c r="A844" s="1448"/>
      <c r="B844" s="1402" t="s">
        <v>502</v>
      </c>
      <c r="C844" s="1449">
        <v>1</v>
      </c>
      <c r="D844" s="1450" t="s">
        <v>269</v>
      </c>
      <c r="E844" s="1406">
        <v>250000</v>
      </c>
      <c r="F844" s="1407">
        <f>E844*C844</f>
        <v>250000</v>
      </c>
      <c r="G844" s="1404"/>
    </row>
    <row r="845" spans="1:7" x14ac:dyDescent="0.25">
      <c r="A845" s="1448"/>
      <c r="B845" s="1402" t="s">
        <v>485</v>
      </c>
      <c r="C845" s="1449">
        <v>3</v>
      </c>
      <c r="D845" s="1450" t="s">
        <v>269</v>
      </c>
      <c r="E845" s="1406">
        <v>200000</v>
      </c>
      <c r="F845" s="1407">
        <f>E845*C845</f>
        <v>600000</v>
      </c>
      <c r="G845" s="1404"/>
    </row>
    <row r="846" spans="1:7" x14ac:dyDescent="0.25">
      <c r="A846" s="1448"/>
      <c r="B846" s="1402"/>
      <c r="C846" s="1449"/>
      <c r="D846" s="1450"/>
      <c r="E846" s="1406"/>
      <c r="F846" s="1407"/>
      <c r="G846" s="1404"/>
    </row>
    <row r="847" spans="1:7" ht="45" x14ac:dyDescent="0.25">
      <c r="A847" s="1402" t="s">
        <v>1826</v>
      </c>
      <c r="B847" s="1403" t="s">
        <v>411</v>
      </c>
      <c r="C847" s="1449"/>
      <c r="D847" s="1450"/>
      <c r="E847" s="1406"/>
      <c r="F847" s="1407"/>
      <c r="G847" s="1404"/>
    </row>
    <row r="848" spans="1:7" ht="30" x14ac:dyDescent="0.25">
      <c r="A848" s="1448"/>
      <c r="B848" s="1403" t="s">
        <v>2445</v>
      </c>
      <c r="C848" s="1449">
        <v>2</v>
      </c>
      <c r="D848" s="1450" t="s">
        <v>392</v>
      </c>
      <c r="E848" s="1406">
        <v>900000</v>
      </c>
      <c r="F848" s="1407">
        <f>E848*C848</f>
        <v>1800000</v>
      </c>
      <c r="G848" s="1404"/>
    </row>
    <row r="849" spans="1:7" x14ac:dyDescent="0.25">
      <c r="A849" s="1448"/>
      <c r="B849" s="1402"/>
      <c r="C849" s="1449"/>
      <c r="D849" s="1450"/>
      <c r="E849" s="1451"/>
      <c r="F849" s="1407"/>
      <c r="G849" s="1404"/>
    </row>
    <row r="850" spans="1:7" ht="30" x14ac:dyDescent="0.25">
      <c r="A850" s="1415" t="s">
        <v>1828</v>
      </c>
      <c r="B850" s="1403" t="s">
        <v>486</v>
      </c>
      <c r="C850" s="1449"/>
      <c r="D850" s="1450"/>
      <c r="E850" s="1451"/>
      <c r="F850" s="1407"/>
      <c r="G850" s="1404"/>
    </row>
    <row r="851" spans="1:7" ht="45" x14ac:dyDescent="0.25">
      <c r="A851" s="1402" t="s">
        <v>1829</v>
      </c>
      <c r="B851" s="1403" t="s">
        <v>487</v>
      </c>
      <c r="C851" s="1449"/>
      <c r="D851" s="1450"/>
      <c r="E851" s="1451"/>
      <c r="F851" s="1407"/>
      <c r="G851" s="1404"/>
    </row>
    <row r="852" spans="1:7" x14ac:dyDescent="0.25">
      <c r="A852" s="1448"/>
      <c r="B852" s="1452" t="s">
        <v>2891</v>
      </c>
      <c r="C852" s="1481">
        <v>64</v>
      </c>
      <c r="D852" s="1450" t="s">
        <v>1801</v>
      </c>
      <c r="E852" s="1451">
        <v>800000</v>
      </c>
      <c r="F852" s="1407">
        <f>E852*C852</f>
        <v>51200000</v>
      </c>
      <c r="G852" s="1404"/>
    </row>
    <row r="853" spans="1:7" x14ac:dyDescent="0.25">
      <c r="A853" s="1448"/>
      <c r="B853" s="1452" t="s">
        <v>2892</v>
      </c>
      <c r="C853" s="1449">
        <v>64</v>
      </c>
      <c r="D853" s="1450" t="s">
        <v>93</v>
      </c>
      <c r="E853" s="1451">
        <v>25000</v>
      </c>
      <c r="F853" s="1407">
        <f t="shared" ref="F853:F868" si="17">E853*C853</f>
        <v>1600000</v>
      </c>
      <c r="G853" s="1404"/>
    </row>
    <row r="854" spans="1:7" x14ac:dyDescent="0.25">
      <c r="A854" s="1448"/>
      <c r="B854" s="1452" t="s">
        <v>2893</v>
      </c>
      <c r="C854" s="1449">
        <f>25*32</f>
        <v>800</v>
      </c>
      <c r="D854" s="1450" t="s">
        <v>93</v>
      </c>
      <c r="E854" s="1451">
        <v>11000</v>
      </c>
      <c r="F854" s="1407">
        <f t="shared" si="17"/>
        <v>8800000</v>
      </c>
      <c r="G854" s="1404"/>
    </row>
    <row r="855" spans="1:7" x14ac:dyDescent="0.25">
      <c r="A855" s="1448"/>
      <c r="B855" s="1452" t="s">
        <v>2511</v>
      </c>
      <c r="C855" s="1449">
        <v>32</v>
      </c>
      <c r="D855" s="1450" t="s">
        <v>1274</v>
      </c>
      <c r="E855" s="1451">
        <v>15000</v>
      </c>
      <c r="F855" s="1407">
        <f t="shared" si="17"/>
        <v>480000</v>
      </c>
      <c r="G855" s="1404"/>
    </row>
    <row r="856" spans="1:7" x14ac:dyDescent="0.25">
      <c r="A856" s="1448"/>
      <c r="B856" s="1452" t="s">
        <v>2877</v>
      </c>
      <c r="C856" s="1449">
        <f>5*32</f>
        <v>160</v>
      </c>
      <c r="D856" s="1450" t="s">
        <v>124</v>
      </c>
      <c r="E856" s="1451">
        <v>20000</v>
      </c>
      <c r="F856" s="1407">
        <f t="shared" si="17"/>
        <v>3200000</v>
      </c>
      <c r="G856" s="1404"/>
    </row>
    <row r="857" spans="1:7" x14ac:dyDescent="0.25">
      <c r="A857" s="1448"/>
      <c r="B857" s="1452" t="s">
        <v>2856</v>
      </c>
      <c r="C857" s="1449">
        <v>32</v>
      </c>
      <c r="D857" s="1450" t="s">
        <v>93</v>
      </c>
      <c r="E857" s="1451">
        <v>735000</v>
      </c>
      <c r="F857" s="1407">
        <f t="shared" si="17"/>
        <v>23520000</v>
      </c>
      <c r="G857" s="1404"/>
    </row>
    <row r="858" spans="1:7" x14ac:dyDescent="0.25">
      <c r="A858" s="1448"/>
      <c r="B858" s="1452" t="s">
        <v>2879</v>
      </c>
      <c r="C858" s="1449">
        <v>32</v>
      </c>
      <c r="D858" s="1450" t="s">
        <v>93</v>
      </c>
      <c r="E858" s="1451">
        <v>69000</v>
      </c>
      <c r="F858" s="1407">
        <f t="shared" si="17"/>
        <v>2208000</v>
      </c>
      <c r="G858" s="1404"/>
    </row>
    <row r="859" spans="1:7" x14ac:dyDescent="0.25">
      <c r="A859" s="1448"/>
      <c r="B859" s="1452" t="s">
        <v>2894</v>
      </c>
      <c r="C859" s="1449">
        <v>40</v>
      </c>
      <c r="D859" s="1450" t="s">
        <v>164</v>
      </c>
      <c r="E859" s="1451">
        <v>129000</v>
      </c>
      <c r="F859" s="1407">
        <f t="shared" si="17"/>
        <v>5160000</v>
      </c>
      <c r="G859" s="1404"/>
    </row>
    <row r="860" spans="1:7" x14ac:dyDescent="0.25">
      <c r="A860" s="1448"/>
      <c r="B860" s="1452" t="s">
        <v>2895</v>
      </c>
      <c r="C860" s="1449">
        <v>32</v>
      </c>
      <c r="D860" s="1450" t="s">
        <v>93</v>
      </c>
      <c r="E860" s="1451">
        <v>526000</v>
      </c>
      <c r="F860" s="1407">
        <f t="shared" si="17"/>
        <v>16832000</v>
      </c>
      <c r="G860" s="1404"/>
    </row>
    <row r="861" spans="1:7" x14ac:dyDescent="0.25">
      <c r="A861" s="1448"/>
      <c r="B861" s="1452" t="s">
        <v>2896</v>
      </c>
      <c r="C861" s="1449">
        <v>64</v>
      </c>
      <c r="D861" s="1450" t="s">
        <v>90</v>
      </c>
      <c r="E861" s="1451">
        <v>50000</v>
      </c>
      <c r="F861" s="1407">
        <f t="shared" si="17"/>
        <v>3200000</v>
      </c>
      <c r="G861" s="1404"/>
    </row>
    <row r="862" spans="1:7" x14ac:dyDescent="0.25">
      <c r="A862" s="1448"/>
      <c r="B862" s="1452" t="s">
        <v>2897</v>
      </c>
      <c r="C862" s="1449">
        <v>32</v>
      </c>
      <c r="D862" s="1450" t="s">
        <v>93</v>
      </c>
      <c r="E862" s="1451">
        <v>355000</v>
      </c>
      <c r="F862" s="1407">
        <f t="shared" si="17"/>
        <v>11360000</v>
      </c>
      <c r="G862" s="1404"/>
    </row>
    <row r="863" spans="1:7" x14ac:dyDescent="0.25">
      <c r="A863" s="1448"/>
      <c r="B863" s="1452" t="s">
        <v>2898</v>
      </c>
      <c r="C863" s="1449">
        <v>32</v>
      </c>
      <c r="D863" s="1450" t="s">
        <v>93</v>
      </c>
      <c r="E863" s="1451">
        <v>228000</v>
      </c>
      <c r="F863" s="1407">
        <f t="shared" si="17"/>
        <v>7296000</v>
      </c>
      <c r="G863" s="1404"/>
    </row>
    <row r="864" spans="1:7" x14ac:dyDescent="0.25">
      <c r="A864" s="1448"/>
      <c r="B864" s="1452" t="s">
        <v>2899</v>
      </c>
      <c r="C864" s="1449">
        <f>32*3</f>
        <v>96</v>
      </c>
      <c r="D864" s="1450" t="s">
        <v>171</v>
      </c>
      <c r="E864" s="1451">
        <v>50000</v>
      </c>
      <c r="F864" s="1407">
        <f t="shared" si="17"/>
        <v>4800000</v>
      </c>
      <c r="G864" s="1404"/>
    </row>
    <row r="865" spans="1:7" x14ac:dyDescent="0.25">
      <c r="A865" s="1448"/>
      <c r="B865" s="1452" t="s">
        <v>2881</v>
      </c>
      <c r="C865" s="1449">
        <v>32</v>
      </c>
      <c r="D865" s="1450" t="s">
        <v>93</v>
      </c>
      <c r="E865" s="1451">
        <v>128000</v>
      </c>
      <c r="F865" s="1407">
        <f t="shared" si="17"/>
        <v>4096000</v>
      </c>
      <c r="G865" s="1404"/>
    </row>
    <row r="866" spans="1:7" x14ac:dyDescent="0.25">
      <c r="A866" s="1448"/>
      <c r="B866" s="1402" t="s">
        <v>2900</v>
      </c>
      <c r="C866" s="1449">
        <v>32</v>
      </c>
      <c r="D866" s="1450" t="s">
        <v>93</v>
      </c>
      <c r="E866" s="1451">
        <v>47000</v>
      </c>
      <c r="F866" s="1407">
        <f t="shared" si="17"/>
        <v>1504000</v>
      </c>
      <c r="G866" s="1404"/>
    </row>
    <row r="867" spans="1:7" x14ac:dyDescent="0.25">
      <c r="A867" s="1448"/>
      <c r="B867" s="1466" t="s">
        <v>2901</v>
      </c>
      <c r="C867" s="1467">
        <v>32</v>
      </c>
      <c r="D867" s="1468" t="s">
        <v>93</v>
      </c>
      <c r="E867" s="1469">
        <v>150000</v>
      </c>
      <c r="F867" s="1407">
        <f t="shared" si="17"/>
        <v>4800000</v>
      </c>
      <c r="G867" s="1404"/>
    </row>
    <row r="868" spans="1:7" x14ac:dyDescent="0.25">
      <c r="A868" s="1448"/>
      <c r="B868" s="1466" t="s">
        <v>2902</v>
      </c>
      <c r="C868" s="1467">
        <v>32</v>
      </c>
      <c r="D868" s="1468" t="s">
        <v>93</v>
      </c>
      <c r="E868" s="1469">
        <v>81000</v>
      </c>
      <c r="F868" s="1407">
        <f t="shared" si="17"/>
        <v>2592000</v>
      </c>
      <c r="G868" s="1404"/>
    </row>
    <row r="869" spans="1:7" x14ac:dyDescent="0.25">
      <c r="A869" s="1453"/>
      <c r="B869" s="2184" t="s">
        <v>26</v>
      </c>
      <c r="C869" s="2184"/>
      <c r="D869" s="2184"/>
      <c r="E869" s="2184"/>
      <c r="F869" s="1454">
        <f>SUM(F831:F868)</f>
        <v>156463000</v>
      </c>
      <c r="G869" s="1455"/>
    </row>
    <row r="870" spans="1:7" x14ac:dyDescent="0.25">
      <c r="A870" s="1969" t="s">
        <v>516</v>
      </c>
      <c r="B870" s="1969"/>
      <c r="C870" s="1259" t="s">
        <v>27</v>
      </c>
      <c r="D870" s="1970" t="s">
        <v>1224</v>
      </c>
      <c r="E870" s="1970"/>
      <c r="F870" s="1970"/>
      <c r="G870" s="1259"/>
    </row>
    <row r="871" spans="1:7" x14ac:dyDescent="0.25">
      <c r="A871" s="1969" t="s">
        <v>28</v>
      </c>
      <c r="B871" s="1969"/>
      <c r="C871" s="1259"/>
      <c r="D871" s="1971" t="s">
        <v>2443</v>
      </c>
      <c r="E871" s="1971"/>
      <c r="F871" s="1971"/>
      <c r="G871" s="1259"/>
    </row>
    <row r="872" spans="1:7" x14ac:dyDescent="0.25">
      <c r="A872" s="1261"/>
      <c r="B872" s="1262"/>
      <c r="C872" s="1259"/>
      <c r="D872" s="1260"/>
      <c r="E872" s="948"/>
      <c r="F872" s="948"/>
      <c r="G872" s="1259"/>
    </row>
    <row r="873" spans="1:7" x14ac:dyDescent="0.25">
      <c r="A873" s="1261"/>
      <c r="B873" s="1262"/>
      <c r="C873" s="1259"/>
      <c r="D873" s="1260"/>
      <c r="E873" s="948"/>
      <c r="F873" s="948"/>
      <c r="G873" s="1259"/>
    </row>
    <row r="874" spans="1:7" x14ac:dyDescent="0.25">
      <c r="A874" s="1969"/>
      <c r="B874" s="1969"/>
      <c r="C874" s="1259"/>
      <c r="D874" s="1260"/>
      <c r="E874" s="1969"/>
      <c r="F874" s="1969"/>
      <c r="G874" s="1259"/>
    </row>
    <row r="875" spans="1:7" x14ac:dyDescent="0.25">
      <c r="A875" s="1969" t="s">
        <v>29</v>
      </c>
      <c r="B875" s="1969"/>
      <c r="C875" s="1259"/>
      <c r="D875" s="1969" t="s">
        <v>517</v>
      </c>
      <c r="E875" s="1969"/>
      <c r="F875" s="1969"/>
      <c r="G875" s="1259"/>
    </row>
    <row r="876" spans="1:7" x14ac:dyDescent="0.25">
      <c r="A876" s="1980" t="s">
        <v>0</v>
      </c>
      <c r="B876" s="1980"/>
      <c r="C876" s="1980"/>
      <c r="D876" s="1980"/>
      <c r="E876" s="1980"/>
      <c r="F876" s="1980"/>
      <c r="G876" s="1003"/>
    </row>
    <row r="877" spans="1:7" x14ac:dyDescent="0.25">
      <c r="A877" s="1980" t="s">
        <v>1</v>
      </c>
      <c r="B877" s="1980"/>
      <c r="C877" s="1980"/>
      <c r="D877" s="1980"/>
      <c r="E877" s="1980"/>
      <c r="F877" s="1980"/>
      <c r="G877" s="1003"/>
    </row>
    <row r="878" spans="1:7" x14ac:dyDescent="0.25">
      <c r="A878" s="1980" t="s">
        <v>2398</v>
      </c>
      <c r="B878" s="1980"/>
      <c r="C878" s="1980"/>
      <c r="D878" s="1980"/>
      <c r="E878" s="1980"/>
      <c r="F878" s="1980"/>
      <c r="G878" s="1003"/>
    </row>
    <row r="879" spans="1:7" x14ac:dyDescent="0.25">
      <c r="A879" s="1003"/>
      <c r="B879" s="1003"/>
      <c r="C879" s="1002"/>
      <c r="D879" s="1002"/>
      <c r="E879" s="1004"/>
      <c r="F879" s="1003"/>
      <c r="G879" s="1003"/>
    </row>
    <row r="880" spans="1:7" x14ac:dyDescent="0.25">
      <c r="A880" s="1005" t="s">
        <v>236</v>
      </c>
      <c r="B880" s="1005" t="s">
        <v>1813</v>
      </c>
      <c r="C880" s="1002"/>
      <c r="D880" s="1002"/>
      <c r="E880" s="1006" t="s">
        <v>6</v>
      </c>
      <c r="F880" s="1006" t="s">
        <v>1814</v>
      </c>
      <c r="G880" s="1003"/>
    </row>
    <row r="881" spans="1:7" x14ac:dyDescent="0.25">
      <c r="A881" s="1005" t="s">
        <v>1815</v>
      </c>
      <c r="B881" s="1005" t="s">
        <v>1816</v>
      </c>
      <c r="C881" s="1002"/>
      <c r="D881" s="1002"/>
      <c r="E881" s="1007" t="s">
        <v>482</v>
      </c>
      <c r="F881" s="1008" t="s">
        <v>1410</v>
      </c>
      <c r="G881" s="1003"/>
    </row>
    <row r="882" spans="1:7" ht="48.75" x14ac:dyDescent="0.25">
      <c r="A882" s="1009" t="s">
        <v>1817</v>
      </c>
      <c r="B882" s="1010" t="s">
        <v>1818</v>
      </c>
      <c r="C882" s="1002"/>
      <c r="D882" s="1002"/>
      <c r="E882" s="1011"/>
      <c r="F882" s="1005"/>
      <c r="G882" s="1003"/>
    </row>
    <row r="883" spans="1:7" x14ac:dyDescent="0.25">
      <c r="A883" s="1003" t="s">
        <v>37</v>
      </c>
      <c r="B883" s="1003" t="s">
        <v>60</v>
      </c>
      <c r="C883" s="1002"/>
      <c r="D883" s="1002"/>
      <c r="E883" s="1003"/>
      <c r="F883" s="1003"/>
      <c r="G883" s="1003"/>
    </row>
    <row r="884" spans="1:7" x14ac:dyDescent="0.25">
      <c r="A884" s="2198" t="s">
        <v>470</v>
      </c>
      <c r="B884" s="2198"/>
      <c r="C884" s="1002"/>
      <c r="D884" s="1002"/>
      <c r="E884" s="1004"/>
      <c r="F884" s="1003"/>
      <c r="G884" s="1003"/>
    </row>
    <row r="885" spans="1:7" x14ac:dyDescent="0.25">
      <c r="A885" s="1003"/>
      <c r="B885" s="1003"/>
      <c r="C885" s="1002"/>
      <c r="D885" s="1002"/>
      <c r="E885" s="1004"/>
      <c r="F885" s="1003"/>
      <c r="G885" s="1003"/>
    </row>
    <row r="886" spans="1:7" ht="24" x14ac:dyDescent="0.25">
      <c r="A886" s="1012" t="s">
        <v>30</v>
      </c>
      <c r="B886" s="1012" t="s">
        <v>11</v>
      </c>
      <c r="C886" s="2199" t="s">
        <v>12</v>
      </c>
      <c r="D886" s="2200"/>
      <c r="E886" s="1014" t="s">
        <v>13</v>
      </c>
      <c r="F886" s="1013" t="s">
        <v>14</v>
      </c>
      <c r="G886" s="1015" t="s">
        <v>34</v>
      </c>
    </row>
    <row r="887" spans="1:7" x14ac:dyDescent="0.25">
      <c r="A887" s="1016">
        <v>1</v>
      </c>
      <c r="B887" s="1016">
        <v>2</v>
      </c>
      <c r="C887" s="2201">
        <v>3</v>
      </c>
      <c r="D887" s="2202"/>
      <c r="E887" s="1018">
        <v>4</v>
      </c>
      <c r="F887" s="1017">
        <v>5</v>
      </c>
      <c r="G887" s="1019">
        <v>6</v>
      </c>
    </row>
    <row r="888" spans="1:7" x14ac:dyDescent="0.25">
      <c r="A888" s="1020" t="s">
        <v>1819</v>
      </c>
      <c r="B888" s="1021" t="s">
        <v>462</v>
      </c>
      <c r="C888" s="1022"/>
      <c r="D888" s="1023"/>
      <c r="E888" s="1024"/>
      <c r="F888" s="1022"/>
      <c r="G888" s="1025"/>
    </row>
    <row r="889" spans="1:7" x14ac:dyDescent="0.25">
      <c r="A889" s="1020" t="s">
        <v>1820</v>
      </c>
      <c r="B889" s="1021" t="s">
        <v>84</v>
      </c>
      <c r="C889" s="1022"/>
      <c r="D889" s="1023"/>
      <c r="E889" s="1024"/>
      <c r="F889" s="1022"/>
      <c r="G889" s="1025"/>
    </row>
    <row r="890" spans="1:7" ht="24.75" x14ac:dyDescent="0.25">
      <c r="A890" s="1026" t="s">
        <v>1821</v>
      </c>
      <c r="B890" s="1021" t="s">
        <v>278</v>
      </c>
      <c r="C890" s="1022"/>
      <c r="D890" s="1023"/>
      <c r="E890" s="1024"/>
      <c r="F890" s="1022"/>
      <c r="G890" s="1025"/>
    </row>
    <row r="891" spans="1:7" x14ac:dyDescent="0.25">
      <c r="A891" s="1025"/>
      <c r="B891" s="1026" t="s">
        <v>2634</v>
      </c>
      <c r="C891" s="1027">
        <v>2</v>
      </c>
      <c r="D891" s="1028" t="s">
        <v>87</v>
      </c>
      <c r="E891" s="1029">
        <v>61000</v>
      </c>
      <c r="F891" s="1030">
        <f>E891*C891</f>
        <v>122000</v>
      </c>
      <c r="G891" s="1025"/>
    </row>
    <row r="892" spans="1:7" x14ac:dyDescent="0.25">
      <c r="A892" s="1025"/>
      <c r="B892" s="1026" t="s">
        <v>261</v>
      </c>
      <c r="C892" s="1027">
        <v>10</v>
      </c>
      <c r="D892" s="1028" t="s">
        <v>93</v>
      </c>
      <c r="E892" s="1029">
        <v>5000</v>
      </c>
      <c r="F892" s="1030">
        <f>E892*C892</f>
        <v>50000</v>
      </c>
      <c r="G892" s="1025"/>
    </row>
    <row r="893" spans="1:7" x14ac:dyDescent="0.25">
      <c r="A893" s="1025"/>
      <c r="B893" s="1026" t="s">
        <v>105</v>
      </c>
      <c r="C893" s="1027">
        <v>10</v>
      </c>
      <c r="D893" s="1028" t="s">
        <v>93</v>
      </c>
      <c r="E893" s="1029">
        <v>7000</v>
      </c>
      <c r="F893" s="1030">
        <f>E893*C893</f>
        <v>70000</v>
      </c>
      <c r="G893" s="1025"/>
    </row>
    <row r="894" spans="1:7" x14ac:dyDescent="0.25">
      <c r="A894" s="1025"/>
      <c r="B894" s="1026" t="s">
        <v>1090</v>
      </c>
      <c r="C894" s="1027">
        <v>500</v>
      </c>
      <c r="D894" s="1028" t="s">
        <v>266</v>
      </c>
      <c r="E894" s="1029">
        <v>350</v>
      </c>
      <c r="F894" s="1030">
        <f>E894*C894</f>
        <v>175000</v>
      </c>
      <c r="G894" s="1025"/>
    </row>
    <row r="895" spans="1:7" x14ac:dyDescent="0.25">
      <c r="A895" s="1025"/>
      <c r="B895" s="1026"/>
      <c r="C895" s="1027"/>
      <c r="D895" s="1028"/>
      <c r="E895" s="1029"/>
      <c r="F895" s="1030"/>
      <c r="G895" s="1025"/>
    </row>
    <row r="896" spans="1:7" x14ac:dyDescent="0.25">
      <c r="A896" s="1026" t="s">
        <v>1822</v>
      </c>
      <c r="B896" s="1026" t="s">
        <v>307</v>
      </c>
      <c r="C896" s="1027"/>
      <c r="D896" s="1028"/>
      <c r="E896" s="1029"/>
      <c r="F896" s="1030"/>
      <c r="G896" s="1025"/>
    </row>
    <row r="897" spans="1:7" x14ac:dyDescent="0.25">
      <c r="A897" s="1025"/>
      <c r="B897" s="1026" t="s">
        <v>1835</v>
      </c>
      <c r="C897" s="1027">
        <v>34</v>
      </c>
      <c r="D897" s="1028" t="s">
        <v>269</v>
      </c>
      <c r="E897" s="1029">
        <v>20000</v>
      </c>
      <c r="F897" s="1030">
        <f>E897*C897</f>
        <v>680000</v>
      </c>
      <c r="G897" s="1025"/>
    </row>
    <row r="898" spans="1:7" x14ac:dyDescent="0.25">
      <c r="A898" s="1025"/>
      <c r="B898" s="1026"/>
      <c r="C898" s="1027"/>
      <c r="D898" s="1028"/>
      <c r="E898" s="1029"/>
      <c r="F898" s="1030"/>
      <c r="G898" s="1025"/>
    </row>
    <row r="899" spans="1:7" x14ac:dyDescent="0.25">
      <c r="A899" s="1026" t="s">
        <v>1823</v>
      </c>
      <c r="B899" s="1026" t="s">
        <v>325</v>
      </c>
      <c r="C899" s="1027"/>
      <c r="D899" s="1028"/>
      <c r="E899" s="1029"/>
      <c r="F899" s="1030"/>
      <c r="G899" s="1025"/>
    </row>
    <row r="900" spans="1:7" x14ac:dyDescent="0.25">
      <c r="A900" s="1025"/>
      <c r="B900" s="1026" t="s">
        <v>326</v>
      </c>
      <c r="C900" s="1027">
        <v>1</v>
      </c>
      <c r="D900" s="1028" t="s">
        <v>93</v>
      </c>
      <c r="E900" s="1029">
        <v>90000</v>
      </c>
      <c r="F900" s="1030">
        <f>E900*C900</f>
        <v>90000</v>
      </c>
      <c r="G900" s="1025"/>
    </row>
    <row r="901" spans="1:7" x14ac:dyDescent="0.25">
      <c r="A901" s="1025"/>
      <c r="B901" s="1026"/>
      <c r="C901" s="1027"/>
      <c r="D901" s="1028"/>
      <c r="E901" s="1029"/>
      <c r="F901" s="1030"/>
      <c r="G901" s="1025"/>
    </row>
    <row r="902" spans="1:7" x14ac:dyDescent="0.25">
      <c r="A902" s="1026" t="s">
        <v>1824</v>
      </c>
      <c r="B902" s="1026" t="s">
        <v>294</v>
      </c>
      <c r="C902" s="1027"/>
      <c r="D902" s="1028"/>
      <c r="E902" s="1031"/>
      <c r="F902" s="1030"/>
      <c r="G902" s="1025"/>
    </row>
    <row r="903" spans="1:7" ht="24.75" x14ac:dyDescent="0.25">
      <c r="A903" s="1026" t="s">
        <v>1825</v>
      </c>
      <c r="B903" s="1021" t="s">
        <v>484</v>
      </c>
      <c r="C903" s="1027"/>
      <c r="D903" s="1028"/>
      <c r="E903" s="1031"/>
      <c r="F903" s="1030"/>
      <c r="G903" s="1025"/>
    </row>
    <row r="904" spans="1:7" x14ac:dyDescent="0.25">
      <c r="A904" s="1025"/>
      <c r="B904" s="1026" t="s">
        <v>402</v>
      </c>
      <c r="C904" s="1027">
        <v>1</v>
      </c>
      <c r="D904" s="1028" t="s">
        <v>269</v>
      </c>
      <c r="E904" s="1031">
        <v>300000</v>
      </c>
      <c r="F904" s="1030">
        <f>E904*C904</f>
        <v>300000</v>
      </c>
      <c r="G904" s="1025"/>
    </row>
    <row r="905" spans="1:7" x14ac:dyDescent="0.25">
      <c r="A905" s="1025"/>
      <c r="B905" s="1026" t="s">
        <v>502</v>
      </c>
      <c r="C905" s="1027">
        <v>1</v>
      </c>
      <c r="D905" s="1028" t="s">
        <v>269</v>
      </c>
      <c r="E905" s="1031">
        <v>250000</v>
      </c>
      <c r="F905" s="1030">
        <f>E905*C905</f>
        <v>250000</v>
      </c>
      <c r="G905" s="1025"/>
    </row>
    <row r="906" spans="1:7" x14ac:dyDescent="0.25">
      <c r="A906" s="1025"/>
      <c r="B906" s="1026" t="s">
        <v>485</v>
      </c>
      <c r="C906" s="1027">
        <v>3</v>
      </c>
      <c r="D906" s="1028" t="s">
        <v>269</v>
      </c>
      <c r="E906" s="1031">
        <v>200000</v>
      </c>
      <c r="F906" s="1030">
        <f>E906*C906</f>
        <v>600000</v>
      </c>
      <c r="G906" s="1025"/>
    </row>
    <row r="907" spans="1:7" x14ac:dyDescent="0.25">
      <c r="A907" s="1025"/>
      <c r="B907" s="1026"/>
      <c r="C907" s="1027"/>
      <c r="D907" s="1028"/>
      <c r="E907" s="1031"/>
      <c r="F907" s="1030"/>
      <c r="G907" s="1025"/>
    </row>
    <row r="908" spans="1:7" ht="24.75" x14ac:dyDescent="0.25">
      <c r="A908" s="1026" t="s">
        <v>1826</v>
      </c>
      <c r="B908" s="1021" t="s">
        <v>411</v>
      </c>
      <c r="C908" s="1027"/>
      <c r="D908" s="1028"/>
      <c r="E908" s="1031"/>
      <c r="F908" s="1030"/>
      <c r="G908" s="1025"/>
    </row>
    <row r="909" spans="1:7" x14ac:dyDescent="0.25">
      <c r="A909" s="1025"/>
      <c r="B909" s="1026" t="s">
        <v>1827</v>
      </c>
      <c r="C909" s="1027">
        <v>4</v>
      </c>
      <c r="D909" s="1028" t="s">
        <v>392</v>
      </c>
      <c r="E909" s="1031">
        <v>900000</v>
      </c>
      <c r="F909" s="1030">
        <f>E909*C909</f>
        <v>3600000</v>
      </c>
      <c r="G909" s="1025"/>
    </row>
    <row r="910" spans="1:7" x14ac:dyDescent="0.25">
      <c r="A910" s="1025"/>
      <c r="B910" s="1026"/>
      <c r="C910" s="1027"/>
      <c r="D910" s="1028"/>
      <c r="E910" s="1029"/>
      <c r="F910" s="1030"/>
      <c r="G910" s="1025"/>
    </row>
    <row r="911" spans="1:7" ht="24.75" x14ac:dyDescent="0.25">
      <c r="A911" s="1020" t="s">
        <v>1828</v>
      </c>
      <c r="B911" s="1021" t="s">
        <v>486</v>
      </c>
      <c r="C911" s="1027"/>
      <c r="D911" s="1028"/>
      <c r="E911" s="1029"/>
      <c r="F911" s="1030"/>
      <c r="G911" s="1025"/>
    </row>
    <row r="912" spans="1:7" ht="24.75" x14ac:dyDescent="0.25">
      <c r="A912" s="1026" t="s">
        <v>1829</v>
      </c>
      <c r="B912" s="1021" t="s">
        <v>487</v>
      </c>
      <c r="C912" s="1027"/>
      <c r="D912" s="1028"/>
      <c r="E912" s="1029"/>
      <c r="F912" s="1030"/>
      <c r="G912" s="1025"/>
    </row>
    <row r="913" spans="1:7" x14ac:dyDescent="0.25">
      <c r="A913" s="1025"/>
      <c r="B913" s="1026" t="s">
        <v>1830</v>
      </c>
      <c r="C913" s="1027">
        <v>15</v>
      </c>
      <c r="D913" s="1028" t="s">
        <v>110</v>
      </c>
      <c r="E913" s="1029">
        <v>8000000</v>
      </c>
      <c r="F913" s="1030">
        <f t="shared" ref="F913:F919" si="18">E913*C913</f>
        <v>120000000</v>
      </c>
      <c r="G913" s="1025"/>
    </row>
    <row r="914" spans="1:7" x14ac:dyDescent="0.25">
      <c r="A914" s="1025"/>
      <c r="B914" s="1026" t="s">
        <v>1831</v>
      </c>
      <c r="C914" s="1027">
        <v>15</v>
      </c>
      <c r="D914" s="1028" t="s">
        <v>93</v>
      </c>
      <c r="E914" s="1029">
        <v>35000</v>
      </c>
      <c r="F914" s="1030">
        <f t="shared" si="18"/>
        <v>525000</v>
      </c>
      <c r="G914" s="1025"/>
    </row>
    <row r="915" spans="1:7" x14ac:dyDescent="0.25">
      <c r="A915" s="1025"/>
      <c r="B915" s="1026" t="s">
        <v>1836</v>
      </c>
      <c r="C915" s="1027">
        <v>15</v>
      </c>
      <c r="D915" s="1028" t="s">
        <v>93</v>
      </c>
      <c r="E915" s="1029">
        <v>2500000</v>
      </c>
      <c r="F915" s="1030">
        <f t="shared" si="18"/>
        <v>37500000</v>
      </c>
      <c r="G915" s="1025"/>
    </row>
    <row r="916" spans="1:7" x14ac:dyDescent="0.25">
      <c r="A916" s="1025"/>
      <c r="B916" s="1026" t="s">
        <v>1832</v>
      </c>
      <c r="C916" s="1027">
        <v>15</v>
      </c>
      <c r="D916" s="1028" t="s">
        <v>93</v>
      </c>
      <c r="E916" s="1029">
        <v>187000</v>
      </c>
      <c r="F916" s="1030">
        <f t="shared" si="18"/>
        <v>2805000</v>
      </c>
      <c r="G916" s="1025"/>
    </row>
    <row r="917" spans="1:7" x14ac:dyDescent="0.25">
      <c r="A917" s="1025"/>
      <c r="B917" s="1026" t="s">
        <v>1440</v>
      </c>
      <c r="C917" s="1027">
        <v>15</v>
      </c>
      <c r="D917" s="1028" t="s">
        <v>93</v>
      </c>
      <c r="E917" s="1029">
        <v>120000</v>
      </c>
      <c r="F917" s="1030">
        <f t="shared" si="18"/>
        <v>1800000</v>
      </c>
      <c r="G917" s="1025"/>
    </row>
    <row r="918" spans="1:7" x14ac:dyDescent="0.25">
      <c r="A918" s="1025"/>
      <c r="B918" s="1026" t="s">
        <v>1833</v>
      </c>
      <c r="C918" s="1027">
        <v>15</v>
      </c>
      <c r="D918" s="1028" t="s">
        <v>93</v>
      </c>
      <c r="E918" s="1029">
        <v>258000</v>
      </c>
      <c r="F918" s="1030">
        <f t="shared" si="18"/>
        <v>3870000</v>
      </c>
      <c r="G918" s="1025"/>
    </row>
    <row r="919" spans="1:7" x14ac:dyDescent="0.25">
      <c r="A919" s="1025"/>
      <c r="B919" s="1026" t="s">
        <v>1834</v>
      </c>
      <c r="C919" s="1027">
        <v>15</v>
      </c>
      <c r="D919" s="1028" t="s">
        <v>152</v>
      </c>
      <c r="E919" s="1029">
        <v>30000</v>
      </c>
      <c r="F919" s="1030">
        <f t="shared" si="18"/>
        <v>450000</v>
      </c>
      <c r="G919" s="1025"/>
    </row>
    <row r="920" spans="1:7" x14ac:dyDescent="0.25">
      <c r="A920" s="1032"/>
      <c r="B920" s="2203" t="s">
        <v>26</v>
      </c>
      <c r="C920" s="2203"/>
      <c r="D920" s="2203"/>
      <c r="E920" s="2203"/>
      <c r="F920" s="1033">
        <f>SUM(F891:F919)</f>
        <v>172887000</v>
      </c>
      <c r="G920" s="1025" t="s">
        <v>1410</v>
      </c>
    </row>
    <row r="921" spans="1:7" x14ac:dyDescent="0.25">
      <c r="A921" s="1003"/>
      <c r="B921" s="1003"/>
      <c r="C921" s="1002"/>
      <c r="D921" s="1002"/>
      <c r="E921" s="1004"/>
      <c r="F921" s="1003"/>
      <c r="G921" s="1003"/>
    </row>
    <row r="922" spans="1:7" x14ac:dyDescent="0.25">
      <c r="A922" s="1979" t="s">
        <v>516</v>
      </c>
      <c r="B922" s="1979"/>
      <c r="C922" s="1034" t="s">
        <v>27</v>
      </c>
      <c r="D922" s="1981" t="s">
        <v>1224</v>
      </c>
      <c r="E922" s="1981"/>
      <c r="F922" s="1981"/>
      <c r="G922" s="1034"/>
    </row>
    <row r="923" spans="1:7" x14ac:dyDescent="0.25">
      <c r="A923" s="1979" t="s">
        <v>28</v>
      </c>
      <c r="B923" s="1979"/>
      <c r="C923" s="1034"/>
      <c r="D923" s="1988" t="s">
        <v>2443</v>
      </c>
      <c r="E923" s="1988"/>
      <c r="F923" s="1988"/>
      <c r="G923" s="1034"/>
    </row>
    <row r="924" spans="1:7" x14ac:dyDescent="0.25">
      <c r="A924" s="1037"/>
      <c r="B924" s="1038"/>
      <c r="C924" s="1034"/>
      <c r="D924" s="1036"/>
      <c r="E924" s="1035"/>
      <c r="F924" s="1035"/>
      <c r="G924" s="1034"/>
    </row>
    <row r="925" spans="1:7" x14ac:dyDescent="0.25">
      <c r="A925" s="1037"/>
      <c r="B925" s="1038"/>
      <c r="C925" s="1034"/>
      <c r="D925" s="1036"/>
      <c r="E925" s="1035"/>
      <c r="F925" s="1035"/>
      <c r="G925" s="1034"/>
    </row>
    <row r="926" spans="1:7" x14ac:dyDescent="0.25">
      <c r="A926" s="1979"/>
      <c r="B926" s="1979"/>
      <c r="C926" s="1034"/>
      <c r="D926" s="1036"/>
      <c r="E926" s="1979"/>
      <c r="F926" s="1979"/>
      <c r="G926" s="1034"/>
    </row>
    <row r="927" spans="1:7" x14ac:dyDescent="0.25">
      <c r="A927" s="1979" t="s">
        <v>29</v>
      </c>
      <c r="B927" s="1979"/>
      <c r="C927" s="1034"/>
      <c r="D927" s="1979" t="s">
        <v>517</v>
      </c>
      <c r="E927" s="1979"/>
      <c r="F927" s="1979"/>
      <c r="G927" s="1034"/>
    </row>
    <row r="932" spans="1:7" x14ac:dyDescent="0.25">
      <c r="A932" s="1947" t="s">
        <v>0</v>
      </c>
      <c r="B932" s="1947"/>
      <c r="C932" s="1947"/>
      <c r="D932" s="1947"/>
      <c r="E932" s="1947"/>
      <c r="F932" s="1947"/>
      <c r="G932" s="1947"/>
    </row>
    <row r="933" spans="1:7" x14ac:dyDescent="0.25">
      <c r="A933" s="1947" t="s">
        <v>1</v>
      </c>
      <c r="B933" s="1947"/>
      <c r="C933" s="1947"/>
      <c r="D933" s="1947"/>
      <c r="E933" s="1947"/>
      <c r="F933" s="1947"/>
      <c r="G933" s="1947"/>
    </row>
    <row r="934" spans="1:7" x14ac:dyDescent="0.25">
      <c r="A934" s="1947" t="s">
        <v>2398</v>
      </c>
      <c r="B934" s="1947"/>
      <c r="C934" s="1947"/>
      <c r="D934" s="1947"/>
      <c r="E934" s="1947"/>
      <c r="F934" s="1947"/>
      <c r="G934" s="1947"/>
    </row>
    <row r="935" spans="1:7" x14ac:dyDescent="0.25">
      <c r="A935" s="148"/>
      <c r="B935" s="148"/>
      <c r="C935" s="148"/>
      <c r="D935" s="148"/>
      <c r="E935" s="148"/>
      <c r="F935" s="148"/>
      <c r="G935" s="148"/>
    </row>
    <row r="936" spans="1:7" x14ac:dyDescent="0.25">
      <c r="A936" s="611" t="s">
        <v>251</v>
      </c>
      <c r="B936" s="633" t="s">
        <v>412</v>
      </c>
      <c r="C936" s="611"/>
      <c r="D936" s="611"/>
      <c r="E936" s="612"/>
      <c r="F936" s="612"/>
    </row>
    <row r="937" spans="1:7" x14ac:dyDescent="0.25">
      <c r="A937" s="611" t="s">
        <v>252</v>
      </c>
      <c r="B937" s="633" t="s">
        <v>413</v>
      </c>
      <c r="C937" s="611"/>
      <c r="D937" s="611"/>
      <c r="E937" s="154" t="s">
        <v>6</v>
      </c>
      <c r="F937" s="154"/>
    </row>
    <row r="938" spans="1:7" ht="38.25" x14ac:dyDescent="0.25">
      <c r="A938" s="228" t="s">
        <v>253</v>
      </c>
      <c r="B938" s="747" t="s">
        <v>427</v>
      </c>
      <c r="C938" s="747"/>
      <c r="D938" s="613"/>
      <c r="E938" s="488" t="s">
        <v>9</v>
      </c>
      <c r="F938" s="488"/>
    </row>
    <row r="939" spans="1:7" x14ac:dyDescent="0.25">
      <c r="A939" s="611" t="s">
        <v>428</v>
      </c>
      <c r="B939" s="611" t="s">
        <v>60</v>
      </c>
      <c r="C939" s="611"/>
      <c r="D939" s="611"/>
      <c r="E939" s="611"/>
      <c r="F939" s="611"/>
    </row>
    <row r="940" spans="1:7" x14ac:dyDescent="0.25">
      <c r="A940" s="611" t="s">
        <v>61</v>
      </c>
      <c r="B940" s="611" t="s">
        <v>62</v>
      </c>
      <c r="C940" s="611"/>
      <c r="D940" s="755"/>
      <c r="E940" s="756"/>
      <c r="F940" s="611"/>
    </row>
    <row r="941" spans="1:7" x14ac:dyDescent="0.25">
      <c r="A941" s="151"/>
      <c r="B941" s="151"/>
      <c r="C941" s="151"/>
      <c r="D941" s="151"/>
      <c r="E941" s="151"/>
      <c r="F941" s="151"/>
    </row>
    <row r="942" spans="1:7" ht="24" x14ac:dyDescent="0.25">
      <c r="A942" s="162" t="s">
        <v>255</v>
      </c>
      <c r="B942" s="162" t="s">
        <v>11</v>
      </c>
      <c r="C942" s="1958" t="s">
        <v>12</v>
      </c>
      <c r="D942" s="1958"/>
      <c r="E942" s="230" t="s">
        <v>13</v>
      </c>
      <c r="F942" s="231" t="s">
        <v>14</v>
      </c>
      <c r="G942" s="25" t="s">
        <v>256</v>
      </c>
    </row>
    <row r="943" spans="1:7" x14ac:dyDescent="0.25">
      <c r="A943" s="162">
        <v>1</v>
      </c>
      <c r="B943" s="162">
        <v>2</v>
      </c>
      <c r="C943" s="1959">
        <v>3</v>
      </c>
      <c r="D943" s="1960"/>
      <c r="E943" s="232">
        <v>4</v>
      </c>
      <c r="F943" s="231">
        <v>5</v>
      </c>
      <c r="G943" s="26">
        <v>6</v>
      </c>
    </row>
    <row r="944" spans="1:7" x14ac:dyDescent="0.25">
      <c r="A944" s="176" t="s">
        <v>415</v>
      </c>
      <c r="B944" s="201" t="s">
        <v>304</v>
      </c>
      <c r="C944" s="178"/>
      <c r="D944" s="207"/>
      <c r="E944" s="194"/>
      <c r="F944" s="398"/>
      <c r="G944" s="1"/>
    </row>
    <row r="945" spans="1:12" x14ac:dyDescent="0.25">
      <c r="A945" s="176" t="s">
        <v>416</v>
      </c>
      <c r="B945" s="201" t="s">
        <v>84</v>
      </c>
      <c r="C945" s="178"/>
      <c r="D945" s="207"/>
      <c r="E945" s="194"/>
      <c r="F945" s="398"/>
      <c r="G945" s="1"/>
    </row>
    <row r="946" spans="1:12" x14ac:dyDescent="0.25">
      <c r="A946" s="176" t="s">
        <v>417</v>
      </c>
      <c r="B946" s="177" t="s">
        <v>307</v>
      </c>
      <c r="C946" s="178"/>
      <c r="D946" s="207"/>
      <c r="E946" s="179"/>
      <c r="F946" s="398"/>
      <c r="G946" s="1"/>
    </row>
    <row r="947" spans="1:12" x14ac:dyDescent="0.25">
      <c r="A947" s="181"/>
      <c r="B947" s="177" t="s">
        <v>429</v>
      </c>
      <c r="C947" s="178">
        <v>32</v>
      </c>
      <c r="D947" s="207" t="s">
        <v>269</v>
      </c>
      <c r="E947" s="179">
        <v>20000</v>
      </c>
      <c r="F947" s="398">
        <f>E947*C947</f>
        <v>640000</v>
      </c>
      <c r="G947" s="1"/>
    </row>
    <row r="948" spans="1:12" x14ac:dyDescent="0.25">
      <c r="A948" s="181"/>
      <c r="B948" s="177"/>
      <c r="C948" s="178"/>
      <c r="D948" s="207"/>
      <c r="E948" s="179"/>
      <c r="F948" s="398"/>
      <c r="G948" s="1"/>
    </row>
    <row r="949" spans="1:12" ht="24.75" x14ac:dyDescent="0.25">
      <c r="A949" s="176" t="s">
        <v>430</v>
      </c>
      <c r="B949" s="177" t="s">
        <v>325</v>
      </c>
      <c r="C949" s="178"/>
      <c r="D949" s="207"/>
      <c r="E949" s="179"/>
      <c r="F949" s="398"/>
      <c r="G949" s="1"/>
    </row>
    <row r="950" spans="1:12" x14ac:dyDescent="0.25">
      <c r="A950" s="181"/>
      <c r="B950" s="177" t="s">
        <v>326</v>
      </c>
      <c r="C950" s="178">
        <v>1</v>
      </c>
      <c r="D950" s="207" t="s">
        <v>93</v>
      </c>
      <c r="E950" s="179">
        <v>90000</v>
      </c>
      <c r="F950" s="398">
        <f>E950*C950</f>
        <v>90000</v>
      </c>
      <c r="G950" s="1"/>
    </row>
    <row r="951" spans="1:12" x14ac:dyDescent="0.25">
      <c r="A951" s="181"/>
      <c r="B951" s="177"/>
      <c r="C951" s="178"/>
      <c r="D951" s="207"/>
      <c r="E951" s="179"/>
      <c r="F951" s="398"/>
      <c r="G951" s="1"/>
    </row>
    <row r="952" spans="1:12" x14ac:dyDescent="0.25">
      <c r="A952" s="176" t="s">
        <v>419</v>
      </c>
      <c r="B952" s="177" t="s">
        <v>421</v>
      </c>
      <c r="C952" s="178"/>
      <c r="D952" s="207"/>
      <c r="E952" s="179"/>
      <c r="F952" s="398"/>
      <c r="G952" s="1"/>
    </row>
    <row r="953" spans="1:12" x14ac:dyDescent="0.25">
      <c r="A953" s="181"/>
      <c r="B953" s="177" t="s">
        <v>422</v>
      </c>
      <c r="C953" s="178">
        <v>1</v>
      </c>
      <c r="D953" s="207" t="s">
        <v>93</v>
      </c>
      <c r="E953" s="179">
        <v>50000</v>
      </c>
      <c r="F953" s="398">
        <f>E953*C953</f>
        <v>50000</v>
      </c>
      <c r="G953" s="1"/>
    </row>
    <row r="954" spans="1:12" x14ac:dyDescent="0.25">
      <c r="A954" s="181"/>
      <c r="B954" s="177"/>
      <c r="C954" s="178"/>
      <c r="D954" s="207"/>
      <c r="E954" s="179"/>
      <c r="F954" s="398"/>
      <c r="G954" s="1"/>
    </row>
    <row r="955" spans="1:12" x14ac:dyDescent="0.25">
      <c r="A955" s="181" t="s">
        <v>423</v>
      </c>
      <c r="B955" s="177" t="s">
        <v>349</v>
      </c>
      <c r="C955" s="178"/>
      <c r="D955" s="207"/>
      <c r="E955" s="194"/>
      <c r="F955" s="398"/>
      <c r="G955" s="1"/>
    </row>
    <row r="956" spans="1:12" ht="24.75" x14ac:dyDescent="0.25">
      <c r="A956" s="181" t="s">
        <v>424</v>
      </c>
      <c r="B956" s="177" t="s">
        <v>411</v>
      </c>
      <c r="C956" s="178"/>
      <c r="D956" s="207"/>
      <c r="E956" s="194"/>
      <c r="F956" s="398"/>
      <c r="G956" s="1"/>
    </row>
    <row r="957" spans="1:12" x14ac:dyDescent="0.25">
      <c r="A957" s="181"/>
      <c r="B957" s="177" t="s">
        <v>425</v>
      </c>
      <c r="C957" s="178">
        <v>2</v>
      </c>
      <c r="D957" s="207" t="s">
        <v>1786</v>
      </c>
      <c r="E957" s="194">
        <v>300000</v>
      </c>
      <c r="F957" s="398">
        <f>E957*C957</f>
        <v>600000</v>
      </c>
      <c r="G957" s="1"/>
    </row>
    <row r="958" spans="1:12" x14ac:dyDescent="0.25">
      <c r="A958" s="181"/>
      <c r="B958" s="181"/>
      <c r="C958" s="178"/>
      <c r="D958" s="207"/>
      <c r="E958" s="194"/>
      <c r="F958" s="398"/>
      <c r="G958" s="1"/>
    </row>
    <row r="959" spans="1:12" x14ac:dyDescent="0.25">
      <c r="A959" s="206"/>
      <c r="B959" s="1944" t="s">
        <v>26</v>
      </c>
      <c r="C959" s="1945"/>
      <c r="D959" s="1945"/>
      <c r="E959" s="1946"/>
      <c r="F959" s="324">
        <f>SUM(F946:F957)</f>
        <v>1380000</v>
      </c>
      <c r="G959" s="4" t="s">
        <v>1506</v>
      </c>
      <c r="K959" s="23"/>
      <c r="L959" s="23">
        <f>F959</f>
        <v>1380000</v>
      </c>
    </row>
    <row r="961" spans="1:8" x14ac:dyDescent="0.25">
      <c r="A961" s="1926" t="s">
        <v>516</v>
      </c>
      <c r="B961" s="1926"/>
      <c r="C961" s="152" t="s">
        <v>27</v>
      </c>
      <c r="D961" s="1926" t="s">
        <v>3654</v>
      </c>
      <c r="E961" s="1926"/>
      <c r="F961" s="1926"/>
      <c r="G961" s="152"/>
    </row>
    <row r="962" spans="1:8" x14ac:dyDescent="0.25">
      <c r="A962" s="1926" t="s">
        <v>28</v>
      </c>
      <c r="B962" s="1926"/>
      <c r="C962" s="152"/>
      <c r="D962" s="1927" t="s">
        <v>3566</v>
      </c>
      <c r="E962" s="1927"/>
      <c r="F962" s="1927"/>
      <c r="G962" s="152"/>
    </row>
    <row r="963" spans="1:8" x14ac:dyDescent="0.25">
      <c r="A963" s="150"/>
      <c r="B963" s="151"/>
      <c r="C963" s="152"/>
      <c r="D963" s="153"/>
      <c r="E963" s="1770"/>
      <c r="F963" s="182"/>
      <c r="G963" s="152"/>
    </row>
    <row r="964" spans="1:8" x14ac:dyDescent="0.25">
      <c r="A964" s="150"/>
      <c r="B964" s="151"/>
      <c r="C964" s="152"/>
      <c r="D964" s="153"/>
      <c r="E964" s="1770"/>
      <c r="F964" s="182"/>
      <c r="G964" s="152"/>
    </row>
    <row r="965" spans="1:8" x14ac:dyDescent="0.25">
      <c r="A965" s="1926"/>
      <c r="B965" s="1926"/>
      <c r="C965" s="152"/>
      <c r="D965" s="153"/>
      <c r="E965" s="1926"/>
      <c r="F965" s="1926"/>
      <c r="G965" s="152"/>
    </row>
    <row r="966" spans="1:8" x14ac:dyDescent="0.25">
      <c r="A966" s="1926" t="s">
        <v>29</v>
      </c>
      <c r="B966" s="1926"/>
      <c r="C966" s="152"/>
      <c r="D966" s="1926" t="s">
        <v>3569</v>
      </c>
      <c r="E966" s="1926"/>
      <c r="F966" s="1926"/>
      <c r="G966" s="152"/>
    </row>
    <row r="969" spans="1:8" x14ac:dyDescent="0.25">
      <c r="A969" s="1947" t="s">
        <v>0</v>
      </c>
      <c r="B969" s="1947"/>
      <c r="C969" s="1947"/>
      <c r="D969" s="1947"/>
      <c r="E969" s="1947"/>
      <c r="F969" s="1947"/>
      <c r="G969" s="1947"/>
      <c r="H969" s="149"/>
    </row>
    <row r="970" spans="1:8" x14ac:dyDescent="0.25">
      <c r="A970" s="1947" t="s">
        <v>1</v>
      </c>
      <c r="B970" s="1947"/>
      <c r="C970" s="1947"/>
      <c r="D970" s="1947"/>
      <c r="E970" s="1947"/>
      <c r="F970" s="1947"/>
      <c r="G970" s="1947"/>
      <c r="H970" s="149"/>
    </row>
    <row r="971" spans="1:8" x14ac:dyDescent="0.25">
      <c r="A971" s="1947" t="s">
        <v>2398</v>
      </c>
      <c r="B971" s="1947"/>
      <c r="C971" s="1947"/>
      <c r="D971" s="1947"/>
      <c r="E971" s="1947"/>
      <c r="F971" s="1947"/>
      <c r="G971" s="1947"/>
      <c r="H971" s="149"/>
    </row>
    <row r="972" spans="1:8" x14ac:dyDescent="0.25">
      <c r="A972" s="148"/>
      <c r="B972" s="148"/>
      <c r="C972" s="148"/>
      <c r="D972" s="148"/>
      <c r="E972" s="148"/>
      <c r="F972" s="148"/>
      <c r="G972" s="148"/>
    </row>
    <row r="973" spans="1:8" x14ac:dyDescent="0.25">
      <c r="A973" s="149" t="s">
        <v>458</v>
      </c>
      <c r="B973" s="149" t="s">
        <v>412</v>
      </c>
      <c r="C973" s="149"/>
      <c r="D973" s="149"/>
      <c r="E973" s="187"/>
      <c r="F973" s="187"/>
      <c r="G973" s="191"/>
    </row>
    <row r="974" spans="1:8" x14ac:dyDescent="0.25">
      <c r="A974" s="716" t="s">
        <v>459</v>
      </c>
      <c r="B974" s="182" t="s">
        <v>413</v>
      </c>
      <c r="C974" s="149"/>
      <c r="D974" s="149"/>
      <c r="E974" s="154" t="s">
        <v>6</v>
      </c>
      <c r="F974" s="154"/>
      <c r="G974" s="149"/>
    </row>
    <row r="975" spans="1:8" x14ac:dyDescent="0.25">
      <c r="A975" s="716" t="s">
        <v>460</v>
      </c>
      <c r="B975" s="460" t="s">
        <v>461</v>
      </c>
      <c r="C975" s="149"/>
      <c r="D975" s="149"/>
      <c r="E975" s="842" t="s">
        <v>9</v>
      </c>
      <c r="F975" s="488"/>
      <c r="G975" s="149"/>
    </row>
    <row r="976" spans="1:8" x14ac:dyDescent="0.25">
      <c r="A976" s="381" t="s">
        <v>395</v>
      </c>
      <c r="B976" s="149" t="s">
        <v>60</v>
      </c>
      <c r="C976" s="149"/>
      <c r="D976" s="149"/>
      <c r="E976" s="149"/>
      <c r="F976" s="149"/>
      <c r="G976" s="149"/>
    </row>
    <row r="977" spans="1:8" x14ac:dyDescent="0.25">
      <c r="A977" s="149" t="s">
        <v>61</v>
      </c>
      <c r="B977" s="149"/>
      <c r="C977" s="149"/>
      <c r="D977" s="340"/>
      <c r="E977" s="382"/>
      <c r="F977" s="149"/>
      <c r="G977" s="149"/>
    </row>
    <row r="978" spans="1:8" ht="24" x14ac:dyDescent="0.25">
      <c r="A978" s="162" t="s">
        <v>255</v>
      </c>
      <c r="B978" s="162" t="s">
        <v>11</v>
      </c>
      <c r="C978" s="1958" t="s">
        <v>12</v>
      </c>
      <c r="D978" s="1958"/>
      <c r="E978" s="230" t="s">
        <v>13</v>
      </c>
      <c r="F978" s="231" t="s">
        <v>14</v>
      </c>
      <c r="G978" s="25" t="s">
        <v>256</v>
      </c>
    </row>
    <row r="979" spans="1:8" x14ac:dyDescent="0.25">
      <c r="A979" s="162">
        <v>1</v>
      </c>
      <c r="B979" s="162">
        <v>2</v>
      </c>
      <c r="C979" s="1959">
        <v>3</v>
      </c>
      <c r="D979" s="1960"/>
      <c r="E979" s="232">
        <v>4</v>
      </c>
      <c r="F979" s="231">
        <v>5</v>
      </c>
      <c r="G979" s="949">
        <v>6</v>
      </c>
    </row>
    <row r="980" spans="1:8" x14ac:dyDescent="0.25">
      <c r="A980" s="176" t="s">
        <v>415</v>
      </c>
      <c r="B980" s="177" t="s">
        <v>462</v>
      </c>
      <c r="C980" s="371"/>
      <c r="D980" s="372"/>
      <c r="E980" s="427"/>
      <c r="F980" s="371"/>
      <c r="G980" s="164"/>
      <c r="H980" s="342"/>
    </row>
    <row r="981" spans="1:8" x14ac:dyDescent="0.25">
      <c r="A981" s="176" t="s">
        <v>416</v>
      </c>
      <c r="B981" s="177" t="s">
        <v>84</v>
      </c>
      <c r="C981" s="371"/>
      <c r="D981" s="372"/>
      <c r="E981" s="427"/>
      <c r="F981" s="371"/>
      <c r="G981" s="164"/>
      <c r="H981" s="342"/>
    </row>
    <row r="982" spans="1:8" x14ac:dyDescent="0.25">
      <c r="A982" s="181" t="s">
        <v>417</v>
      </c>
      <c r="B982" s="177" t="s">
        <v>307</v>
      </c>
      <c r="C982" s="178"/>
      <c r="D982" s="207"/>
      <c r="E982" s="179"/>
      <c r="F982" s="761"/>
      <c r="G982" s="163"/>
      <c r="H982" s="223"/>
    </row>
    <row r="983" spans="1:8" x14ac:dyDescent="0.25">
      <c r="A983" s="181"/>
      <c r="B983" s="177" t="s">
        <v>463</v>
      </c>
      <c r="C983" s="178">
        <f>28</f>
        <v>28</v>
      </c>
      <c r="D983" s="561" t="s">
        <v>269</v>
      </c>
      <c r="E983" s="179">
        <v>20000</v>
      </c>
      <c r="F983" s="761">
        <f>E983*C983</f>
        <v>560000</v>
      </c>
      <c r="G983" s="163"/>
      <c r="H983" s="223"/>
    </row>
    <row r="984" spans="1:8" x14ac:dyDescent="0.25">
      <c r="A984" s="186"/>
      <c r="B984" s="181"/>
      <c r="C984" s="178"/>
      <c r="D984" s="561"/>
      <c r="E984" s="179"/>
      <c r="F984" s="761"/>
      <c r="G984" s="163"/>
      <c r="H984" s="223"/>
    </row>
    <row r="985" spans="1:8" ht="24.75" x14ac:dyDescent="0.25">
      <c r="A985" s="181" t="s">
        <v>419</v>
      </c>
      <c r="B985" s="177" t="s">
        <v>325</v>
      </c>
      <c r="C985" s="178"/>
      <c r="D985" s="561"/>
      <c r="E985" s="179"/>
      <c r="F985" s="761"/>
      <c r="G985" s="163"/>
      <c r="H985" s="223"/>
    </row>
    <row r="986" spans="1:8" x14ac:dyDescent="0.25">
      <c r="A986" s="186"/>
      <c r="B986" s="181" t="s">
        <v>326</v>
      </c>
      <c r="C986" s="178">
        <v>1</v>
      </c>
      <c r="D986" s="561" t="s">
        <v>93</v>
      </c>
      <c r="E986" s="179">
        <v>90000</v>
      </c>
      <c r="F986" s="761">
        <f>E986*C986</f>
        <v>90000</v>
      </c>
      <c r="G986" s="163"/>
      <c r="H986" s="223"/>
    </row>
    <row r="987" spans="1:8" x14ac:dyDescent="0.25">
      <c r="A987" s="186"/>
      <c r="B987" s="181"/>
      <c r="C987" s="178"/>
      <c r="D987" s="561"/>
      <c r="E987" s="179"/>
      <c r="F987" s="761"/>
      <c r="G987" s="163"/>
      <c r="H987" s="223"/>
    </row>
    <row r="988" spans="1:8" x14ac:dyDescent="0.25">
      <c r="A988" s="181" t="s">
        <v>423</v>
      </c>
      <c r="B988" s="181" t="s">
        <v>294</v>
      </c>
      <c r="C988" s="178"/>
      <c r="D988" s="561"/>
      <c r="E988" s="194"/>
      <c r="F988" s="761"/>
      <c r="G988" s="163"/>
      <c r="H988" s="223"/>
    </row>
    <row r="989" spans="1:8" ht="24.75" x14ac:dyDescent="0.25">
      <c r="A989" s="181" t="s">
        <v>424</v>
      </c>
      <c r="B989" s="177" t="s">
        <v>411</v>
      </c>
      <c r="C989" s="178"/>
      <c r="D989" s="561"/>
      <c r="E989" s="194"/>
      <c r="F989" s="761"/>
      <c r="G989" s="163"/>
      <c r="H989" s="223"/>
    </row>
    <row r="990" spans="1:8" x14ac:dyDescent="0.25">
      <c r="A990" s="181"/>
      <c r="B990" s="177" t="s">
        <v>464</v>
      </c>
      <c r="C990" s="178">
        <v>2</v>
      </c>
      <c r="D990" s="561" t="s">
        <v>392</v>
      </c>
      <c r="E990" s="194">
        <v>300000</v>
      </c>
      <c r="F990" s="761">
        <f>E990*C990</f>
        <v>600000</v>
      </c>
      <c r="G990" s="163"/>
      <c r="H990" s="223"/>
    </row>
    <row r="991" spans="1:8" x14ac:dyDescent="0.25">
      <c r="A991" s="181"/>
      <c r="B991" s="177"/>
      <c r="C991" s="178"/>
      <c r="D991" s="561"/>
      <c r="E991" s="194"/>
      <c r="F991" s="761"/>
      <c r="G991" s="163"/>
      <c r="H991" s="223"/>
    </row>
    <row r="992" spans="1:8" x14ac:dyDescent="0.25">
      <c r="A992" s="186" t="s">
        <v>465</v>
      </c>
      <c r="B992" s="181" t="s">
        <v>442</v>
      </c>
      <c r="C992" s="178"/>
      <c r="D992" s="561"/>
      <c r="E992" s="194"/>
      <c r="F992" s="761"/>
      <c r="G992" s="163"/>
      <c r="H992" s="223"/>
    </row>
    <row r="993" spans="1:20" x14ac:dyDescent="0.25">
      <c r="A993" s="186" t="s">
        <v>466</v>
      </c>
      <c r="B993" s="177" t="s">
        <v>1655</v>
      </c>
      <c r="C993" s="178"/>
      <c r="D993" s="561"/>
      <c r="E993" s="194"/>
      <c r="F993" s="761"/>
      <c r="G993" s="163"/>
      <c r="H993" s="223"/>
    </row>
    <row r="994" spans="1:20" ht="24.75" x14ac:dyDescent="0.25">
      <c r="A994" s="186"/>
      <c r="B994" s="177" t="s">
        <v>3523</v>
      </c>
      <c r="C994" s="178">
        <v>31</v>
      </c>
      <c r="D994" s="561" t="s">
        <v>444</v>
      </c>
      <c r="E994" s="194">
        <v>1250000</v>
      </c>
      <c r="F994" s="761">
        <f>E994*C994</f>
        <v>38750000</v>
      </c>
      <c r="G994" s="163"/>
      <c r="H994" s="223"/>
    </row>
    <row r="995" spans="1:20" ht="30" x14ac:dyDescent="0.25">
      <c r="A995" s="384"/>
      <c r="B995" s="1989" t="s">
        <v>26</v>
      </c>
      <c r="C995" s="1989"/>
      <c r="D995" s="1989"/>
      <c r="E995" s="1989"/>
      <c r="F995" s="761">
        <f>SUM(F982:F994)</f>
        <v>40000000</v>
      </c>
      <c r="G995" s="4" t="s">
        <v>1777</v>
      </c>
      <c r="L995" s="23"/>
      <c r="T995" s="23">
        <f>F995</f>
        <v>40000000</v>
      </c>
    </row>
    <row r="996" spans="1:20" x14ac:dyDescent="0.25">
      <c r="A996" s="1926" t="s">
        <v>516</v>
      </c>
      <c r="B996" s="1926"/>
      <c r="C996" s="152" t="s">
        <v>27</v>
      </c>
      <c r="D996" s="1926" t="s">
        <v>3654</v>
      </c>
      <c r="E996" s="1926"/>
      <c r="F996" s="1926"/>
      <c r="G996" s="152"/>
    </row>
    <row r="997" spans="1:20" x14ac:dyDescent="0.25">
      <c r="A997" s="1926" t="s">
        <v>28</v>
      </c>
      <c r="B997" s="1926"/>
      <c r="C997" s="152"/>
      <c r="D997" s="1927" t="s">
        <v>3382</v>
      </c>
      <c r="E997" s="1927"/>
      <c r="F997" s="1927"/>
      <c r="G997" s="152"/>
    </row>
    <row r="998" spans="1:20" x14ac:dyDescent="0.25">
      <c r="A998" s="150"/>
      <c r="B998" s="151"/>
      <c r="C998" s="152"/>
      <c r="D998" s="153"/>
      <c r="E998" s="1770"/>
      <c r="F998" s="182"/>
      <c r="G998" s="152"/>
    </row>
    <row r="999" spans="1:20" x14ac:dyDescent="0.25">
      <c r="A999" s="150"/>
      <c r="B999" s="151"/>
      <c r="C999" s="152"/>
      <c r="D999" s="153"/>
      <c r="E999" s="1770"/>
      <c r="F999" s="182"/>
      <c r="G999" s="152"/>
    </row>
    <row r="1000" spans="1:20" x14ac:dyDescent="0.25">
      <c r="A1000" s="1926"/>
      <c r="B1000" s="1926"/>
      <c r="C1000" s="152"/>
      <c r="D1000" s="153"/>
      <c r="E1000" s="1926"/>
      <c r="F1000" s="1926"/>
      <c r="G1000" s="152"/>
    </row>
    <row r="1001" spans="1:20" x14ac:dyDescent="0.25">
      <c r="A1001" s="1926" t="s">
        <v>29</v>
      </c>
      <c r="B1001" s="1926"/>
      <c r="C1001" s="152"/>
      <c r="D1001" s="1926" t="s">
        <v>3383</v>
      </c>
      <c r="E1001" s="1926"/>
      <c r="F1001" s="1926"/>
      <c r="G1001" s="152"/>
    </row>
    <row r="1002" spans="1:20" x14ac:dyDescent="0.25">
      <c r="A1002" s="223"/>
      <c r="B1002" s="223"/>
      <c r="C1002" s="152"/>
      <c r="D1002" s="223"/>
      <c r="E1002" s="223"/>
      <c r="F1002" s="223"/>
      <c r="G1002" s="152"/>
    </row>
    <row r="1003" spans="1:20" x14ac:dyDescent="0.25">
      <c r="A1003" s="223"/>
      <c r="B1003" s="223"/>
      <c r="C1003" s="152"/>
      <c r="D1003" s="223"/>
      <c r="E1003" s="223"/>
      <c r="F1003" s="223"/>
      <c r="G1003" s="152"/>
    </row>
    <row r="1004" spans="1:20" x14ac:dyDescent="0.25">
      <c r="A1004" s="223"/>
      <c r="B1004" s="223"/>
      <c r="C1004" s="152"/>
      <c r="D1004" s="223"/>
      <c r="E1004" s="223"/>
      <c r="F1004" s="223"/>
      <c r="G1004" s="152"/>
    </row>
    <row r="1005" spans="1:20" x14ac:dyDescent="0.25">
      <c r="A1005" s="1947" t="s">
        <v>0</v>
      </c>
      <c r="B1005" s="1947"/>
      <c r="C1005" s="1947"/>
      <c r="D1005" s="1947"/>
      <c r="E1005" s="1947"/>
      <c r="F1005" s="1947"/>
      <c r="G1005" s="1947"/>
      <c r="H1005" s="149"/>
    </row>
    <row r="1006" spans="1:20" x14ac:dyDescent="0.25">
      <c r="A1006" s="1947" t="s">
        <v>1</v>
      </c>
      <c r="B1006" s="1947"/>
      <c r="C1006" s="1947"/>
      <c r="D1006" s="1947"/>
      <c r="E1006" s="1947"/>
      <c r="F1006" s="1947"/>
      <c r="G1006" s="1947"/>
      <c r="H1006" s="149"/>
    </row>
    <row r="1007" spans="1:20" x14ac:dyDescent="0.25">
      <c r="A1007" s="1947" t="s">
        <v>2398</v>
      </c>
      <c r="B1007" s="1947"/>
      <c r="C1007" s="1947"/>
      <c r="D1007" s="1947"/>
      <c r="E1007" s="1947"/>
      <c r="F1007" s="1947"/>
      <c r="G1007" s="1947"/>
      <c r="H1007" s="149"/>
    </row>
    <row r="1008" spans="1:20" x14ac:dyDescent="0.25">
      <c r="A1008" s="148"/>
      <c r="B1008" s="148"/>
      <c r="C1008" s="148"/>
      <c r="D1008" s="148"/>
      <c r="E1008" s="148"/>
      <c r="F1008" s="148"/>
      <c r="G1008" s="148"/>
    </row>
    <row r="1009" spans="1:8" x14ac:dyDescent="0.25">
      <c r="A1009" s="611" t="s">
        <v>251</v>
      </c>
      <c r="B1009" s="633" t="s">
        <v>412</v>
      </c>
      <c r="C1009" s="611"/>
      <c r="D1009" s="149"/>
      <c r="E1009" s="191"/>
      <c r="F1009" s="191"/>
    </row>
    <row r="1010" spans="1:8" x14ac:dyDescent="0.25">
      <c r="A1010" s="611" t="s">
        <v>252</v>
      </c>
      <c r="B1010" s="633" t="s">
        <v>413</v>
      </c>
      <c r="C1010" s="611"/>
      <c r="D1010" s="149"/>
      <c r="F1010" s="154"/>
    </row>
    <row r="1011" spans="1:8" x14ac:dyDescent="0.25">
      <c r="A1011" s="747" t="s">
        <v>253</v>
      </c>
      <c r="B1011" s="747" t="s">
        <v>431</v>
      </c>
      <c r="C1011" s="747"/>
      <c r="D1011" s="381"/>
      <c r="F1011" s="488"/>
    </row>
    <row r="1012" spans="1:8" x14ac:dyDescent="0.25">
      <c r="A1012" s="149" t="s">
        <v>428</v>
      </c>
      <c r="B1012" s="149" t="s">
        <v>60</v>
      </c>
      <c r="C1012" s="149"/>
      <c r="D1012" s="149"/>
      <c r="E1012" s="149"/>
      <c r="F1012" s="149"/>
    </row>
    <row r="1013" spans="1:8" x14ac:dyDescent="0.25">
      <c r="A1013" s="149" t="s">
        <v>61</v>
      </c>
      <c r="B1013" s="149" t="s">
        <v>432</v>
      </c>
      <c r="C1013" s="149"/>
      <c r="D1013" s="340"/>
      <c r="E1013" s="382"/>
      <c r="F1013" s="149"/>
    </row>
    <row r="1014" spans="1:8" ht="24" x14ac:dyDescent="0.25">
      <c r="A1014" s="162" t="s">
        <v>255</v>
      </c>
      <c r="B1014" s="162" t="s">
        <v>11</v>
      </c>
      <c r="C1014" s="1958" t="s">
        <v>12</v>
      </c>
      <c r="D1014" s="1958"/>
      <c r="E1014" s="230" t="s">
        <v>13</v>
      </c>
      <c r="F1014" s="231" t="s">
        <v>14</v>
      </c>
      <c r="G1014" s="25" t="s">
        <v>256</v>
      </c>
    </row>
    <row r="1015" spans="1:8" x14ac:dyDescent="0.25">
      <c r="A1015" s="162">
        <v>1</v>
      </c>
      <c r="B1015" s="162">
        <v>2</v>
      </c>
      <c r="C1015" s="1959">
        <v>3</v>
      </c>
      <c r="D1015" s="1960"/>
      <c r="E1015" s="232">
        <v>4</v>
      </c>
      <c r="F1015" s="231">
        <v>5</v>
      </c>
      <c r="G1015" s="949">
        <v>6</v>
      </c>
    </row>
    <row r="1016" spans="1:8" x14ac:dyDescent="0.25">
      <c r="A1016" s="176" t="s">
        <v>433</v>
      </c>
      <c r="B1016" s="176" t="s">
        <v>304</v>
      </c>
      <c r="C1016" s="169"/>
      <c r="D1016" s="170"/>
      <c r="E1016" s="396"/>
      <c r="F1016" s="169"/>
      <c r="G1016" s="161"/>
      <c r="H1016" s="153"/>
    </row>
    <row r="1017" spans="1:8" x14ac:dyDescent="0.25">
      <c r="A1017" s="176" t="s">
        <v>434</v>
      </c>
      <c r="B1017" s="176" t="s">
        <v>84</v>
      </c>
      <c r="C1017" s="169"/>
      <c r="D1017" s="170"/>
      <c r="E1017" s="396"/>
      <c r="F1017" s="169"/>
      <c r="G1017" s="161"/>
      <c r="H1017" s="153"/>
    </row>
    <row r="1018" spans="1:8" x14ac:dyDescent="0.25">
      <c r="A1018" s="181" t="s">
        <v>435</v>
      </c>
      <c r="B1018" s="177" t="s">
        <v>307</v>
      </c>
      <c r="C1018" s="178"/>
      <c r="D1018" s="207"/>
      <c r="E1018" s="179"/>
      <c r="F1018" s="398"/>
      <c r="G1018" s="163"/>
      <c r="H1018" s="223"/>
    </row>
    <row r="1019" spans="1:8" x14ac:dyDescent="0.25">
      <c r="A1019" s="181"/>
      <c r="B1019" s="177" t="s">
        <v>436</v>
      </c>
      <c r="C1019" s="178">
        <v>20</v>
      </c>
      <c r="D1019" s="207" t="s">
        <v>269</v>
      </c>
      <c r="E1019" s="179">
        <v>20000</v>
      </c>
      <c r="F1019" s="398">
        <f>E1019*C1019</f>
        <v>400000</v>
      </c>
      <c r="G1019" s="163"/>
      <c r="H1019" s="223"/>
    </row>
    <row r="1020" spans="1:8" x14ac:dyDescent="0.25">
      <c r="A1020" s="181"/>
      <c r="B1020" s="177"/>
      <c r="C1020" s="178"/>
      <c r="D1020" s="207"/>
      <c r="E1020" s="179"/>
      <c r="F1020" s="398"/>
      <c r="G1020" s="163"/>
      <c r="H1020" s="223"/>
    </row>
    <row r="1021" spans="1:8" ht="24.75" x14ac:dyDescent="0.25">
      <c r="A1021" s="181" t="s">
        <v>437</v>
      </c>
      <c r="B1021" s="177" t="s">
        <v>325</v>
      </c>
      <c r="C1021" s="178"/>
      <c r="D1021" s="207"/>
      <c r="E1021" s="179"/>
      <c r="F1021" s="398"/>
      <c r="G1021" s="163"/>
      <c r="H1021" s="223"/>
    </row>
    <row r="1022" spans="1:8" x14ac:dyDescent="0.25">
      <c r="A1022" s="181"/>
      <c r="B1022" s="177" t="s">
        <v>326</v>
      </c>
      <c r="C1022" s="178">
        <v>1</v>
      </c>
      <c r="D1022" s="207" t="s">
        <v>93</v>
      </c>
      <c r="E1022" s="179">
        <v>90000</v>
      </c>
      <c r="F1022" s="398">
        <f>E1022*C1022</f>
        <v>90000</v>
      </c>
      <c r="G1022" s="163"/>
      <c r="H1022" s="223"/>
    </row>
    <row r="1023" spans="1:8" x14ac:dyDescent="0.25">
      <c r="A1023" s="181"/>
      <c r="B1023" s="177"/>
      <c r="C1023" s="178"/>
      <c r="D1023" s="207"/>
      <c r="E1023" s="179"/>
      <c r="F1023" s="398"/>
      <c r="G1023" s="163"/>
      <c r="H1023" s="223"/>
    </row>
    <row r="1024" spans="1:8" x14ac:dyDescent="0.25">
      <c r="A1024" s="181" t="s">
        <v>1059</v>
      </c>
      <c r="B1024" s="177" t="s">
        <v>421</v>
      </c>
      <c r="C1024" s="178"/>
      <c r="D1024" s="207"/>
      <c r="E1024" s="179"/>
      <c r="F1024" s="398"/>
      <c r="G1024" s="163"/>
      <c r="H1024" s="223"/>
    </row>
    <row r="1025" spans="1:20" x14ac:dyDescent="0.25">
      <c r="A1025" s="181"/>
      <c r="B1025" s="177" t="s">
        <v>422</v>
      </c>
      <c r="C1025" s="178">
        <v>2</v>
      </c>
      <c r="D1025" s="207" t="s">
        <v>93</v>
      </c>
      <c r="E1025" s="179">
        <v>50000</v>
      </c>
      <c r="F1025" s="398">
        <f>E1025*C1025</f>
        <v>100000</v>
      </c>
      <c r="G1025" s="163"/>
      <c r="H1025" s="223"/>
    </row>
    <row r="1026" spans="1:20" x14ac:dyDescent="0.25">
      <c r="A1026" s="181"/>
      <c r="B1026" s="177" t="s">
        <v>275</v>
      </c>
      <c r="C1026" s="178">
        <v>10</v>
      </c>
      <c r="D1026" s="207" t="s">
        <v>158</v>
      </c>
      <c r="E1026" s="179">
        <v>1000</v>
      </c>
      <c r="F1026" s="398">
        <f>E1026*C1026</f>
        <v>10000</v>
      </c>
      <c r="G1026" s="163"/>
      <c r="H1026" s="223"/>
    </row>
    <row r="1027" spans="1:20" x14ac:dyDescent="0.25">
      <c r="A1027" s="181"/>
      <c r="B1027" s="177" t="s">
        <v>289</v>
      </c>
      <c r="C1027" s="178">
        <v>2</v>
      </c>
      <c r="D1027" s="207" t="s">
        <v>290</v>
      </c>
      <c r="E1027" s="179">
        <v>10000</v>
      </c>
      <c r="F1027" s="398">
        <f>E1027*C1027</f>
        <v>20000</v>
      </c>
      <c r="G1027" s="163"/>
      <c r="H1027" s="223"/>
    </row>
    <row r="1028" spans="1:20" x14ac:dyDescent="0.25">
      <c r="A1028" s="181"/>
      <c r="B1028" s="177"/>
      <c r="C1028" s="178"/>
      <c r="D1028" s="207"/>
      <c r="E1028" s="179"/>
      <c r="F1028" s="398"/>
      <c r="G1028" s="163"/>
      <c r="H1028" s="223"/>
    </row>
    <row r="1029" spans="1:20" x14ac:dyDescent="0.25">
      <c r="A1029" s="181" t="s">
        <v>438</v>
      </c>
      <c r="B1029" s="177" t="s">
        <v>349</v>
      </c>
      <c r="C1029" s="178"/>
      <c r="D1029" s="207"/>
      <c r="E1029" s="194"/>
      <c r="F1029" s="398"/>
      <c r="G1029" s="163"/>
      <c r="H1029" s="223"/>
    </row>
    <row r="1030" spans="1:20" ht="24.75" x14ac:dyDescent="0.25">
      <c r="A1030" s="181" t="s">
        <v>439</v>
      </c>
      <c r="B1030" s="177" t="s">
        <v>411</v>
      </c>
      <c r="C1030" s="178"/>
      <c r="D1030" s="207"/>
      <c r="E1030" s="194"/>
      <c r="F1030" s="398"/>
      <c r="G1030" s="163"/>
      <c r="H1030" s="223"/>
    </row>
    <row r="1031" spans="1:20" x14ac:dyDescent="0.25">
      <c r="A1031" s="181"/>
      <c r="B1031" s="177" t="s">
        <v>440</v>
      </c>
      <c r="C1031" s="178">
        <v>2</v>
      </c>
      <c r="D1031" s="207" t="s">
        <v>392</v>
      </c>
      <c r="E1031" s="194">
        <v>300000</v>
      </c>
      <c r="F1031" s="398">
        <f>E1031*C1031</f>
        <v>600000</v>
      </c>
      <c r="G1031" s="163"/>
      <c r="H1031" s="223"/>
    </row>
    <row r="1032" spans="1:20" x14ac:dyDescent="0.25">
      <c r="A1032" s="186" t="s">
        <v>441</v>
      </c>
      <c r="B1032" s="177" t="s">
        <v>442</v>
      </c>
      <c r="C1032" s="178"/>
      <c r="D1032" s="207"/>
      <c r="E1032" s="194"/>
      <c r="F1032" s="398"/>
      <c r="G1032" s="163"/>
      <c r="H1032" s="223"/>
    </row>
    <row r="1033" spans="1:20" x14ac:dyDescent="0.25">
      <c r="A1033" s="186" t="s">
        <v>443</v>
      </c>
      <c r="B1033" s="177" t="s">
        <v>2262</v>
      </c>
      <c r="C1033" s="178"/>
      <c r="D1033" s="207"/>
      <c r="E1033" s="194"/>
      <c r="F1033" s="398"/>
      <c r="G1033" s="163"/>
      <c r="H1033" s="223"/>
    </row>
    <row r="1034" spans="1:20" x14ac:dyDescent="0.25">
      <c r="A1034" s="186"/>
      <c r="B1034" s="177" t="s">
        <v>1688</v>
      </c>
      <c r="C1034" s="178"/>
      <c r="D1034" s="207"/>
      <c r="E1034" s="194"/>
      <c r="F1034" s="398">
        <f>E1034*C1034</f>
        <v>0</v>
      </c>
      <c r="G1034" s="163"/>
      <c r="H1034" s="223"/>
    </row>
    <row r="1035" spans="1:20" ht="24.75" x14ac:dyDescent="0.25">
      <c r="A1035" s="181"/>
      <c r="B1035" s="177" t="s">
        <v>3524</v>
      </c>
      <c r="C1035" s="178">
        <v>12</v>
      </c>
      <c r="D1035" s="207" t="s">
        <v>444</v>
      </c>
      <c r="E1035" s="194">
        <v>1250000</v>
      </c>
      <c r="F1035" s="398">
        <f>E1035*C1035</f>
        <v>15000000</v>
      </c>
      <c r="G1035" s="163"/>
      <c r="H1035" s="223"/>
    </row>
    <row r="1036" spans="1:20" x14ac:dyDescent="0.25">
      <c r="A1036" s="181"/>
      <c r="B1036" s="177"/>
      <c r="C1036" s="178"/>
      <c r="D1036" s="207"/>
      <c r="E1036" s="194"/>
      <c r="F1036" s="398"/>
      <c r="G1036" s="163"/>
      <c r="H1036" s="223"/>
    </row>
    <row r="1037" spans="1:20" ht="30" x14ac:dyDescent="0.25">
      <c r="A1037" s="181"/>
      <c r="B1037" s="1944" t="s">
        <v>26</v>
      </c>
      <c r="C1037" s="1945"/>
      <c r="D1037" s="1945"/>
      <c r="E1037" s="1946"/>
      <c r="F1037" s="398">
        <f>SUM(F1018:F1036)</f>
        <v>16220000</v>
      </c>
      <c r="G1037" s="4" t="s">
        <v>1777</v>
      </c>
      <c r="L1037" s="23"/>
      <c r="T1037" s="23">
        <f>F1037</f>
        <v>16220000</v>
      </c>
    </row>
    <row r="1038" spans="1:20" x14ac:dyDescent="0.25">
      <c r="A1038" s="1926" t="s">
        <v>516</v>
      </c>
      <c r="B1038" s="1926"/>
      <c r="C1038" s="152" t="s">
        <v>27</v>
      </c>
      <c r="D1038" s="1926" t="s">
        <v>3654</v>
      </c>
      <c r="E1038" s="1926"/>
      <c r="F1038" s="1926"/>
      <c r="G1038" s="152"/>
    </row>
    <row r="1039" spans="1:20" x14ac:dyDescent="0.25">
      <c r="A1039" s="1926" t="s">
        <v>28</v>
      </c>
      <c r="B1039" s="1926"/>
      <c r="C1039" s="152"/>
      <c r="D1039" s="1927" t="s">
        <v>3382</v>
      </c>
      <c r="E1039" s="1927"/>
      <c r="F1039" s="1927"/>
      <c r="G1039" s="152"/>
    </row>
    <row r="1040" spans="1:20" x14ac:dyDescent="0.25">
      <c r="A1040" s="150"/>
      <c r="B1040" s="151"/>
      <c r="C1040" s="152"/>
      <c r="D1040" s="153"/>
      <c r="E1040" s="1770"/>
      <c r="F1040" s="182"/>
      <c r="G1040" s="152"/>
    </row>
    <row r="1041" spans="1:7" x14ac:dyDescent="0.25">
      <c r="A1041" s="150"/>
      <c r="B1041" s="151"/>
      <c r="C1041" s="152"/>
      <c r="D1041" s="153"/>
      <c r="E1041" s="1770"/>
      <c r="F1041" s="182"/>
      <c r="G1041" s="152"/>
    </row>
    <row r="1042" spans="1:7" x14ac:dyDescent="0.25">
      <c r="A1042" s="1926"/>
      <c r="B1042" s="1926"/>
      <c r="C1042" s="152"/>
      <c r="D1042" s="153"/>
      <c r="E1042" s="1926"/>
      <c r="F1042" s="1926"/>
      <c r="G1042" s="152"/>
    </row>
    <row r="1043" spans="1:7" x14ac:dyDescent="0.25">
      <c r="A1043" s="1926" t="s">
        <v>29</v>
      </c>
      <c r="B1043" s="1926"/>
      <c r="C1043" s="152"/>
      <c r="D1043" s="1926" t="s">
        <v>3383</v>
      </c>
      <c r="E1043" s="1926"/>
      <c r="F1043" s="1926"/>
      <c r="G1043" s="152"/>
    </row>
    <row r="1045" spans="1:7" x14ac:dyDescent="0.25">
      <c r="A1045" s="1947" t="s">
        <v>0</v>
      </c>
      <c r="B1045" s="1947"/>
      <c r="C1045" s="1947"/>
      <c r="D1045" s="1947"/>
      <c r="E1045" s="1947"/>
      <c r="F1045" s="1947"/>
      <c r="G1045" s="148"/>
    </row>
    <row r="1046" spans="1:7" x14ac:dyDescent="0.25">
      <c r="A1046" s="1947" t="s">
        <v>1</v>
      </c>
      <c r="B1046" s="1947"/>
      <c r="C1046" s="1947"/>
      <c r="D1046" s="1947"/>
      <c r="E1046" s="1947"/>
      <c r="F1046" s="1947"/>
      <c r="G1046" s="148"/>
    </row>
    <row r="1047" spans="1:7" x14ac:dyDescent="0.25">
      <c r="A1047" s="1947" t="s">
        <v>2398</v>
      </c>
      <c r="B1047" s="1947"/>
      <c r="C1047" s="1947"/>
      <c r="D1047" s="1947"/>
      <c r="E1047" s="1947"/>
      <c r="F1047" s="1947"/>
      <c r="G1047" s="148"/>
    </row>
    <row r="1048" spans="1:7" x14ac:dyDescent="0.25">
      <c r="A1048" s="148"/>
      <c r="B1048" s="148"/>
      <c r="C1048" s="148"/>
      <c r="D1048" s="148"/>
      <c r="E1048" s="148"/>
      <c r="F1048" s="148"/>
      <c r="G1048" s="148"/>
    </row>
    <row r="1049" spans="1:7" x14ac:dyDescent="0.25">
      <c r="A1049" s="226" t="s">
        <v>251</v>
      </c>
      <c r="B1049" s="188" t="s">
        <v>412</v>
      </c>
      <c r="C1049" s="226"/>
      <c r="D1049" s="226"/>
      <c r="E1049" s="154"/>
      <c r="F1049" s="154"/>
    </row>
    <row r="1050" spans="1:7" x14ac:dyDescent="0.25">
      <c r="A1050" s="226" t="s">
        <v>252</v>
      </c>
      <c r="B1050" s="188" t="s">
        <v>413</v>
      </c>
      <c r="C1050" s="226"/>
      <c r="D1050" s="226"/>
      <c r="E1050" s="488"/>
      <c r="F1050" s="154" t="s">
        <v>6</v>
      </c>
    </row>
    <row r="1051" spans="1:7" x14ac:dyDescent="0.25">
      <c r="A1051" s="228" t="s">
        <v>253</v>
      </c>
      <c r="B1051" s="228" t="s">
        <v>414</v>
      </c>
      <c r="C1051" s="228"/>
      <c r="D1051" s="228"/>
      <c r="E1051" s="228"/>
      <c r="F1051" s="488" t="s">
        <v>9</v>
      </c>
    </row>
    <row r="1052" spans="1:7" x14ac:dyDescent="0.25">
      <c r="A1052" s="190" t="s">
        <v>59</v>
      </c>
      <c r="B1052" s="190" t="s">
        <v>60</v>
      </c>
      <c r="C1052" s="190"/>
      <c r="D1052" s="152"/>
      <c r="E1052" s="152"/>
      <c r="F1052" s="152"/>
    </row>
    <row r="1053" spans="1:7" x14ac:dyDescent="0.25">
      <c r="A1053" s="190" t="s">
        <v>61</v>
      </c>
      <c r="B1053" s="190" t="s">
        <v>62</v>
      </c>
      <c r="C1053" s="190"/>
      <c r="D1053" s="1952"/>
      <c r="E1053" s="1952"/>
      <c r="F1053" s="152"/>
    </row>
    <row r="1054" spans="1:7" x14ac:dyDescent="0.25">
      <c r="A1054" s="151"/>
      <c r="B1054" s="151"/>
      <c r="C1054" s="151"/>
      <c r="D1054" s="151"/>
      <c r="E1054" s="151"/>
      <c r="F1054" s="151"/>
    </row>
    <row r="1055" spans="1:7" ht="24" x14ac:dyDescent="0.25">
      <c r="A1055" s="162" t="s">
        <v>426</v>
      </c>
      <c r="B1055" s="162" t="s">
        <v>11</v>
      </c>
      <c r="C1055" s="1958" t="s">
        <v>12</v>
      </c>
      <c r="D1055" s="1958"/>
      <c r="E1055" s="230" t="s">
        <v>13</v>
      </c>
      <c r="F1055" s="162" t="s">
        <v>14</v>
      </c>
      <c r="G1055" s="164" t="s">
        <v>256</v>
      </c>
    </row>
    <row r="1056" spans="1:7" x14ac:dyDescent="0.25">
      <c r="A1056" s="161">
        <v>1</v>
      </c>
      <c r="B1056" s="161">
        <v>2</v>
      </c>
      <c r="C1056" s="1931">
        <v>3</v>
      </c>
      <c r="D1056" s="1932"/>
      <c r="E1056" s="2">
        <v>4</v>
      </c>
      <c r="F1056" s="169">
        <v>5</v>
      </c>
      <c r="G1056" s="166">
        <v>6</v>
      </c>
    </row>
    <row r="1057" spans="1:10" x14ac:dyDescent="0.25">
      <c r="A1057" s="176" t="s">
        <v>415</v>
      </c>
      <c r="B1057" s="201" t="s">
        <v>304</v>
      </c>
      <c r="C1057" s="169"/>
      <c r="D1057" s="170"/>
      <c r="E1057" s="396"/>
      <c r="F1057" s="169"/>
      <c r="G1057" s="186"/>
    </row>
    <row r="1058" spans="1:10" x14ac:dyDescent="0.25">
      <c r="A1058" s="176" t="s">
        <v>416</v>
      </c>
      <c r="B1058" s="201" t="s">
        <v>84</v>
      </c>
      <c r="C1058" s="169"/>
      <c r="D1058" s="170"/>
      <c r="E1058" s="396"/>
      <c r="F1058" s="169"/>
      <c r="G1058" s="186"/>
    </row>
    <row r="1059" spans="1:10" x14ac:dyDescent="0.25">
      <c r="A1059" s="181" t="s">
        <v>417</v>
      </c>
      <c r="B1059" s="177" t="s">
        <v>307</v>
      </c>
      <c r="C1059" s="178"/>
      <c r="D1059" s="207"/>
      <c r="E1059" s="179"/>
      <c r="F1059" s="398"/>
      <c r="G1059" s="325"/>
    </row>
    <row r="1060" spans="1:10" x14ac:dyDescent="0.25">
      <c r="A1060" s="181"/>
      <c r="B1060" s="177" t="s">
        <v>418</v>
      </c>
      <c r="C1060" s="178">
        <v>60</v>
      </c>
      <c r="D1060" s="207" t="s">
        <v>269</v>
      </c>
      <c r="E1060" s="179">
        <v>20000</v>
      </c>
      <c r="F1060" s="398">
        <f>E1060*C1060</f>
        <v>1200000</v>
      </c>
      <c r="G1060" s="325"/>
    </row>
    <row r="1061" spans="1:10" x14ac:dyDescent="0.25">
      <c r="A1061" s="181"/>
      <c r="B1061" s="177"/>
      <c r="C1061" s="178"/>
      <c r="D1061" s="207"/>
      <c r="E1061" s="179"/>
      <c r="F1061" s="398"/>
      <c r="G1061" s="325"/>
    </row>
    <row r="1062" spans="1:10" ht="24.75" x14ac:dyDescent="0.25">
      <c r="A1062" s="181" t="s">
        <v>419</v>
      </c>
      <c r="B1062" s="177" t="s">
        <v>325</v>
      </c>
      <c r="C1062" s="178"/>
      <c r="D1062" s="207"/>
      <c r="E1062" s="179"/>
      <c r="F1062" s="398"/>
      <c r="G1062" s="325"/>
    </row>
    <row r="1063" spans="1:10" x14ac:dyDescent="0.25">
      <c r="A1063" s="181"/>
      <c r="B1063" s="177" t="s">
        <v>326</v>
      </c>
      <c r="C1063" s="178">
        <v>1</v>
      </c>
      <c r="D1063" s="207" t="s">
        <v>93</v>
      </c>
      <c r="E1063" s="179">
        <v>90204.83</v>
      </c>
      <c r="F1063" s="398">
        <f>E1063*C1063</f>
        <v>90204.83</v>
      </c>
      <c r="G1063" s="325"/>
      <c r="J1063" s="23"/>
    </row>
    <row r="1064" spans="1:10" x14ac:dyDescent="0.25">
      <c r="A1064" s="181"/>
      <c r="B1064" s="177"/>
      <c r="C1064" s="178"/>
      <c r="D1064" s="207"/>
      <c r="E1064" s="179"/>
      <c r="F1064" s="398"/>
      <c r="G1064" s="325"/>
    </row>
    <row r="1065" spans="1:10" x14ac:dyDescent="0.25">
      <c r="A1065" s="181" t="s">
        <v>420</v>
      </c>
      <c r="B1065" s="177" t="s">
        <v>421</v>
      </c>
      <c r="C1065" s="178"/>
      <c r="D1065" s="207"/>
      <c r="E1065" s="179"/>
      <c r="F1065" s="398"/>
      <c r="G1065" s="325"/>
    </row>
    <row r="1066" spans="1:10" x14ac:dyDescent="0.25">
      <c r="A1066" s="181"/>
      <c r="B1066" s="177" t="s">
        <v>422</v>
      </c>
      <c r="C1066" s="178">
        <v>1</v>
      </c>
      <c r="D1066" s="207" t="s">
        <v>93</v>
      </c>
      <c r="E1066" s="179">
        <v>50000</v>
      </c>
      <c r="F1066" s="398">
        <f>E1066*C1066</f>
        <v>50000</v>
      </c>
      <c r="G1066" s="325"/>
    </row>
    <row r="1067" spans="1:10" x14ac:dyDescent="0.25">
      <c r="A1067" s="181"/>
      <c r="B1067" s="177" t="s">
        <v>275</v>
      </c>
      <c r="C1067" s="178">
        <v>5</v>
      </c>
      <c r="D1067" s="207" t="s">
        <v>158</v>
      </c>
      <c r="E1067" s="179">
        <v>1000</v>
      </c>
      <c r="F1067" s="398">
        <f>E1067*C1067</f>
        <v>5000</v>
      </c>
      <c r="G1067" s="325"/>
    </row>
    <row r="1068" spans="1:10" x14ac:dyDescent="0.25">
      <c r="A1068" s="181"/>
      <c r="B1068" s="177" t="s">
        <v>289</v>
      </c>
      <c r="C1068" s="178">
        <v>1</v>
      </c>
      <c r="D1068" s="207" t="s">
        <v>290</v>
      </c>
      <c r="E1068" s="179">
        <v>10000</v>
      </c>
      <c r="F1068" s="398">
        <f>E1068*C1068</f>
        <v>10000</v>
      </c>
      <c r="G1068" s="325"/>
    </row>
    <row r="1069" spans="1:10" x14ac:dyDescent="0.25">
      <c r="A1069" s="181"/>
      <c r="B1069" s="177"/>
      <c r="C1069" s="178"/>
      <c r="D1069" s="207"/>
      <c r="E1069" s="179"/>
      <c r="F1069" s="398"/>
      <c r="G1069" s="325"/>
    </row>
    <row r="1070" spans="1:10" x14ac:dyDescent="0.25">
      <c r="A1070" s="181" t="s">
        <v>423</v>
      </c>
      <c r="B1070" s="177" t="s">
        <v>349</v>
      </c>
      <c r="C1070" s="178"/>
      <c r="D1070" s="207"/>
      <c r="E1070" s="194"/>
      <c r="F1070" s="398"/>
      <c r="G1070" s="325"/>
    </row>
    <row r="1071" spans="1:10" ht="24.75" x14ac:dyDescent="0.25">
      <c r="A1071" s="181" t="s">
        <v>424</v>
      </c>
      <c r="B1071" s="177" t="s">
        <v>411</v>
      </c>
      <c r="C1071" s="178"/>
      <c r="D1071" s="207"/>
      <c r="E1071" s="194"/>
      <c r="F1071" s="398"/>
      <c r="G1071" s="325"/>
    </row>
    <row r="1072" spans="1:10" x14ac:dyDescent="0.25">
      <c r="A1072" s="181"/>
      <c r="B1072" s="177" t="s">
        <v>425</v>
      </c>
      <c r="C1072" s="178">
        <v>2</v>
      </c>
      <c r="D1072" s="207" t="s">
        <v>392</v>
      </c>
      <c r="E1072" s="194">
        <v>300000</v>
      </c>
      <c r="F1072" s="398">
        <f>E1072*C1072</f>
        <v>600000</v>
      </c>
      <c r="G1072" s="325"/>
    </row>
    <row r="1073" spans="1:21" x14ac:dyDescent="0.25">
      <c r="A1073" s="181"/>
      <c r="B1073" s="181"/>
      <c r="C1073" s="178"/>
      <c r="D1073" s="207"/>
      <c r="E1073" s="194"/>
      <c r="F1073" s="398"/>
      <c r="G1073" s="325"/>
    </row>
    <row r="1074" spans="1:21" ht="24.75" x14ac:dyDescent="0.25">
      <c r="A1074" s="206"/>
      <c r="B1074" s="1944" t="s">
        <v>26</v>
      </c>
      <c r="C1074" s="1945"/>
      <c r="D1074" s="1945"/>
      <c r="E1074" s="1946"/>
      <c r="F1074" s="324">
        <f>SUM(F1059:F1072)</f>
        <v>1955204.83</v>
      </c>
      <c r="G1074" s="325" t="s">
        <v>1775</v>
      </c>
      <c r="J1074" s="23"/>
      <c r="U1074" s="23">
        <f>F1074</f>
        <v>1955204.83</v>
      </c>
    </row>
    <row r="1075" spans="1:21" x14ac:dyDescent="0.25">
      <c r="A1075" s="1926" t="s">
        <v>516</v>
      </c>
      <c r="B1075" s="1926"/>
      <c r="C1075" s="152" t="s">
        <v>27</v>
      </c>
      <c r="D1075" s="1926" t="s">
        <v>3654</v>
      </c>
      <c r="E1075" s="1926"/>
      <c r="F1075" s="1926"/>
      <c r="G1075" s="152"/>
    </row>
    <row r="1076" spans="1:21" x14ac:dyDescent="0.25">
      <c r="A1076" s="1926" t="s">
        <v>28</v>
      </c>
      <c r="B1076" s="1926"/>
      <c r="C1076" s="152"/>
      <c r="D1076" s="1927" t="s">
        <v>3566</v>
      </c>
      <c r="E1076" s="1927"/>
      <c r="F1076" s="1927"/>
      <c r="G1076" s="152"/>
    </row>
    <row r="1077" spans="1:21" x14ac:dyDescent="0.25">
      <c r="A1077" s="150"/>
      <c r="B1077" s="151"/>
      <c r="C1077" s="152"/>
      <c r="D1077" s="153"/>
      <c r="E1077" s="1770"/>
      <c r="F1077" s="182"/>
      <c r="G1077" s="152"/>
    </row>
    <row r="1078" spans="1:21" x14ac:dyDescent="0.25">
      <c r="A1078" s="150"/>
      <c r="B1078" s="151"/>
      <c r="C1078" s="152"/>
      <c r="D1078" s="153"/>
      <c r="E1078" s="1770"/>
      <c r="F1078" s="182"/>
      <c r="G1078" s="152"/>
    </row>
    <row r="1079" spans="1:21" x14ac:dyDescent="0.25">
      <c r="A1079" s="1926"/>
      <c r="B1079" s="1926"/>
      <c r="C1079" s="152"/>
      <c r="D1079" s="153"/>
      <c r="E1079" s="1926"/>
      <c r="F1079" s="1926"/>
      <c r="G1079" s="152"/>
    </row>
    <row r="1080" spans="1:21" x14ac:dyDescent="0.25">
      <c r="A1080" s="1926" t="s">
        <v>29</v>
      </c>
      <c r="B1080" s="1926"/>
      <c r="C1080" s="152"/>
      <c r="D1080" s="1926" t="s">
        <v>3569</v>
      </c>
      <c r="E1080" s="1926"/>
      <c r="F1080" s="1926"/>
      <c r="G1080" s="152"/>
    </row>
    <row r="1082" spans="1:21" x14ac:dyDescent="0.25">
      <c r="A1082" s="223"/>
      <c r="B1082" s="223"/>
      <c r="C1082" s="152"/>
      <c r="D1082" s="223"/>
      <c r="E1082" s="223"/>
      <c r="F1082" s="223"/>
      <c r="G1082" s="152"/>
    </row>
    <row r="1083" spans="1:21" x14ac:dyDescent="0.25">
      <c r="A1083" s="1956" t="s">
        <v>0</v>
      </c>
      <c r="B1083" s="1956"/>
      <c r="C1083" s="1956"/>
      <c r="D1083" s="1956"/>
      <c r="E1083" s="1956"/>
      <c r="F1083" s="1956"/>
      <c r="G1083" s="615"/>
    </row>
    <row r="1084" spans="1:21" x14ac:dyDescent="0.25">
      <c r="A1084" s="1956" t="s">
        <v>1</v>
      </c>
      <c r="B1084" s="1956"/>
      <c r="C1084" s="1956"/>
      <c r="D1084" s="1956"/>
      <c r="E1084" s="1956"/>
      <c r="F1084" s="1956"/>
      <c r="G1084" s="615"/>
    </row>
    <row r="1085" spans="1:21" x14ac:dyDescent="0.25">
      <c r="A1085" s="1956" t="s">
        <v>2398</v>
      </c>
      <c r="B1085" s="1956"/>
      <c r="C1085" s="1956"/>
      <c r="D1085" s="1956"/>
      <c r="E1085" s="1956"/>
      <c r="F1085" s="1956"/>
      <c r="G1085" s="615"/>
    </row>
    <row r="1086" spans="1:21" x14ac:dyDescent="0.25">
      <c r="A1086" s="259"/>
      <c r="B1086" s="259"/>
      <c r="C1086" s="259"/>
      <c r="D1086" s="259"/>
      <c r="E1086" s="259"/>
      <c r="F1086" s="259"/>
      <c r="G1086" s="615"/>
    </row>
    <row r="1087" spans="1:21" x14ac:dyDescent="0.25">
      <c r="A1087" s="187" t="s">
        <v>251</v>
      </c>
      <c r="B1087" s="187" t="s">
        <v>827</v>
      </c>
      <c r="C1087" s="187"/>
      <c r="D1087" s="187"/>
      <c r="E1087" s="187"/>
      <c r="F1087" s="187"/>
      <c r="G1087" s="564"/>
    </row>
    <row r="1088" spans="1:21" x14ac:dyDescent="0.25">
      <c r="A1088" s="187" t="s">
        <v>252</v>
      </c>
      <c r="B1088" s="187" t="s">
        <v>853</v>
      </c>
      <c r="C1088" s="187"/>
      <c r="D1088" s="187"/>
      <c r="E1088" s="187" t="s">
        <v>6</v>
      </c>
      <c r="F1088" s="187"/>
      <c r="G1088" s="564"/>
    </row>
    <row r="1089" spans="1:7" ht="30" x14ac:dyDescent="0.25">
      <c r="A1089" s="764" t="s">
        <v>253</v>
      </c>
      <c r="B1089" s="765" t="s">
        <v>1567</v>
      </c>
      <c r="C1089" s="765"/>
      <c r="D1089" s="766"/>
      <c r="E1089" s="766" t="s">
        <v>1257</v>
      </c>
      <c r="F1089" s="764"/>
      <c r="G1089" s="766"/>
    </row>
    <row r="1090" spans="1:7" ht="30" x14ac:dyDescent="0.25">
      <c r="A1090" s="765" t="s">
        <v>428</v>
      </c>
      <c r="B1090" s="843" t="s">
        <v>60</v>
      </c>
      <c r="C1090" s="843"/>
      <c r="D1090" s="843"/>
      <c r="E1090" s="843"/>
      <c r="F1090" s="843"/>
      <c r="G1090" s="765"/>
    </row>
    <row r="1091" spans="1:7" ht="30" x14ac:dyDescent="0.25">
      <c r="A1091" s="564" t="s">
        <v>61</v>
      </c>
      <c r="B1091" s="187" t="s">
        <v>62</v>
      </c>
      <c r="C1091" s="187"/>
      <c r="D1091" s="187"/>
      <c r="E1091" s="187"/>
      <c r="F1091" s="187"/>
      <c r="G1091" s="564"/>
    </row>
    <row r="1092" spans="1:7" ht="30" x14ac:dyDescent="0.25">
      <c r="A1092" s="750" t="s">
        <v>255</v>
      </c>
      <c r="B1092" s="750" t="s">
        <v>11</v>
      </c>
      <c r="C1092" s="2112" t="s">
        <v>12</v>
      </c>
      <c r="D1092" s="2113"/>
      <c r="E1092" s="750" t="s">
        <v>13</v>
      </c>
      <c r="F1092" s="750" t="s">
        <v>14</v>
      </c>
      <c r="G1092" s="750" t="s">
        <v>256</v>
      </c>
    </row>
    <row r="1093" spans="1:7" x14ac:dyDescent="0.25">
      <c r="A1093" s="274">
        <v>1</v>
      </c>
      <c r="B1093" s="274">
        <v>2</v>
      </c>
      <c r="C1093" s="2176">
        <v>3</v>
      </c>
      <c r="D1093" s="2177"/>
      <c r="E1093" s="274">
        <v>4</v>
      </c>
      <c r="F1093" s="274">
        <v>5</v>
      </c>
      <c r="G1093" s="711">
        <v>6</v>
      </c>
    </row>
    <row r="1094" spans="1:7" x14ac:dyDescent="0.25">
      <c r="A1094" s="625" t="s">
        <v>1568</v>
      </c>
      <c r="B1094" s="844" t="s">
        <v>277</v>
      </c>
      <c r="C1094" s="845"/>
      <c r="D1094" s="846"/>
      <c r="E1094" s="847"/>
      <c r="F1094" s="848"/>
      <c r="G1094" s="302"/>
    </row>
    <row r="1095" spans="1:7" x14ac:dyDescent="0.25">
      <c r="A1095" s="625" t="s">
        <v>1301</v>
      </c>
      <c r="B1095" s="844" t="s">
        <v>84</v>
      </c>
      <c r="C1095" s="845"/>
      <c r="D1095" s="847"/>
      <c r="E1095" s="847"/>
      <c r="F1095" s="848"/>
      <c r="G1095" s="302"/>
    </row>
    <row r="1096" spans="1:7" x14ac:dyDescent="0.25">
      <c r="A1096" s="625" t="s">
        <v>3558</v>
      </c>
      <c r="B1096" s="844" t="s">
        <v>3559</v>
      </c>
      <c r="C1096" s="609"/>
      <c r="D1096" s="847"/>
      <c r="E1096" s="850"/>
      <c r="F1096" s="851"/>
      <c r="G1096" s="302"/>
    </row>
    <row r="1097" spans="1:7" x14ac:dyDescent="0.25">
      <c r="A1097" s="625"/>
      <c r="B1097" s="844" t="s">
        <v>1460</v>
      </c>
      <c r="C1097" s="609">
        <v>40</v>
      </c>
      <c r="D1097" s="847" t="s">
        <v>106</v>
      </c>
      <c r="E1097" s="850">
        <v>7000</v>
      </c>
      <c r="F1097" s="1759">
        <f>E1097*C1097</f>
        <v>280000</v>
      </c>
      <c r="G1097" s="302"/>
    </row>
    <row r="1098" spans="1:7" ht="24" x14ac:dyDescent="0.25">
      <c r="A1098" s="625" t="s">
        <v>1569</v>
      </c>
      <c r="B1098" s="844" t="s">
        <v>307</v>
      </c>
      <c r="C1098" s="609"/>
      <c r="D1098" s="847"/>
      <c r="E1098" s="850"/>
      <c r="F1098" s="851"/>
      <c r="G1098" s="302"/>
    </row>
    <row r="1099" spans="1:7" x14ac:dyDescent="0.25">
      <c r="A1099" s="625"/>
      <c r="B1099" s="852" t="s">
        <v>1570</v>
      </c>
      <c r="C1099" s="853">
        <v>40</v>
      </c>
      <c r="D1099" s="847" t="s">
        <v>269</v>
      </c>
      <c r="E1099" s="854">
        <v>20000</v>
      </c>
      <c r="F1099" s="608">
        <f>C1099*E1099</f>
        <v>800000</v>
      </c>
      <c r="G1099" s="302"/>
    </row>
    <row r="1100" spans="1:7" ht="24" x14ac:dyDescent="0.25">
      <c r="A1100" s="625" t="s">
        <v>1304</v>
      </c>
      <c r="B1100" s="844" t="s">
        <v>325</v>
      </c>
      <c r="C1100" s="855"/>
      <c r="D1100" s="856"/>
      <c r="E1100" s="850"/>
      <c r="F1100" s="608"/>
      <c r="G1100" s="1"/>
    </row>
    <row r="1101" spans="1:7" x14ac:dyDescent="0.25">
      <c r="A1101" s="625"/>
      <c r="B1101" s="852" t="s">
        <v>326</v>
      </c>
      <c r="C1101" s="609">
        <v>1</v>
      </c>
      <c r="D1101" s="847" t="s">
        <v>93</v>
      </c>
      <c r="E1101" s="854">
        <v>90000</v>
      </c>
      <c r="F1101" s="608">
        <f>C1101*E1101</f>
        <v>90000</v>
      </c>
      <c r="G1101" s="1"/>
    </row>
    <row r="1102" spans="1:7" x14ac:dyDescent="0.25">
      <c r="A1102" s="625" t="s">
        <v>1637</v>
      </c>
      <c r="B1102" s="844" t="s">
        <v>3557</v>
      </c>
      <c r="C1102" s="855"/>
      <c r="D1102" s="856"/>
      <c r="E1102" s="850"/>
      <c r="F1102" s="608"/>
      <c r="G1102" s="1"/>
    </row>
    <row r="1103" spans="1:7" x14ac:dyDescent="0.25">
      <c r="A1103" s="625"/>
      <c r="B1103" s="852" t="s">
        <v>327</v>
      </c>
      <c r="C1103" s="609">
        <v>1</v>
      </c>
      <c r="D1103" s="847" t="s">
        <v>849</v>
      </c>
      <c r="E1103" s="854">
        <v>50000</v>
      </c>
      <c r="F1103" s="608">
        <f>E1103*C1103</f>
        <v>50000</v>
      </c>
      <c r="G1103" s="1"/>
    </row>
    <row r="1104" spans="1:7" x14ac:dyDescent="0.25">
      <c r="A1104" s="625" t="s">
        <v>1305</v>
      </c>
      <c r="B1104" s="849" t="s">
        <v>294</v>
      </c>
      <c r="C1104" s="609"/>
      <c r="D1104" s="847"/>
      <c r="E1104" s="850"/>
      <c r="F1104" s="608"/>
      <c r="G1104" s="1"/>
    </row>
    <row r="1105" spans="1:24" ht="24" x14ac:dyDescent="0.25">
      <c r="A1105" s="625" t="s">
        <v>1306</v>
      </c>
      <c r="B1105" s="844" t="s">
        <v>656</v>
      </c>
      <c r="C1105" s="609"/>
      <c r="D1105" s="847"/>
      <c r="E1105" s="850"/>
      <c r="F1105" s="608"/>
      <c r="G1105" s="1"/>
    </row>
    <row r="1106" spans="1:24" x14ac:dyDescent="0.25">
      <c r="A1106" s="857"/>
      <c r="B1106" s="852" t="s">
        <v>1307</v>
      </c>
      <c r="C1106" s="845">
        <v>2</v>
      </c>
      <c r="D1106" s="846" t="s">
        <v>269</v>
      </c>
      <c r="E1106" s="854">
        <v>300000</v>
      </c>
      <c r="F1106" s="608">
        <f>C1106*E1106</f>
        <v>600000</v>
      </c>
      <c r="G1106" s="1"/>
    </row>
    <row r="1107" spans="1:24" x14ac:dyDescent="0.25">
      <c r="A1107" s="1"/>
      <c r="B1107" s="858"/>
      <c r="C1107" s="858"/>
      <c r="D1107" s="859"/>
      <c r="E1107" s="859"/>
      <c r="F1107" s="1"/>
      <c r="G1107" s="1"/>
    </row>
    <row r="1108" spans="1:24" ht="45" x14ac:dyDescent="0.25">
      <c r="A1108" s="1"/>
      <c r="B1108" s="2178" t="s">
        <v>26</v>
      </c>
      <c r="C1108" s="2179"/>
      <c r="D1108" s="2179"/>
      <c r="E1108" s="2180"/>
      <c r="F1108" s="860">
        <f>SUM(F1097:F1106)</f>
        <v>1820000</v>
      </c>
      <c r="G1108" s="4" t="s">
        <v>3297</v>
      </c>
      <c r="K1108" s="27"/>
      <c r="X1108" s="27">
        <f>F1108</f>
        <v>1820000</v>
      </c>
    </row>
    <row r="1109" spans="1:24" x14ac:dyDescent="0.25">
      <c r="A1109" s="1926" t="s">
        <v>516</v>
      </c>
      <c r="B1109" s="1926"/>
      <c r="C1109" s="152" t="s">
        <v>27</v>
      </c>
      <c r="D1109" s="1926" t="s">
        <v>3654</v>
      </c>
      <c r="E1109" s="1926"/>
      <c r="F1109" s="1926"/>
      <c r="G1109" s="152"/>
    </row>
    <row r="1110" spans="1:24" x14ac:dyDescent="0.25">
      <c r="A1110" s="1926" t="s">
        <v>28</v>
      </c>
      <c r="B1110" s="1926"/>
      <c r="C1110" s="152"/>
      <c r="D1110" s="1927" t="s">
        <v>3570</v>
      </c>
      <c r="E1110" s="1927"/>
      <c r="F1110" s="1927"/>
      <c r="G1110" s="152"/>
    </row>
    <row r="1111" spans="1:24" x14ac:dyDescent="0.25">
      <c r="A1111" s="150"/>
      <c r="B1111" s="151"/>
      <c r="C1111" s="152"/>
      <c r="D1111" s="153"/>
      <c r="E1111" s="182"/>
      <c r="F1111" s="1208"/>
      <c r="G1111" s="152"/>
    </row>
    <row r="1112" spans="1:24" x14ac:dyDescent="0.25">
      <c r="A1112" s="150"/>
      <c r="B1112" s="151"/>
      <c r="C1112" s="152"/>
      <c r="D1112" s="153"/>
      <c r="E1112" s="182"/>
      <c r="F1112" s="1208"/>
      <c r="G1112" s="152"/>
    </row>
    <row r="1113" spans="1:24" x14ac:dyDescent="0.25">
      <c r="A1113" s="1926"/>
      <c r="B1113" s="1926"/>
      <c r="C1113" s="152"/>
      <c r="D1113" s="153"/>
      <c r="E1113" s="2003"/>
      <c r="F1113" s="2003"/>
      <c r="G1113" s="152"/>
    </row>
    <row r="1114" spans="1:24" x14ac:dyDescent="0.25">
      <c r="A1114" s="1926" t="s">
        <v>29</v>
      </c>
      <c r="B1114" s="1926"/>
      <c r="C1114" s="152"/>
      <c r="D1114" s="1926" t="s">
        <v>3548</v>
      </c>
      <c r="E1114" s="1926"/>
      <c r="F1114" s="1926"/>
      <c r="G1114" s="152"/>
    </row>
    <row r="1116" spans="1:24" x14ac:dyDescent="0.25">
      <c r="A1116" s="2187" t="s">
        <v>0</v>
      </c>
      <c r="B1116" s="2187"/>
      <c r="C1116" s="2187"/>
      <c r="D1116" s="2187"/>
      <c r="E1116" s="2187"/>
      <c r="F1116" s="2187"/>
      <c r="G1116" s="1268"/>
    </row>
    <row r="1117" spans="1:24" x14ac:dyDescent="0.25">
      <c r="A1117" s="2187" t="s">
        <v>1</v>
      </c>
      <c r="B1117" s="2187"/>
      <c r="C1117" s="2187"/>
      <c r="D1117" s="2187"/>
      <c r="E1117" s="2187"/>
      <c r="F1117" s="2187"/>
      <c r="G1117" s="1268"/>
    </row>
    <row r="1118" spans="1:24" x14ac:dyDescent="0.25">
      <c r="A1118" s="2187" t="s">
        <v>2398</v>
      </c>
      <c r="B1118" s="2187"/>
      <c r="C1118" s="2187"/>
      <c r="D1118" s="2187"/>
      <c r="E1118" s="2187"/>
      <c r="F1118" s="2187"/>
      <c r="G1118" s="1268"/>
    </row>
    <row r="1119" spans="1:24" x14ac:dyDescent="0.25">
      <c r="A1119" s="1267"/>
      <c r="B1119" s="1267"/>
      <c r="C1119" s="1267"/>
      <c r="D1119" s="1267"/>
      <c r="E1119" s="1267"/>
      <c r="F1119" s="1267"/>
      <c r="G1119" s="1268"/>
    </row>
    <row r="1120" spans="1:24" x14ac:dyDescent="0.25">
      <c r="A1120" s="1269" t="s">
        <v>251</v>
      </c>
      <c r="B1120" s="1269" t="s">
        <v>827</v>
      </c>
      <c r="C1120" s="1269"/>
      <c r="D1120" s="1269"/>
      <c r="E1120" s="1269"/>
      <c r="F1120" s="1269"/>
      <c r="G1120" s="1270"/>
    </row>
    <row r="1121" spans="1:7" x14ac:dyDescent="0.25">
      <c r="A1121" s="1269" t="s">
        <v>252</v>
      </c>
      <c r="B1121" s="1269" t="s">
        <v>853</v>
      </c>
      <c r="C1121" s="1269"/>
      <c r="D1121" s="1269"/>
      <c r="E1121" s="1269" t="s">
        <v>6</v>
      </c>
      <c r="F1121" s="1269"/>
      <c r="G1121" s="1270"/>
    </row>
    <row r="1122" spans="1:7" ht="90" x14ac:dyDescent="0.25">
      <c r="A1122" s="1271" t="s">
        <v>253</v>
      </c>
      <c r="B1122" s="1272" t="s">
        <v>2465</v>
      </c>
      <c r="C1122" s="1272"/>
      <c r="D1122" s="1273"/>
      <c r="E1122" s="1273" t="s">
        <v>1257</v>
      </c>
      <c r="F1122" s="1271"/>
      <c r="G1122" s="1273"/>
    </row>
    <row r="1123" spans="1:7" ht="30" x14ac:dyDescent="0.25">
      <c r="A1123" s="1272" t="s">
        <v>428</v>
      </c>
      <c r="B1123" s="1274" t="s">
        <v>60</v>
      </c>
      <c r="C1123" s="1274"/>
      <c r="D1123" s="1274"/>
      <c r="E1123" s="1274"/>
      <c r="F1123" s="1274"/>
      <c r="G1123" s="1272"/>
    </row>
    <row r="1124" spans="1:7" ht="30" x14ac:dyDescent="0.25">
      <c r="A1124" s="1270" t="s">
        <v>61</v>
      </c>
      <c r="B1124" s="1269" t="s">
        <v>62</v>
      </c>
      <c r="C1124" s="1269"/>
      <c r="D1124" s="1269"/>
      <c r="E1124" s="1269"/>
      <c r="F1124" s="1269"/>
      <c r="G1124" s="1270"/>
    </row>
    <row r="1125" spans="1:7" ht="30" x14ac:dyDescent="0.25">
      <c r="A1125" s="1275" t="s">
        <v>255</v>
      </c>
      <c r="B1125" s="1275" t="s">
        <v>11</v>
      </c>
      <c r="C1125" s="2185" t="s">
        <v>12</v>
      </c>
      <c r="D1125" s="2186"/>
      <c r="E1125" s="1275" t="s">
        <v>13</v>
      </c>
      <c r="F1125" s="1275" t="s">
        <v>14</v>
      </c>
      <c r="G1125" s="1275" t="s">
        <v>256</v>
      </c>
    </row>
    <row r="1126" spans="1:7" x14ac:dyDescent="0.25">
      <c r="A1126" s="1276">
        <v>1</v>
      </c>
      <c r="B1126" s="1276">
        <v>2</v>
      </c>
      <c r="C1126" s="2188">
        <v>3</v>
      </c>
      <c r="D1126" s="2189"/>
      <c r="E1126" s="1276">
        <v>4</v>
      </c>
      <c r="F1126" s="1276">
        <v>5</v>
      </c>
      <c r="G1126" s="1277">
        <v>6</v>
      </c>
    </row>
    <row r="1127" spans="1:7" x14ac:dyDescent="0.25">
      <c r="A1127" s="1278" t="s">
        <v>1568</v>
      </c>
      <c r="B1127" s="1279" t="s">
        <v>277</v>
      </c>
      <c r="C1127" s="1280"/>
      <c r="D1127" s="1281"/>
      <c r="E1127" s="1282"/>
      <c r="F1127" s="1283"/>
      <c r="G1127" s="1284"/>
    </row>
    <row r="1128" spans="1:7" x14ac:dyDescent="0.25">
      <c r="A1128" s="1278" t="s">
        <v>1301</v>
      </c>
      <c r="B1128" s="1279" t="s">
        <v>84</v>
      </c>
      <c r="C1128" s="1280"/>
      <c r="D1128" s="1282"/>
      <c r="E1128" s="1282"/>
      <c r="F1128" s="1283"/>
      <c r="G1128" s="1284"/>
    </row>
    <row r="1129" spans="1:7" ht="24.75" x14ac:dyDescent="0.25">
      <c r="A1129" s="1278" t="s">
        <v>2430</v>
      </c>
      <c r="B1129" s="1285" t="s">
        <v>278</v>
      </c>
      <c r="C1129" s="1280"/>
      <c r="D1129" s="1282"/>
      <c r="E1129" s="1282"/>
      <c r="F1129" s="1283"/>
      <c r="G1129" s="1284"/>
    </row>
    <row r="1130" spans="1:7" x14ac:dyDescent="0.25">
      <c r="A1130" s="1286"/>
      <c r="B1130" s="941" t="s">
        <v>261</v>
      </c>
      <c r="C1130" s="912">
        <v>15</v>
      </c>
      <c r="D1130" s="913" t="s">
        <v>93</v>
      </c>
      <c r="E1130" s="945">
        <v>5000</v>
      </c>
      <c r="F1130" s="1287">
        <f>E1130*C1130</f>
        <v>75000</v>
      </c>
      <c r="G1130" s="1286"/>
    </row>
    <row r="1131" spans="1:7" x14ac:dyDescent="0.25">
      <c r="A1131" s="1286"/>
      <c r="B1131" s="941" t="s">
        <v>105</v>
      </c>
      <c r="C1131" s="912">
        <v>15</v>
      </c>
      <c r="D1131" s="913" t="s">
        <v>93</v>
      </c>
      <c r="E1131" s="945">
        <v>7000</v>
      </c>
      <c r="F1131" s="1287">
        <f>E1131*C1131</f>
        <v>105000</v>
      </c>
      <c r="G1131" s="1286"/>
    </row>
    <row r="1132" spans="1:7" ht="24" x14ac:dyDescent="0.25">
      <c r="A1132" s="1278" t="s">
        <v>1569</v>
      </c>
      <c r="B1132" s="1279" t="s">
        <v>307</v>
      </c>
      <c r="C1132" s="1288"/>
      <c r="D1132" s="1282"/>
      <c r="E1132" s="1289"/>
      <c r="F1132" s="1290"/>
      <c r="G1132" s="1284"/>
    </row>
    <row r="1133" spans="1:7" ht="36" x14ac:dyDescent="0.25">
      <c r="A1133" s="1278"/>
      <c r="B1133" s="1291" t="s">
        <v>2429</v>
      </c>
      <c r="C1133" s="1292">
        <f>20*2</f>
        <v>40</v>
      </c>
      <c r="D1133" s="1282" t="s">
        <v>269</v>
      </c>
      <c r="E1133" s="1293">
        <v>20000</v>
      </c>
      <c r="F1133" s="1294">
        <f>C1133*E1133</f>
        <v>800000</v>
      </c>
      <c r="G1133" s="1284"/>
    </row>
    <row r="1134" spans="1:7" x14ac:dyDescent="0.25">
      <c r="A1134" s="1278" t="s">
        <v>1302</v>
      </c>
      <c r="B1134" s="1279" t="s">
        <v>1303</v>
      </c>
      <c r="C1134" s="1292"/>
      <c r="D1134" s="1295"/>
      <c r="E1134" s="1289"/>
      <c r="F1134" s="1294"/>
      <c r="G1134" s="1284"/>
    </row>
    <row r="1135" spans="1:7" ht="24" x14ac:dyDescent="0.25">
      <c r="A1135" s="1278" t="s">
        <v>1304</v>
      </c>
      <c r="B1135" s="1279" t="s">
        <v>325</v>
      </c>
      <c r="C1135" s="1296"/>
      <c r="D1135" s="1297"/>
      <c r="E1135" s="1289"/>
      <c r="F1135" s="1294"/>
      <c r="G1135" s="865"/>
    </row>
    <row r="1136" spans="1:7" x14ac:dyDescent="0.25">
      <c r="A1136" s="1278"/>
      <c r="B1136" s="1298" t="s">
        <v>326</v>
      </c>
      <c r="C1136" s="1288">
        <v>1</v>
      </c>
      <c r="D1136" s="1282" t="s">
        <v>93</v>
      </c>
      <c r="E1136" s="1293">
        <v>90000</v>
      </c>
      <c r="F1136" s="1294">
        <f>C1136*E1136</f>
        <v>90000</v>
      </c>
      <c r="G1136" s="865"/>
    </row>
    <row r="1137" spans="1:7" ht="24" x14ac:dyDescent="0.25">
      <c r="A1137" s="1278" t="s">
        <v>1637</v>
      </c>
      <c r="B1137" s="1279" t="s">
        <v>2431</v>
      </c>
      <c r="C1137" s="1288"/>
      <c r="D1137" s="1282"/>
      <c r="E1137" s="1293"/>
      <c r="F1137" s="1294"/>
      <c r="G1137" s="865"/>
    </row>
    <row r="1138" spans="1:7" x14ac:dyDescent="0.25">
      <c r="A1138" s="941"/>
      <c r="B1138" s="911" t="s">
        <v>422</v>
      </c>
      <c r="C1138" s="1229">
        <v>1</v>
      </c>
      <c r="D1138" s="1299" t="s">
        <v>93</v>
      </c>
      <c r="E1138" s="1300">
        <v>50000</v>
      </c>
      <c r="F1138" s="1301">
        <f t="shared" ref="F1138:F1140" si="19">E1138*C1138</f>
        <v>50000</v>
      </c>
      <c r="G1138" s="1061"/>
    </row>
    <row r="1139" spans="1:7" ht="24" x14ac:dyDescent="0.25">
      <c r="A1139" s="941"/>
      <c r="B1139" s="911" t="s">
        <v>275</v>
      </c>
      <c r="C1139" s="1229">
        <v>5</v>
      </c>
      <c r="D1139" s="1299" t="s">
        <v>158</v>
      </c>
      <c r="E1139" s="1300">
        <v>1000</v>
      </c>
      <c r="F1139" s="1301">
        <f t="shared" si="19"/>
        <v>5000</v>
      </c>
      <c r="G1139" s="1061"/>
    </row>
    <row r="1140" spans="1:7" x14ac:dyDescent="0.25">
      <c r="A1140" s="1286"/>
      <c r="B1140" s="935" t="s">
        <v>289</v>
      </c>
      <c r="C1140" s="1229">
        <v>1</v>
      </c>
      <c r="D1140" s="1230" t="s">
        <v>290</v>
      </c>
      <c r="E1140" s="1300">
        <v>10000</v>
      </c>
      <c r="F1140" s="1301">
        <f t="shared" si="19"/>
        <v>10000</v>
      </c>
      <c r="G1140" s="1061"/>
    </row>
    <row r="1141" spans="1:7" x14ac:dyDescent="0.25">
      <c r="A1141" s="1278" t="s">
        <v>1305</v>
      </c>
      <c r="B1141" s="1302" t="s">
        <v>294</v>
      </c>
      <c r="C1141" s="1288"/>
      <c r="D1141" s="1282"/>
      <c r="E1141" s="1289"/>
      <c r="F1141" s="1294"/>
      <c r="G1141" s="865"/>
    </row>
    <row r="1142" spans="1:7" ht="24" x14ac:dyDescent="0.25">
      <c r="A1142" s="1278" t="s">
        <v>1306</v>
      </c>
      <c r="B1142" s="1279" t="s">
        <v>656</v>
      </c>
      <c r="C1142" s="1288"/>
      <c r="D1142" s="1282"/>
      <c r="E1142" s="1289"/>
      <c r="F1142" s="1294"/>
      <c r="G1142" s="865"/>
    </row>
    <row r="1143" spans="1:7" x14ac:dyDescent="0.25">
      <c r="A1143" s="1303"/>
      <c r="B1143" s="1298" t="s">
        <v>2428</v>
      </c>
      <c r="C1143" s="1280">
        <v>4</v>
      </c>
      <c r="D1143" s="1281" t="s">
        <v>269</v>
      </c>
      <c r="E1143" s="1293">
        <v>900000</v>
      </c>
      <c r="F1143" s="1294">
        <f>C1143*E1143</f>
        <v>3600000</v>
      </c>
      <c r="G1143" s="865"/>
    </row>
    <row r="1144" spans="1:7" ht="24" x14ac:dyDescent="0.25">
      <c r="A1144" s="1278" t="s">
        <v>2424</v>
      </c>
      <c r="B1144" s="1279" t="s">
        <v>2425</v>
      </c>
      <c r="C1144" s="1280"/>
      <c r="D1144" s="1281"/>
      <c r="E1144" s="1293"/>
      <c r="F1144" s="1294"/>
      <c r="G1144" s="865"/>
    </row>
    <row r="1145" spans="1:7" ht="24" x14ac:dyDescent="0.25">
      <c r="A1145" s="1278" t="s">
        <v>2426</v>
      </c>
      <c r="B1145" s="1279" t="s">
        <v>2427</v>
      </c>
      <c r="C1145" s="1280"/>
      <c r="D1145" s="1281"/>
      <c r="E1145" s="1293"/>
      <c r="F1145" s="1294"/>
      <c r="G1145" s="865"/>
    </row>
    <row r="1146" spans="1:7" x14ac:dyDescent="0.25">
      <c r="A1146" s="1303"/>
      <c r="B1146" s="1298" t="s">
        <v>2403</v>
      </c>
      <c r="C1146" s="1280">
        <v>15</v>
      </c>
      <c r="D1146" s="1281" t="s">
        <v>171</v>
      </c>
      <c r="E1146" s="1293">
        <v>200000</v>
      </c>
      <c r="F1146" s="1294">
        <f>E1146*C1146</f>
        <v>3000000</v>
      </c>
      <c r="G1146" s="865"/>
    </row>
    <row r="1147" spans="1:7" x14ac:dyDescent="0.25">
      <c r="A1147" s="1303"/>
      <c r="B1147" s="1298" t="s">
        <v>2404</v>
      </c>
      <c r="C1147" s="1280">
        <v>15</v>
      </c>
      <c r="D1147" s="1281" t="s">
        <v>106</v>
      </c>
      <c r="E1147" s="1293">
        <v>50000</v>
      </c>
      <c r="F1147" s="1294">
        <f t="shared" ref="F1147:F1166" si="20">E1147*C1147</f>
        <v>750000</v>
      </c>
      <c r="G1147" s="865"/>
    </row>
    <row r="1148" spans="1:7" x14ac:dyDescent="0.25">
      <c r="A1148" s="1303"/>
      <c r="B1148" s="1298" t="s">
        <v>2405</v>
      </c>
      <c r="C1148" s="1280">
        <v>15</v>
      </c>
      <c r="D1148" s="1281" t="s">
        <v>106</v>
      </c>
      <c r="E1148" s="1293">
        <v>150000</v>
      </c>
      <c r="F1148" s="1294">
        <f t="shared" si="20"/>
        <v>2250000</v>
      </c>
      <c r="G1148" s="865"/>
    </row>
    <row r="1149" spans="1:7" x14ac:dyDescent="0.25">
      <c r="A1149" s="1303"/>
      <c r="B1149" s="1298" t="s">
        <v>2412</v>
      </c>
      <c r="C1149" s="1280">
        <v>15</v>
      </c>
      <c r="D1149" s="1281" t="s">
        <v>106</v>
      </c>
      <c r="E1149" s="1293">
        <v>100000</v>
      </c>
      <c r="F1149" s="1294">
        <f t="shared" si="20"/>
        <v>1500000</v>
      </c>
      <c r="G1149" s="865"/>
    </row>
    <row r="1150" spans="1:7" x14ac:dyDescent="0.25">
      <c r="A1150" s="1303"/>
      <c r="B1150" s="1298" t="s">
        <v>2406</v>
      </c>
      <c r="C1150" s="1280">
        <v>15</v>
      </c>
      <c r="D1150" s="1281" t="s">
        <v>106</v>
      </c>
      <c r="E1150" s="1293">
        <v>100000</v>
      </c>
      <c r="F1150" s="1294">
        <f t="shared" si="20"/>
        <v>1500000</v>
      </c>
      <c r="G1150" s="865"/>
    </row>
    <row r="1151" spans="1:7" x14ac:dyDescent="0.25">
      <c r="A1151" s="1303"/>
      <c r="B1151" s="1298" t="s">
        <v>2407</v>
      </c>
      <c r="C1151" s="1280">
        <v>15</v>
      </c>
      <c r="D1151" s="1281" t="s">
        <v>106</v>
      </c>
      <c r="E1151" s="1293">
        <v>100000</v>
      </c>
      <c r="F1151" s="1294">
        <f t="shared" si="20"/>
        <v>1500000</v>
      </c>
      <c r="G1151" s="865"/>
    </row>
    <row r="1152" spans="1:7" x14ac:dyDescent="0.25">
      <c r="A1152" s="1303"/>
      <c r="B1152" s="1298" t="s">
        <v>2408</v>
      </c>
      <c r="C1152" s="1280">
        <v>15</v>
      </c>
      <c r="D1152" s="1281" t="s">
        <v>106</v>
      </c>
      <c r="E1152" s="1293">
        <v>70000</v>
      </c>
      <c r="F1152" s="1294">
        <f t="shared" si="20"/>
        <v>1050000</v>
      </c>
      <c r="G1152" s="865"/>
    </row>
    <row r="1153" spans="1:7" x14ac:dyDescent="0.25">
      <c r="A1153" s="1303"/>
      <c r="B1153" s="1298" t="s">
        <v>2409</v>
      </c>
      <c r="C1153" s="1280">
        <v>15</v>
      </c>
      <c r="D1153" s="1281" t="s">
        <v>106</v>
      </c>
      <c r="E1153" s="1293">
        <v>50000</v>
      </c>
      <c r="F1153" s="1294">
        <f t="shared" si="20"/>
        <v>750000</v>
      </c>
      <c r="G1153" s="865"/>
    </row>
    <row r="1154" spans="1:7" x14ac:dyDescent="0.25">
      <c r="A1154" s="1303"/>
      <c r="B1154" s="1298" t="s">
        <v>2410</v>
      </c>
      <c r="C1154" s="1280">
        <v>15</v>
      </c>
      <c r="D1154" s="1281" t="s">
        <v>106</v>
      </c>
      <c r="E1154" s="1293">
        <v>200000</v>
      </c>
      <c r="F1154" s="1294">
        <f t="shared" si="20"/>
        <v>3000000</v>
      </c>
      <c r="G1154" s="865"/>
    </row>
    <row r="1155" spans="1:7" x14ac:dyDescent="0.25">
      <c r="A1155" s="1303"/>
      <c r="B1155" s="1298" t="s">
        <v>2411</v>
      </c>
      <c r="C1155" s="1280">
        <v>15</v>
      </c>
      <c r="D1155" s="1281" t="s">
        <v>106</v>
      </c>
      <c r="E1155" s="1293">
        <v>300000</v>
      </c>
      <c r="F1155" s="1294">
        <f t="shared" si="20"/>
        <v>4500000</v>
      </c>
      <c r="G1155" s="865"/>
    </row>
    <row r="1156" spans="1:7" x14ac:dyDescent="0.25">
      <c r="A1156" s="1303"/>
      <c r="B1156" s="1298" t="s">
        <v>2413</v>
      </c>
      <c r="C1156" s="1280">
        <v>15</v>
      </c>
      <c r="D1156" s="1281" t="s">
        <v>106</v>
      </c>
      <c r="E1156" s="1293">
        <v>150000</v>
      </c>
      <c r="F1156" s="1294">
        <f t="shared" si="20"/>
        <v>2250000</v>
      </c>
      <c r="G1156" s="865"/>
    </row>
    <row r="1157" spans="1:7" x14ac:dyDescent="0.25">
      <c r="A1157" s="1303"/>
      <c r="B1157" s="1298" t="s">
        <v>2414</v>
      </c>
      <c r="C1157" s="1280">
        <v>15</v>
      </c>
      <c r="D1157" s="1281" t="s">
        <v>106</v>
      </c>
      <c r="E1157" s="1293">
        <v>200000</v>
      </c>
      <c r="F1157" s="1294">
        <f t="shared" si="20"/>
        <v>3000000</v>
      </c>
      <c r="G1157" s="865"/>
    </row>
    <row r="1158" spans="1:7" x14ac:dyDescent="0.25">
      <c r="A1158" s="1303"/>
      <c r="B1158" s="1298" t="s">
        <v>2415</v>
      </c>
      <c r="C1158" s="1280">
        <v>15</v>
      </c>
      <c r="D1158" s="1281" t="s">
        <v>106</v>
      </c>
      <c r="E1158" s="1293">
        <v>200000</v>
      </c>
      <c r="F1158" s="1294">
        <f t="shared" si="20"/>
        <v>3000000</v>
      </c>
      <c r="G1158" s="865"/>
    </row>
    <row r="1159" spans="1:7" x14ac:dyDescent="0.25">
      <c r="A1159" s="1303"/>
      <c r="B1159" s="1298" t="s">
        <v>2416</v>
      </c>
      <c r="C1159" s="1280">
        <v>15</v>
      </c>
      <c r="D1159" s="1281" t="s">
        <v>106</v>
      </c>
      <c r="E1159" s="1293">
        <v>90000</v>
      </c>
      <c r="F1159" s="1294">
        <f t="shared" si="20"/>
        <v>1350000</v>
      </c>
      <c r="G1159" s="865"/>
    </row>
    <row r="1160" spans="1:7" x14ac:dyDescent="0.25">
      <c r="A1160" s="1303"/>
      <c r="B1160" s="1298" t="s">
        <v>2417</v>
      </c>
      <c r="C1160" s="1280">
        <v>15</v>
      </c>
      <c r="D1160" s="1281" t="s">
        <v>106</v>
      </c>
      <c r="E1160" s="1293">
        <v>250000</v>
      </c>
      <c r="F1160" s="1294">
        <f t="shared" si="20"/>
        <v>3750000</v>
      </c>
      <c r="G1160" s="865"/>
    </row>
    <row r="1161" spans="1:7" x14ac:dyDescent="0.25">
      <c r="A1161" s="1303"/>
      <c r="B1161" s="1298" t="s">
        <v>2418</v>
      </c>
      <c r="C1161" s="1280">
        <v>15</v>
      </c>
      <c r="D1161" s="1281" t="s">
        <v>106</v>
      </c>
      <c r="E1161" s="1293">
        <v>20000</v>
      </c>
      <c r="F1161" s="1294">
        <f t="shared" si="20"/>
        <v>300000</v>
      </c>
      <c r="G1161" s="865"/>
    </row>
    <row r="1162" spans="1:7" x14ac:dyDescent="0.25">
      <c r="A1162" s="1303"/>
      <c r="B1162" s="1298" t="s">
        <v>2419</v>
      </c>
      <c r="C1162" s="1280">
        <v>15</v>
      </c>
      <c r="D1162" s="1281" t="s">
        <v>171</v>
      </c>
      <c r="E1162" s="1293">
        <v>90000</v>
      </c>
      <c r="F1162" s="1294">
        <f t="shared" si="20"/>
        <v>1350000</v>
      </c>
      <c r="G1162" s="865"/>
    </row>
    <row r="1163" spans="1:7" x14ac:dyDescent="0.25">
      <c r="A1163" s="1303"/>
      <c r="B1163" s="1298" t="s">
        <v>2420</v>
      </c>
      <c r="C1163" s="1280">
        <v>15</v>
      </c>
      <c r="D1163" s="1281" t="s">
        <v>116</v>
      </c>
      <c r="E1163" s="1293">
        <v>10000</v>
      </c>
      <c r="F1163" s="1294">
        <f t="shared" si="20"/>
        <v>150000</v>
      </c>
      <c r="G1163" s="865"/>
    </row>
    <row r="1164" spans="1:7" x14ac:dyDescent="0.25">
      <c r="A1164" s="1303"/>
      <c r="B1164" s="1298" t="s">
        <v>2421</v>
      </c>
      <c r="C1164" s="1280">
        <v>15</v>
      </c>
      <c r="D1164" s="1281" t="s">
        <v>116</v>
      </c>
      <c r="E1164" s="1293">
        <v>10000</v>
      </c>
      <c r="F1164" s="1294">
        <f t="shared" si="20"/>
        <v>150000</v>
      </c>
      <c r="G1164" s="865"/>
    </row>
    <row r="1165" spans="1:7" x14ac:dyDescent="0.25">
      <c r="A1165" s="1303"/>
      <c r="B1165" s="1298" t="s">
        <v>2422</v>
      </c>
      <c r="C1165" s="1280">
        <v>15</v>
      </c>
      <c r="D1165" s="1281" t="s">
        <v>106</v>
      </c>
      <c r="E1165" s="1293">
        <v>100000</v>
      </c>
      <c r="F1165" s="1294">
        <f t="shared" si="20"/>
        <v>1500000</v>
      </c>
      <c r="G1165" s="865"/>
    </row>
    <row r="1166" spans="1:7" x14ac:dyDescent="0.25">
      <c r="A1166" s="1303"/>
      <c r="B1166" s="1298" t="s">
        <v>2423</v>
      </c>
      <c r="C1166" s="1280">
        <v>15</v>
      </c>
      <c r="D1166" s="1281" t="s">
        <v>106</v>
      </c>
      <c r="E1166" s="1293">
        <v>10000</v>
      </c>
      <c r="F1166" s="1294">
        <f t="shared" si="20"/>
        <v>150000</v>
      </c>
      <c r="G1166" s="865"/>
    </row>
    <row r="1167" spans="1:7" x14ac:dyDescent="0.25">
      <c r="A1167" s="1303"/>
      <c r="B1167" s="1298"/>
      <c r="C1167" s="1280"/>
      <c r="D1167" s="1281"/>
      <c r="E1167" s="1293"/>
      <c r="F1167" s="1294"/>
      <c r="G1167" s="865"/>
    </row>
    <row r="1168" spans="1:7" x14ac:dyDescent="0.25">
      <c r="A1168" s="865"/>
      <c r="B1168" s="2190" t="s">
        <v>26</v>
      </c>
      <c r="C1168" s="2191"/>
      <c r="D1168" s="2191"/>
      <c r="E1168" s="2192"/>
      <c r="F1168" s="1304">
        <f>SUM(F1127:F1167)</f>
        <v>41485000</v>
      </c>
      <c r="G1168" s="865"/>
    </row>
    <row r="1169" spans="1:7" x14ac:dyDescent="0.25">
      <c r="A1169" s="1969" t="s">
        <v>516</v>
      </c>
      <c r="B1169" s="1969"/>
      <c r="C1169" s="1259" t="s">
        <v>27</v>
      </c>
      <c r="D1169" s="1970" t="s">
        <v>1224</v>
      </c>
      <c r="E1169" s="1970"/>
      <c r="F1169" s="1970"/>
      <c r="G1169" s="1259"/>
    </row>
    <row r="1170" spans="1:7" x14ac:dyDescent="0.25">
      <c r="A1170" s="1969" t="s">
        <v>28</v>
      </c>
      <c r="B1170" s="1969"/>
      <c r="C1170" s="1259"/>
      <c r="D1170" s="1971" t="s">
        <v>2443</v>
      </c>
      <c r="E1170" s="1971"/>
      <c r="F1170" s="1971"/>
      <c r="G1170" s="1259"/>
    </row>
    <row r="1171" spans="1:7" x14ac:dyDescent="0.25">
      <c r="A1171" s="1261"/>
      <c r="B1171" s="1262"/>
      <c r="C1171" s="1259"/>
      <c r="D1171" s="1260"/>
      <c r="E1171" s="948"/>
      <c r="F1171" s="948"/>
      <c r="G1171" s="1259"/>
    </row>
    <row r="1172" spans="1:7" x14ac:dyDescent="0.25">
      <c r="A1172" s="1261"/>
      <c r="B1172" s="1262"/>
      <c r="C1172" s="1259"/>
      <c r="D1172" s="1260"/>
      <c r="E1172" s="948"/>
      <c r="F1172" s="948"/>
      <c r="G1172" s="1259"/>
    </row>
    <row r="1173" spans="1:7" x14ac:dyDescent="0.25">
      <c r="A1173" s="1969"/>
      <c r="B1173" s="1969"/>
      <c r="C1173" s="1259"/>
      <c r="D1173" s="1260"/>
      <c r="E1173" s="1969"/>
      <c r="F1173" s="1969"/>
      <c r="G1173" s="1259"/>
    </row>
    <row r="1174" spans="1:7" x14ac:dyDescent="0.25">
      <c r="A1174" s="1969" t="s">
        <v>29</v>
      </c>
      <c r="B1174" s="1969"/>
      <c r="C1174" s="1259"/>
      <c r="D1174" s="1969" t="s">
        <v>517</v>
      </c>
      <c r="E1174" s="1969"/>
      <c r="F1174" s="1969"/>
      <c r="G1174" s="1259"/>
    </row>
    <row r="1175" spans="1:7" x14ac:dyDescent="0.25">
      <c r="A1175" s="1956" t="s">
        <v>0</v>
      </c>
      <c r="B1175" s="1956"/>
      <c r="C1175" s="1956"/>
      <c r="D1175" s="1956"/>
      <c r="E1175" s="1956"/>
      <c r="F1175" s="1956"/>
      <c r="G1175" s="615"/>
    </row>
    <row r="1176" spans="1:7" x14ac:dyDescent="0.25">
      <c r="A1176" s="1956" t="s">
        <v>1</v>
      </c>
      <c r="B1176" s="1956"/>
      <c r="C1176" s="1956"/>
      <c r="D1176" s="1956"/>
      <c r="E1176" s="1956"/>
      <c r="F1176" s="1956"/>
      <c r="G1176" s="615"/>
    </row>
    <row r="1177" spans="1:7" x14ac:dyDescent="0.25">
      <c r="A1177" s="1956" t="s">
        <v>2398</v>
      </c>
      <c r="B1177" s="1956"/>
      <c r="C1177" s="1956"/>
      <c r="D1177" s="1956"/>
      <c r="E1177" s="1956"/>
      <c r="F1177" s="1956"/>
      <c r="G1177" s="615"/>
    </row>
    <row r="1178" spans="1:7" x14ac:dyDescent="0.25">
      <c r="A1178" s="259"/>
      <c r="B1178" s="259"/>
      <c r="C1178" s="259"/>
      <c r="D1178" s="259"/>
      <c r="E1178" s="259"/>
      <c r="F1178" s="259"/>
      <c r="G1178" s="615"/>
    </row>
    <row r="1179" spans="1:7" x14ac:dyDescent="0.25">
      <c r="A1179" s="187" t="s">
        <v>251</v>
      </c>
      <c r="B1179" s="187" t="s">
        <v>827</v>
      </c>
      <c r="C1179" s="187"/>
      <c r="D1179" s="187"/>
      <c r="E1179" s="187"/>
      <c r="F1179" s="187"/>
      <c r="G1179" s="564"/>
    </row>
    <row r="1180" spans="1:7" x14ac:dyDescent="0.25">
      <c r="A1180" s="187" t="s">
        <v>252</v>
      </c>
      <c r="B1180" s="187" t="s">
        <v>853</v>
      </c>
      <c r="C1180" s="187"/>
      <c r="D1180" s="187"/>
      <c r="E1180" s="187" t="s">
        <v>6</v>
      </c>
      <c r="F1180" s="187"/>
      <c r="G1180" s="564"/>
    </row>
    <row r="1181" spans="1:7" ht="45" x14ac:dyDescent="0.25">
      <c r="A1181" s="764" t="s">
        <v>253</v>
      </c>
      <c r="B1181" s="765" t="s">
        <v>2466</v>
      </c>
      <c r="C1181" s="765"/>
      <c r="D1181" s="766"/>
      <c r="E1181" s="766" t="s">
        <v>1257</v>
      </c>
      <c r="F1181" s="764"/>
      <c r="G1181" s="766"/>
    </row>
    <row r="1182" spans="1:7" ht="30" x14ac:dyDescent="0.25">
      <c r="A1182" s="765" t="s">
        <v>428</v>
      </c>
      <c r="B1182" s="843" t="s">
        <v>60</v>
      </c>
      <c r="C1182" s="843"/>
      <c r="D1182" s="843"/>
      <c r="E1182" s="843"/>
      <c r="F1182" s="843"/>
      <c r="G1182" s="765"/>
    </row>
    <row r="1183" spans="1:7" ht="30" x14ac:dyDescent="0.25">
      <c r="A1183" s="564" t="s">
        <v>61</v>
      </c>
      <c r="B1183" s="187" t="s">
        <v>62</v>
      </c>
      <c r="C1183" s="187"/>
      <c r="D1183" s="187"/>
      <c r="E1183" s="187"/>
      <c r="F1183" s="187"/>
      <c r="G1183" s="564"/>
    </row>
    <row r="1184" spans="1:7" ht="30" x14ac:dyDescent="0.25">
      <c r="A1184" s="750" t="s">
        <v>255</v>
      </c>
      <c r="B1184" s="750" t="s">
        <v>11</v>
      </c>
      <c r="C1184" s="2112" t="s">
        <v>12</v>
      </c>
      <c r="D1184" s="2113"/>
      <c r="E1184" s="750" t="s">
        <v>13</v>
      </c>
      <c r="F1184" s="750" t="s">
        <v>14</v>
      </c>
      <c r="G1184" s="750" t="s">
        <v>256</v>
      </c>
    </row>
    <row r="1185" spans="1:7" x14ac:dyDescent="0.25">
      <c r="A1185" s="274">
        <v>1</v>
      </c>
      <c r="B1185" s="274">
        <v>2</v>
      </c>
      <c r="C1185" s="2176">
        <v>3</v>
      </c>
      <c r="D1185" s="2177"/>
      <c r="E1185" s="274">
        <v>4</v>
      </c>
      <c r="F1185" s="274">
        <v>5</v>
      </c>
      <c r="G1185" s="711">
        <v>6</v>
      </c>
    </row>
    <row r="1186" spans="1:7" x14ac:dyDescent="0.25">
      <c r="A1186" s="625" t="s">
        <v>1568</v>
      </c>
      <c r="B1186" s="844" t="s">
        <v>277</v>
      </c>
      <c r="C1186" s="845"/>
      <c r="D1186" s="846"/>
      <c r="E1186" s="847"/>
      <c r="F1186" s="848"/>
      <c r="G1186" s="302"/>
    </row>
    <row r="1187" spans="1:7" x14ac:dyDescent="0.25">
      <c r="A1187" s="625" t="s">
        <v>1301</v>
      </c>
      <c r="B1187" s="844" t="s">
        <v>84</v>
      </c>
      <c r="C1187" s="845"/>
      <c r="D1187" s="847"/>
      <c r="E1187" s="847"/>
      <c r="F1187" s="848"/>
      <c r="G1187" s="302"/>
    </row>
    <row r="1188" spans="1:7" ht="24.75" x14ac:dyDescent="0.25">
      <c r="A1188" s="625" t="s">
        <v>2430</v>
      </c>
      <c r="B1188" s="386" t="s">
        <v>278</v>
      </c>
      <c r="C1188" s="845"/>
      <c r="D1188" s="847"/>
      <c r="E1188" s="847"/>
      <c r="F1188" s="848"/>
      <c r="G1188" s="302"/>
    </row>
    <row r="1189" spans="1:7" x14ac:dyDescent="0.25">
      <c r="A1189" s="186"/>
      <c r="B1189" s="181" t="s">
        <v>2467</v>
      </c>
      <c r="C1189" s="178">
        <f>25*3</f>
        <v>75</v>
      </c>
      <c r="D1189" s="207" t="s">
        <v>93</v>
      </c>
      <c r="E1189" s="179">
        <v>5000</v>
      </c>
      <c r="F1189" s="761">
        <f>E1189*C1189</f>
        <v>375000</v>
      </c>
      <c r="G1189" s="186"/>
    </row>
    <row r="1190" spans="1:7" x14ac:dyDescent="0.25">
      <c r="A1190" s="186"/>
      <c r="B1190" s="181" t="s">
        <v>105</v>
      </c>
      <c r="C1190" s="178">
        <f>25*3</f>
        <v>75</v>
      </c>
      <c r="D1190" s="207" t="s">
        <v>93</v>
      </c>
      <c r="E1190" s="179">
        <v>7000</v>
      </c>
      <c r="F1190" s="761">
        <f>E1190*C1190</f>
        <v>525000</v>
      </c>
      <c r="G1190" s="186"/>
    </row>
    <row r="1191" spans="1:7" ht="24" x14ac:dyDescent="0.25">
      <c r="A1191" s="625" t="s">
        <v>1569</v>
      </c>
      <c r="B1191" s="844" t="s">
        <v>307</v>
      </c>
      <c r="C1191" s="609"/>
      <c r="D1191" s="847"/>
      <c r="E1191" s="850"/>
      <c r="F1191" s="851"/>
      <c r="G1191" s="302"/>
    </row>
    <row r="1192" spans="1:7" ht="36" x14ac:dyDescent="0.25">
      <c r="A1192" s="625"/>
      <c r="B1192" s="980" t="s">
        <v>2468</v>
      </c>
      <c r="C1192" s="853">
        <f>31*3</f>
        <v>93</v>
      </c>
      <c r="D1192" s="847" t="s">
        <v>269</v>
      </c>
      <c r="E1192" s="854">
        <v>20000</v>
      </c>
      <c r="F1192" s="608">
        <f>C1192*E1192</f>
        <v>1860000</v>
      </c>
      <c r="G1192" s="302"/>
    </row>
    <row r="1193" spans="1:7" x14ac:dyDescent="0.25">
      <c r="A1193" s="625" t="s">
        <v>1302</v>
      </c>
      <c r="B1193" s="844" t="s">
        <v>1303</v>
      </c>
      <c r="C1193" s="853"/>
      <c r="D1193" s="847"/>
      <c r="E1193" s="850"/>
      <c r="F1193" s="608"/>
      <c r="G1193" s="302"/>
    </row>
    <row r="1194" spans="1:7" ht="24" x14ac:dyDescent="0.25">
      <c r="A1194" s="625" t="s">
        <v>1304</v>
      </c>
      <c r="B1194" s="844" t="s">
        <v>325</v>
      </c>
      <c r="C1194" s="855"/>
      <c r="D1194" s="847"/>
      <c r="E1194" s="850"/>
      <c r="F1194" s="608"/>
      <c r="G1194" s="1"/>
    </row>
    <row r="1195" spans="1:7" x14ac:dyDescent="0.25">
      <c r="A1195" s="625"/>
      <c r="B1195" s="852" t="s">
        <v>326</v>
      </c>
      <c r="C1195" s="609">
        <v>1</v>
      </c>
      <c r="D1195" s="847" t="s">
        <v>93</v>
      </c>
      <c r="E1195" s="854">
        <v>90000</v>
      </c>
      <c r="F1195" s="608">
        <f>C1195*E1195</f>
        <v>90000</v>
      </c>
      <c r="G1195" s="1"/>
    </row>
    <row r="1196" spans="1:7" ht="24" x14ac:dyDescent="0.25">
      <c r="A1196" s="625" t="s">
        <v>1637</v>
      </c>
      <c r="B1196" s="844" t="s">
        <v>2431</v>
      </c>
      <c r="C1196" s="609"/>
      <c r="D1196" s="847"/>
      <c r="E1196" s="854"/>
      <c r="F1196" s="608"/>
      <c r="G1196" s="1"/>
    </row>
    <row r="1197" spans="1:7" x14ac:dyDescent="0.25">
      <c r="A1197" s="181"/>
      <c r="B1197" s="177" t="s">
        <v>422</v>
      </c>
      <c r="C1197" s="169">
        <v>3</v>
      </c>
      <c r="D1197" s="255" t="s">
        <v>93</v>
      </c>
      <c r="E1197" s="648">
        <v>50000</v>
      </c>
      <c r="F1197" s="763">
        <f t="shared" ref="F1197:F1199" si="21">E1197*C1197</f>
        <v>150000</v>
      </c>
      <c r="G1197" s="4"/>
    </row>
    <row r="1198" spans="1:7" ht="24" x14ac:dyDescent="0.25">
      <c r="A1198" s="181"/>
      <c r="B1198" s="177" t="s">
        <v>275</v>
      </c>
      <c r="C1198" s="169">
        <v>15</v>
      </c>
      <c r="D1198" s="255" t="s">
        <v>158</v>
      </c>
      <c r="E1198" s="648">
        <v>1000</v>
      </c>
      <c r="F1198" s="763">
        <f t="shared" si="21"/>
        <v>15000</v>
      </c>
      <c r="G1198" s="4"/>
    </row>
    <row r="1199" spans="1:7" x14ac:dyDescent="0.25">
      <c r="A1199" s="186"/>
      <c r="B1199" s="193" t="s">
        <v>289</v>
      </c>
      <c r="C1199" s="169">
        <v>3</v>
      </c>
      <c r="D1199" s="170" t="s">
        <v>290</v>
      </c>
      <c r="E1199" s="648">
        <v>10000</v>
      </c>
      <c r="F1199" s="763">
        <f t="shared" si="21"/>
        <v>30000</v>
      </c>
      <c r="G1199" s="4"/>
    </row>
    <row r="1200" spans="1:7" x14ac:dyDescent="0.25">
      <c r="A1200" s="625" t="s">
        <v>1305</v>
      </c>
      <c r="B1200" s="849" t="s">
        <v>294</v>
      </c>
      <c r="C1200" s="609"/>
      <c r="D1200" s="847"/>
      <c r="E1200" s="850"/>
      <c r="F1200" s="608"/>
      <c r="G1200" s="1"/>
    </row>
    <row r="1201" spans="1:7" ht="24" x14ac:dyDescent="0.25">
      <c r="A1201" s="625" t="s">
        <v>1306</v>
      </c>
      <c r="B1201" s="844" t="s">
        <v>656</v>
      </c>
      <c r="C1201" s="609"/>
      <c r="D1201" s="847"/>
      <c r="E1201" s="850"/>
      <c r="F1201" s="608"/>
      <c r="G1201" s="1"/>
    </row>
    <row r="1202" spans="1:7" x14ac:dyDescent="0.25">
      <c r="A1202" s="857"/>
      <c r="B1202" s="852" t="s">
        <v>2469</v>
      </c>
      <c r="C1202" s="845">
        <v>6</v>
      </c>
      <c r="D1202" s="847" t="s">
        <v>269</v>
      </c>
      <c r="E1202" s="854">
        <v>300000</v>
      </c>
      <c r="F1202" s="608">
        <f>C1202*E1202</f>
        <v>1800000</v>
      </c>
      <c r="G1202" s="1"/>
    </row>
    <row r="1203" spans="1:7" ht="24" x14ac:dyDescent="0.25">
      <c r="A1203" s="625" t="s">
        <v>2424</v>
      </c>
      <c r="B1203" s="844" t="s">
        <v>2425</v>
      </c>
      <c r="C1203" s="845"/>
      <c r="D1203" s="847"/>
      <c r="E1203" s="854"/>
      <c r="F1203" s="608"/>
      <c r="G1203" s="1"/>
    </row>
    <row r="1204" spans="1:7" ht="24" x14ac:dyDescent="0.25">
      <c r="A1204" s="625" t="s">
        <v>2426</v>
      </c>
      <c r="B1204" s="844" t="s">
        <v>2427</v>
      </c>
      <c r="C1204" s="845"/>
      <c r="D1204" s="847"/>
      <c r="E1204" s="854"/>
      <c r="F1204" s="608"/>
      <c r="G1204" s="1"/>
    </row>
    <row r="1205" spans="1:7" x14ac:dyDescent="0.25">
      <c r="A1205" s="857"/>
      <c r="B1205" s="852" t="s">
        <v>2470</v>
      </c>
      <c r="C1205" s="858">
        <v>6</v>
      </c>
      <c r="D1205" s="847" t="s">
        <v>1640</v>
      </c>
      <c r="E1205" s="854">
        <v>35000</v>
      </c>
      <c r="F1205" s="608">
        <f>E1205*C1205</f>
        <v>210000</v>
      </c>
      <c r="G1205" s="1"/>
    </row>
    <row r="1206" spans="1:7" x14ac:dyDescent="0.25">
      <c r="A1206" s="857"/>
      <c r="B1206" s="852" t="s">
        <v>2471</v>
      </c>
      <c r="C1206" s="858">
        <v>15</v>
      </c>
      <c r="D1206" s="847" t="s">
        <v>1638</v>
      </c>
      <c r="E1206" s="854">
        <v>20000</v>
      </c>
      <c r="F1206" s="608">
        <f t="shared" ref="F1206:F1255" si="22">E1206*C1206</f>
        <v>300000</v>
      </c>
      <c r="G1206" s="1"/>
    </row>
    <row r="1207" spans="1:7" x14ac:dyDescent="0.25">
      <c r="A1207" s="857"/>
      <c r="B1207" s="852" t="s">
        <v>2472</v>
      </c>
      <c r="C1207" s="858">
        <v>15</v>
      </c>
      <c r="D1207" s="847" t="s">
        <v>1638</v>
      </c>
      <c r="E1207" s="854">
        <v>15000</v>
      </c>
      <c r="F1207" s="608">
        <f t="shared" si="22"/>
        <v>225000</v>
      </c>
      <c r="G1207" s="1"/>
    </row>
    <row r="1208" spans="1:7" x14ac:dyDescent="0.25">
      <c r="A1208" s="857"/>
      <c r="B1208" s="852" t="s">
        <v>2473</v>
      </c>
      <c r="C1208" s="858">
        <v>9</v>
      </c>
      <c r="D1208" s="847" t="s">
        <v>1638</v>
      </c>
      <c r="E1208" s="854">
        <v>20000</v>
      </c>
      <c r="F1208" s="608">
        <f t="shared" si="22"/>
        <v>180000</v>
      </c>
      <c r="G1208" s="1"/>
    </row>
    <row r="1209" spans="1:7" x14ac:dyDescent="0.25">
      <c r="A1209" s="857"/>
      <c r="B1209" s="852" t="s">
        <v>2474</v>
      </c>
      <c r="C1209" s="858">
        <v>30</v>
      </c>
      <c r="D1209" s="847" t="s">
        <v>106</v>
      </c>
      <c r="E1209" s="854">
        <v>15000</v>
      </c>
      <c r="F1209" s="608">
        <f t="shared" si="22"/>
        <v>450000</v>
      </c>
      <c r="G1209" s="1"/>
    </row>
    <row r="1210" spans="1:7" x14ac:dyDescent="0.25">
      <c r="A1210" s="857"/>
      <c r="B1210" s="852" t="s">
        <v>2475</v>
      </c>
      <c r="C1210" s="858">
        <v>3</v>
      </c>
      <c r="D1210" s="847" t="s">
        <v>1638</v>
      </c>
      <c r="E1210" s="854">
        <v>5000</v>
      </c>
      <c r="F1210" s="608">
        <f t="shared" si="22"/>
        <v>15000</v>
      </c>
      <c r="G1210" s="1"/>
    </row>
    <row r="1211" spans="1:7" x14ac:dyDescent="0.25">
      <c r="A1211" s="857"/>
      <c r="B1211" s="852" t="s">
        <v>2476</v>
      </c>
      <c r="C1211" s="858">
        <v>3</v>
      </c>
      <c r="D1211" s="847" t="s">
        <v>116</v>
      </c>
      <c r="E1211" s="854">
        <v>20000</v>
      </c>
      <c r="F1211" s="608">
        <f t="shared" si="22"/>
        <v>60000</v>
      </c>
      <c r="G1211" s="1"/>
    </row>
    <row r="1212" spans="1:7" x14ac:dyDescent="0.25">
      <c r="A1212" s="857"/>
      <c r="B1212" s="852" t="s">
        <v>2477</v>
      </c>
      <c r="C1212" s="858">
        <v>3</v>
      </c>
      <c r="D1212" s="847" t="s">
        <v>116</v>
      </c>
      <c r="E1212" s="854">
        <v>5000</v>
      </c>
      <c r="F1212" s="608">
        <f t="shared" si="22"/>
        <v>15000</v>
      </c>
      <c r="G1212" s="1"/>
    </row>
    <row r="1213" spans="1:7" x14ac:dyDescent="0.25">
      <c r="A1213" s="857"/>
      <c r="B1213" s="852" t="s">
        <v>2478</v>
      </c>
      <c r="C1213" s="858">
        <v>3</v>
      </c>
      <c r="D1213" s="847" t="s">
        <v>116</v>
      </c>
      <c r="E1213" s="854">
        <v>10000</v>
      </c>
      <c r="F1213" s="608">
        <f t="shared" si="22"/>
        <v>30000</v>
      </c>
      <c r="G1213" s="1"/>
    </row>
    <row r="1214" spans="1:7" x14ac:dyDescent="0.25">
      <c r="A1214" s="857"/>
      <c r="B1214" s="852" t="s">
        <v>2515</v>
      </c>
      <c r="C1214" s="858">
        <v>6</v>
      </c>
      <c r="D1214" s="847" t="s">
        <v>106</v>
      </c>
      <c r="E1214" s="854">
        <v>3000</v>
      </c>
      <c r="F1214" s="608">
        <f t="shared" si="22"/>
        <v>18000</v>
      </c>
      <c r="G1214" s="1"/>
    </row>
    <row r="1215" spans="1:7" x14ac:dyDescent="0.25">
      <c r="A1215" s="857"/>
      <c r="B1215" s="852" t="s">
        <v>2479</v>
      </c>
      <c r="C1215" s="858">
        <v>3</v>
      </c>
      <c r="D1215" s="847" t="s">
        <v>106</v>
      </c>
      <c r="E1215" s="854">
        <v>15000</v>
      </c>
      <c r="F1215" s="608">
        <f t="shared" si="22"/>
        <v>45000</v>
      </c>
      <c r="G1215" s="1"/>
    </row>
    <row r="1216" spans="1:7" x14ac:dyDescent="0.25">
      <c r="A1216" s="857"/>
      <c r="B1216" s="852" t="s">
        <v>2480</v>
      </c>
      <c r="C1216" s="858">
        <v>9</v>
      </c>
      <c r="D1216" s="847" t="s">
        <v>133</v>
      </c>
      <c r="E1216" s="854">
        <v>10000</v>
      </c>
      <c r="F1216" s="608">
        <f t="shared" si="22"/>
        <v>90000</v>
      </c>
      <c r="G1216" s="1"/>
    </row>
    <row r="1217" spans="1:7" x14ac:dyDescent="0.25">
      <c r="A1217" s="857"/>
      <c r="B1217" s="852" t="s">
        <v>2481</v>
      </c>
      <c r="C1217" s="858">
        <v>3</v>
      </c>
      <c r="D1217" s="847" t="s">
        <v>106</v>
      </c>
      <c r="E1217" s="854">
        <v>10000</v>
      </c>
      <c r="F1217" s="608">
        <f t="shared" si="22"/>
        <v>30000</v>
      </c>
      <c r="G1217" s="1"/>
    </row>
    <row r="1218" spans="1:7" x14ac:dyDescent="0.25">
      <c r="A1218" s="857"/>
      <c r="B1218" s="852" t="s">
        <v>2482</v>
      </c>
      <c r="C1218" s="858">
        <v>6</v>
      </c>
      <c r="D1218" s="847" t="s">
        <v>106</v>
      </c>
      <c r="E1218" s="854">
        <v>4000</v>
      </c>
      <c r="F1218" s="608">
        <f t="shared" si="22"/>
        <v>24000</v>
      </c>
      <c r="G1218" s="1"/>
    </row>
    <row r="1219" spans="1:7" x14ac:dyDescent="0.25">
      <c r="A1219" s="857"/>
      <c r="B1219" s="852" t="s">
        <v>2483</v>
      </c>
      <c r="C1219" s="858">
        <v>3</v>
      </c>
      <c r="D1219" s="847" t="s">
        <v>106</v>
      </c>
      <c r="E1219" s="854">
        <v>10000</v>
      </c>
      <c r="F1219" s="608">
        <f t="shared" si="22"/>
        <v>30000</v>
      </c>
      <c r="G1219" s="1"/>
    </row>
    <row r="1220" spans="1:7" x14ac:dyDescent="0.25">
      <c r="A1220" s="857"/>
      <c r="B1220" s="852" t="s">
        <v>2484</v>
      </c>
      <c r="C1220" s="858">
        <v>3</v>
      </c>
      <c r="D1220" s="847" t="s">
        <v>116</v>
      </c>
      <c r="E1220" s="854">
        <v>10000</v>
      </c>
      <c r="F1220" s="608">
        <f t="shared" si="22"/>
        <v>30000</v>
      </c>
      <c r="G1220" s="1"/>
    </row>
    <row r="1221" spans="1:7" x14ac:dyDescent="0.25">
      <c r="A1221" s="857"/>
      <c r="B1221" s="852" t="s">
        <v>2485</v>
      </c>
      <c r="C1221" s="858">
        <v>3</v>
      </c>
      <c r="D1221" s="847" t="s">
        <v>116</v>
      </c>
      <c r="E1221" s="854">
        <v>10000</v>
      </c>
      <c r="F1221" s="608">
        <f t="shared" si="22"/>
        <v>30000</v>
      </c>
      <c r="G1221" s="1"/>
    </row>
    <row r="1222" spans="1:7" x14ac:dyDescent="0.25">
      <c r="A1222" s="857"/>
      <c r="B1222" s="852" t="s">
        <v>2486</v>
      </c>
      <c r="C1222" s="858">
        <v>3</v>
      </c>
      <c r="D1222" s="847" t="s">
        <v>116</v>
      </c>
      <c r="E1222" s="854">
        <v>10000</v>
      </c>
      <c r="F1222" s="608">
        <f t="shared" si="22"/>
        <v>30000</v>
      </c>
      <c r="G1222" s="1"/>
    </row>
    <row r="1223" spans="1:7" x14ac:dyDescent="0.25">
      <c r="A1223" s="857"/>
      <c r="B1223" s="852" t="s">
        <v>2487</v>
      </c>
      <c r="C1223" s="858">
        <v>3</v>
      </c>
      <c r="D1223" s="847" t="s">
        <v>2488</v>
      </c>
      <c r="E1223" s="854">
        <v>5000</v>
      </c>
      <c r="F1223" s="608">
        <f t="shared" si="22"/>
        <v>15000</v>
      </c>
      <c r="G1223" s="1"/>
    </row>
    <row r="1224" spans="1:7" x14ac:dyDescent="0.25">
      <c r="A1224" s="857"/>
      <c r="B1224" s="852" t="s">
        <v>2489</v>
      </c>
      <c r="C1224" s="858">
        <v>3</v>
      </c>
      <c r="D1224" s="847" t="s">
        <v>116</v>
      </c>
      <c r="E1224" s="854">
        <v>2000</v>
      </c>
      <c r="F1224" s="608">
        <f t="shared" si="22"/>
        <v>6000</v>
      </c>
      <c r="G1224" s="1"/>
    </row>
    <row r="1225" spans="1:7" x14ac:dyDescent="0.25">
      <c r="A1225" s="857"/>
      <c r="B1225" s="852" t="s">
        <v>2490</v>
      </c>
      <c r="C1225" s="858">
        <v>3</v>
      </c>
      <c r="D1225" s="847" t="s">
        <v>2488</v>
      </c>
      <c r="E1225" s="854">
        <v>5000</v>
      </c>
      <c r="F1225" s="608">
        <f t="shared" si="22"/>
        <v>15000</v>
      </c>
      <c r="G1225" s="1"/>
    </row>
    <row r="1226" spans="1:7" x14ac:dyDescent="0.25">
      <c r="A1226" s="857"/>
      <c r="B1226" s="852" t="s">
        <v>2491</v>
      </c>
      <c r="C1226" s="858">
        <v>6</v>
      </c>
      <c r="D1226" s="847" t="s">
        <v>1638</v>
      </c>
      <c r="E1226" s="854">
        <v>4000</v>
      </c>
      <c r="F1226" s="608">
        <f t="shared" si="22"/>
        <v>24000</v>
      </c>
      <c r="G1226" s="1"/>
    </row>
    <row r="1227" spans="1:7" x14ac:dyDescent="0.25">
      <c r="A1227" s="857"/>
      <c r="B1227" s="852" t="s">
        <v>2492</v>
      </c>
      <c r="C1227" s="858">
        <v>3</v>
      </c>
      <c r="D1227" s="847" t="s">
        <v>1638</v>
      </c>
      <c r="E1227" s="854">
        <v>4000</v>
      </c>
      <c r="F1227" s="608">
        <f t="shared" si="22"/>
        <v>12000</v>
      </c>
      <c r="G1227" s="1"/>
    </row>
    <row r="1228" spans="1:7" x14ac:dyDescent="0.25">
      <c r="A1228" s="857"/>
      <c r="B1228" s="852" t="s">
        <v>1639</v>
      </c>
      <c r="C1228" s="858">
        <v>1</v>
      </c>
      <c r="D1228" s="847" t="s">
        <v>1274</v>
      </c>
      <c r="E1228" s="854">
        <v>15000</v>
      </c>
      <c r="F1228" s="608">
        <f t="shared" si="22"/>
        <v>15000</v>
      </c>
      <c r="G1228" s="1"/>
    </row>
    <row r="1229" spans="1:7" x14ac:dyDescent="0.25">
      <c r="A1229" s="857"/>
      <c r="B1229" s="852" t="s">
        <v>2493</v>
      </c>
      <c r="C1229" s="858">
        <v>1</v>
      </c>
      <c r="D1229" s="847" t="s">
        <v>1274</v>
      </c>
      <c r="E1229" s="854">
        <v>40000</v>
      </c>
      <c r="F1229" s="608">
        <f t="shared" si="22"/>
        <v>40000</v>
      </c>
      <c r="G1229" s="1"/>
    </row>
    <row r="1230" spans="1:7" x14ac:dyDescent="0.25">
      <c r="A1230" s="857"/>
      <c r="B1230" s="852" t="s">
        <v>2494</v>
      </c>
      <c r="C1230" s="858">
        <v>3</v>
      </c>
      <c r="D1230" s="847" t="s">
        <v>116</v>
      </c>
      <c r="E1230" s="854">
        <v>5000</v>
      </c>
      <c r="F1230" s="608">
        <f t="shared" si="22"/>
        <v>15000</v>
      </c>
      <c r="G1230" s="1"/>
    </row>
    <row r="1231" spans="1:7" x14ac:dyDescent="0.25">
      <c r="A1231" s="857"/>
      <c r="B1231" s="852" t="s">
        <v>2495</v>
      </c>
      <c r="C1231" s="858">
        <v>3</v>
      </c>
      <c r="D1231" s="847" t="s">
        <v>116</v>
      </c>
      <c r="E1231" s="854">
        <v>5000</v>
      </c>
      <c r="F1231" s="608">
        <f t="shared" si="22"/>
        <v>15000</v>
      </c>
      <c r="G1231" s="1"/>
    </row>
    <row r="1232" spans="1:7" x14ac:dyDescent="0.25">
      <c r="A1232" s="857"/>
      <c r="B1232" s="852" t="s">
        <v>2496</v>
      </c>
      <c r="C1232" s="858">
        <v>3</v>
      </c>
      <c r="D1232" s="847" t="s">
        <v>106</v>
      </c>
      <c r="E1232" s="854">
        <v>10000</v>
      </c>
      <c r="F1232" s="608">
        <f t="shared" si="22"/>
        <v>30000</v>
      </c>
      <c r="G1232" s="1"/>
    </row>
    <row r="1233" spans="1:7" x14ac:dyDescent="0.25">
      <c r="A1233" s="857"/>
      <c r="B1233" s="852" t="s">
        <v>2497</v>
      </c>
      <c r="C1233" s="858">
        <v>3</v>
      </c>
      <c r="D1233" s="847" t="s">
        <v>116</v>
      </c>
      <c r="E1233" s="854">
        <v>5000</v>
      </c>
      <c r="F1233" s="608">
        <f t="shared" si="22"/>
        <v>15000</v>
      </c>
      <c r="G1233" s="1"/>
    </row>
    <row r="1234" spans="1:7" x14ac:dyDescent="0.25">
      <c r="A1234" s="857"/>
      <c r="B1234" s="852" t="s">
        <v>2498</v>
      </c>
      <c r="C1234" s="858">
        <v>3</v>
      </c>
      <c r="D1234" s="847" t="s">
        <v>1638</v>
      </c>
      <c r="E1234" s="854">
        <v>5000</v>
      </c>
      <c r="F1234" s="608">
        <f t="shared" si="22"/>
        <v>15000</v>
      </c>
      <c r="G1234" s="1"/>
    </row>
    <row r="1235" spans="1:7" x14ac:dyDescent="0.25">
      <c r="A1235" s="857"/>
      <c r="B1235" s="852" t="s">
        <v>2499</v>
      </c>
      <c r="C1235" s="858">
        <v>18</v>
      </c>
      <c r="D1235" s="847" t="s">
        <v>266</v>
      </c>
      <c r="E1235" s="854">
        <v>5000</v>
      </c>
      <c r="F1235" s="608">
        <f t="shared" si="22"/>
        <v>90000</v>
      </c>
      <c r="G1235" s="1"/>
    </row>
    <row r="1236" spans="1:7" x14ac:dyDescent="0.25">
      <c r="A1236" s="857"/>
      <c r="B1236" s="852" t="s">
        <v>2500</v>
      </c>
      <c r="C1236" s="858">
        <v>6</v>
      </c>
      <c r="D1236" s="847" t="s">
        <v>2488</v>
      </c>
      <c r="E1236" s="854">
        <v>200000</v>
      </c>
      <c r="F1236" s="608">
        <f t="shared" si="22"/>
        <v>1200000</v>
      </c>
      <c r="G1236" s="1"/>
    </row>
    <row r="1237" spans="1:7" x14ac:dyDescent="0.25">
      <c r="A1237" s="857"/>
      <c r="B1237" s="852" t="s">
        <v>2501</v>
      </c>
      <c r="C1237" s="858">
        <v>3</v>
      </c>
      <c r="D1237" s="847" t="s">
        <v>171</v>
      </c>
      <c r="E1237" s="854">
        <v>5000</v>
      </c>
      <c r="F1237" s="608">
        <f t="shared" si="22"/>
        <v>15000</v>
      </c>
      <c r="G1237" s="1"/>
    </row>
    <row r="1238" spans="1:7" x14ac:dyDescent="0.25">
      <c r="A1238" s="857"/>
      <c r="B1238" s="852" t="s">
        <v>2502</v>
      </c>
      <c r="C1238" s="858">
        <v>6</v>
      </c>
      <c r="D1238" s="847" t="s">
        <v>116</v>
      </c>
      <c r="E1238" s="854">
        <v>5000</v>
      </c>
      <c r="F1238" s="608">
        <f t="shared" si="22"/>
        <v>30000</v>
      </c>
      <c r="G1238" s="1"/>
    </row>
    <row r="1239" spans="1:7" x14ac:dyDescent="0.25">
      <c r="A1239" s="857"/>
      <c r="B1239" s="852" t="s">
        <v>2503</v>
      </c>
      <c r="C1239" s="858">
        <v>3</v>
      </c>
      <c r="D1239" s="847" t="s">
        <v>1638</v>
      </c>
      <c r="E1239" s="854">
        <v>5000</v>
      </c>
      <c r="F1239" s="608">
        <f t="shared" si="22"/>
        <v>15000</v>
      </c>
      <c r="G1239" s="1"/>
    </row>
    <row r="1240" spans="1:7" x14ac:dyDescent="0.25">
      <c r="A1240" s="857"/>
      <c r="B1240" s="852" t="s">
        <v>2504</v>
      </c>
      <c r="C1240" s="858">
        <v>3</v>
      </c>
      <c r="D1240" s="847" t="s">
        <v>1638</v>
      </c>
      <c r="E1240" s="854">
        <v>5000</v>
      </c>
      <c r="F1240" s="608">
        <f t="shared" si="22"/>
        <v>15000</v>
      </c>
      <c r="G1240" s="1"/>
    </row>
    <row r="1241" spans="1:7" x14ac:dyDescent="0.25">
      <c r="A1241" s="857"/>
      <c r="B1241" s="852" t="s">
        <v>2505</v>
      </c>
      <c r="C1241" s="858">
        <v>3</v>
      </c>
      <c r="D1241" s="847" t="s">
        <v>1638</v>
      </c>
      <c r="E1241" s="854">
        <v>15000</v>
      </c>
      <c r="F1241" s="608">
        <f t="shared" si="22"/>
        <v>45000</v>
      </c>
      <c r="G1241" s="1"/>
    </row>
    <row r="1242" spans="1:7" x14ac:dyDescent="0.25">
      <c r="A1242" s="857"/>
      <c r="B1242" s="852" t="s">
        <v>2506</v>
      </c>
      <c r="C1242" s="858">
        <v>60</v>
      </c>
      <c r="D1242" s="847" t="s">
        <v>116</v>
      </c>
      <c r="E1242" s="854">
        <v>2000</v>
      </c>
      <c r="F1242" s="608">
        <f t="shared" si="22"/>
        <v>120000</v>
      </c>
      <c r="G1242" s="1"/>
    </row>
    <row r="1243" spans="1:7" x14ac:dyDescent="0.25">
      <c r="A1243" s="857"/>
      <c r="B1243" s="852" t="s">
        <v>2507</v>
      </c>
      <c r="C1243" s="858">
        <v>90</v>
      </c>
      <c r="D1243" s="847" t="s">
        <v>106</v>
      </c>
      <c r="E1243" s="854">
        <v>2000</v>
      </c>
      <c r="F1243" s="608">
        <f t="shared" si="22"/>
        <v>180000</v>
      </c>
      <c r="G1243" s="1"/>
    </row>
    <row r="1244" spans="1:7" x14ac:dyDescent="0.25">
      <c r="A1244" s="857"/>
      <c r="B1244" s="852" t="s">
        <v>2516</v>
      </c>
      <c r="C1244" s="858">
        <v>60</v>
      </c>
      <c r="D1244" s="847" t="s">
        <v>106</v>
      </c>
      <c r="E1244" s="854">
        <v>2500</v>
      </c>
      <c r="F1244" s="608">
        <f t="shared" si="22"/>
        <v>150000</v>
      </c>
      <c r="G1244" s="1"/>
    </row>
    <row r="1245" spans="1:7" x14ac:dyDescent="0.25">
      <c r="A1245" s="857"/>
      <c r="B1245" s="852" t="s">
        <v>1642</v>
      </c>
      <c r="C1245" s="858">
        <v>6</v>
      </c>
      <c r="D1245" s="847" t="s">
        <v>1274</v>
      </c>
      <c r="E1245" s="854">
        <v>100000</v>
      </c>
      <c r="F1245" s="608">
        <f t="shared" si="22"/>
        <v>600000</v>
      </c>
      <c r="G1245" s="1"/>
    </row>
    <row r="1246" spans="1:7" x14ac:dyDescent="0.25">
      <c r="A1246" s="857"/>
      <c r="B1246" s="852" t="s">
        <v>1641</v>
      </c>
      <c r="C1246" s="858">
        <v>3</v>
      </c>
      <c r="D1246" s="847" t="s">
        <v>106</v>
      </c>
      <c r="E1246" s="854">
        <v>5000</v>
      </c>
      <c r="F1246" s="608">
        <f t="shared" si="22"/>
        <v>15000</v>
      </c>
      <c r="G1246" s="1"/>
    </row>
    <row r="1247" spans="1:7" x14ac:dyDescent="0.25">
      <c r="A1247" s="857"/>
      <c r="B1247" s="852" t="s">
        <v>2508</v>
      </c>
      <c r="C1247" s="858">
        <v>3</v>
      </c>
      <c r="D1247" s="847" t="s">
        <v>106</v>
      </c>
      <c r="E1247" s="854">
        <v>5000</v>
      </c>
      <c r="F1247" s="608">
        <f t="shared" si="22"/>
        <v>15000</v>
      </c>
      <c r="G1247" s="1"/>
    </row>
    <row r="1248" spans="1:7" x14ac:dyDescent="0.25">
      <c r="A1248" s="857"/>
      <c r="B1248" s="852" t="s">
        <v>2509</v>
      </c>
      <c r="C1248" s="858">
        <v>3</v>
      </c>
      <c r="D1248" s="847" t="s">
        <v>116</v>
      </c>
      <c r="E1248" s="854">
        <v>5000</v>
      </c>
      <c r="F1248" s="608">
        <f t="shared" si="22"/>
        <v>15000</v>
      </c>
      <c r="G1248" s="1"/>
    </row>
    <row r="1249" spans="1:11" x14ac:dyDescent="0.25">
      <c r="A1249" s="857"/>
      <c r="B1249" s="852" t="s">
        <v>2517</v>
      </c>
      <c r="C1249" s="858">
        <v>3</v>
      </c>
      <c r="D1249" s="847" t="s">
        <v>116</v>
      </c>
      <c r="E1249" s="854">
        <v>5000</v>
      </c>
      <c r="F1249" s="608">
        <f t="shared" si="22"/>
        <v>15000</v>
      </c>
      <c r="G1249" s="1"/>
    </row>
    <row r="1250" spans="1:11" x14ac:dyDescent="0.25">
      <c r="A1250" s="857"/>
      <c r="B1250" s="852" t="s">
        <v>2510</v>
      </c>
      <c r="C1250" s="858">
        <v>3</v>
      </c>
      <c r="D1250" s="847" t="s">
        <v>116</v>
      </c>
      <c r="E1250" s="854">
        <v>5000</v>
      </c>
      <c r="F1250" s="608">
        <f t="shared" si="22"/>
        <v>15000</v>
      </c>
      <c r="G1250" s="1"/>
    </row>
    <row r="1251" spans="1:11" x14ac:dyDescent="0.25">
      <c r="A1251" s="857"/>
      <c r="B1251" s="852" t="s">
        <v>2511</v>
      </c>
      <c r="C1251" s="858">
        <v>3</v>
      </c>
      <c r="D1251" s="847" t="s">
        <v>116</v>
      </c>
      <c r="E1251" s="854">
        <v>2000</v>
      </c>
      <c r="F1251" s="608">
        <f t="shared" si="22"/>
        <v>6000</v>
      </c>
      <c r="G1251" s="1"/>
    </row>
    <row r="1252" spans="1:11" x14ac:dyDescent="0.25">
      <c r="A1252" s="857"/>
      <c r="B1252" s="852" t="s">
        <v>2512</v>
      </c>
      <c r="C1252" s="858">
        <v>3</v>
      </c>
      <c r="D1252" s="847" t="s">
        <v>116</v>
      </c>
      <c r="E1252" s="854">
        <v>10000</v>
      </c>
      <c r="F1252" s="608">
        <f t="shared" si="22"/>
        <v>30000</v>
      </c>
      <c r="G1252" s="1"/>
    </row>
    <row r="1253" spans="1:11" x14ac:dyDescent="0.25">
      <c r="A1253" s="857"/>
      <c r="B1253" s="852" t="s">
        <v>2518</v>
      </c>
      <c r="C1253" s="858">
        <v>3</v>
      </c>
      <c r="D1253" s="847" t="s">
        <v>106</v>
      </c>
      <c r="E1253" s="854">
        <v>1000</v>
      </c>
      <c r="F1253" s="608">
        <f t="shared" si="22"/>
        <v>3000</v>
      </c>
      <c r="G1253" s="1"/>
    </row>
    <row r="1254" spans="1:11" x14ac:dyDescent="0.25">
      <c r="A1254" s="857"/>
      <c r="B1254" s="852" t="s">
        <v>2513</v>
      </c>
      <c r="C1254" s="858">
        <v>3</v>
      </c>
      <c r="D1254" s="847" t="s">
        <v>106</v>
      </c>
      <c r="E1254" s="854">
        <v>40000</v>
      </c>
      <c r="F1254" s="608">
        <f t="shared" si="22"/>
        <v>120000</v>
      </c>
      <c r="G1254" s="1"/>
    </row>
    <row r="1255" spans="1:11" x14ac:dyDescent="0.25">
      <c r="A1255" s="857"/>
      <c r="B1255" s="852" t="s">
        <v>2514</v>
      </c>
      <c r="C1255" s="858">
        <v>3</v>
      </c>
      <c r="D1255" s="847" t="s">
        <v>106</v>
      </c>
      <c r="E1255" s="854">
        <v>40000</v>
      </c>
      <c r="F1255" s="608">
        <f t="shared" si="22"/>
        <v>120000</v>
      </c>
      <c r="G1255" s="1"/>
    </row>
    <row r="1256" spans="1:11" x14ac:dyDescent="0.25">
      <c r="A1256" s="1"/>
      <c r="B1256" s="2178" t="s">
        <v>26</v>
      </c>
      <c r="C1256" s="2179"/>
      <c r="D1256" s="2179"/>
      <c r="E1256" s="2180"/>
      <c r="F1256" s="860">
        <f>SUM(F1186:F1255)</f>
        <v>9688000</v>
      </c>
      <c r="G1256" s="1" t="s">
        <v>1220</v>
      </c>
      <c r="K1256" s="27">
        <f>F1256</f>
        <v>9688000</v>
      </c>
    </row>
    <row r="1257" spans="1:11" x14ac:dyDescent="0.25">
      <c r="A1257" s="1926" t="s">
        <v>516</v>
      </c>
      <c r="B1257" s="1926"/>
      <c r="C1257" s="152" t="s">
        <v>27</v>
      </c>
      <c r="D1257" s="1926" t="s">
        <v>3654</v>
      </c>
      <c r="E1257" s="1926"/>
      <c r="F1257" s="1926"/>
      <c r="G1257" s="152"/>
    </row>
    <row r="1258" spans="1:11" x14ac:dyDescent="0.25">
      <c r="A1258" s="1926" t="s">
        <v>28</v>
      </c>
      <c r="B1258" s="1926"/>
      <c r="C1258" s="152"/>
      <c r="D1258" s="1927" t="s">
        <v>3570</v>
      </c>
      <c r="E1258" s="1927"/>
      <c r="F1258" s="1927"/>
      <c r="G1258" s="152"/>
    </row>
    <row r="1259" spans="1:11" x14ac:dyDescent="0.25">
      <c r="A1259" s="150"/>
      <c r="B1259" s="151"/>
      <c r="C1259" s="152"/>
      <c r="D1259" s="153"/>
      <c r="E1259" s="182"/>
      <c r="F1259" s="1208"/>
      <c r="G1259" s="152"/>
    </row>
    <row r="1260" spans="1:11" x14ac:dyDescent="0.25">
      <c r="A1260" s="150"/>
      <c r="B1260" s="151"/>
      <c r="C1260" s="152"/>
      <c r="D1260" s="153"/>
      <c r="E1260" s="182"/>
      <c r="F1260" s="1208"/>
      <c r="G1260" s="152"/>
    </row>
    <row r="1261" spans="1:11" x14ac:dyDescent="0.25">
      <c r="A1261" s="1926"/>
      <c r="B1261" s="1926"/>
      <c r="C1261" s="152"/>
      <c r="D1261" s="153"/>
      <c r="E1261" s="2003"/>
      <c r="F1261" s="2003"/>
      <c r="G1261" s="152"/>
    </row>
    <row r="1262" spans="1:11" x14ac:dyDescent="0.25">
      <c r="A1262" s="1926" t="s">
        <v>29</v>
      </c>
      <c r="B1262" s="1926"/>
      <c r="C1262" s="152"/>
      <c r="D1262" s="1926" t="s">
        <v>3548</v>
      </c>
      <c r="E1262" s="1926"/>
      <c r="F1262" s="1926"/>
      <c r="G1262" s="152"/>
    </row>
    <row r="1264" spans="1:11" x14ac:dyDescent="0.25">
      <c r="A1264" s="1956" t="s">
        <v>0</v>
      </c>
      <c r="B1264" s="1956"/>
      <c r="C1264" s="1956"/>
      <c r="D1264" s="1956"/>
      <c r="E1264" s="1956"/>
      <c r="F1264" s="1956"/>
      <c r="G1264" s="615"/>
    </row>
    <row r="1265" spans="1:7" x14ac:dyDescent="0.25">
      <c r="A1265" s="1956" t="s">
        <v>1</v>
      </c>
      <c r="B1265" s="1956"/>
      <c r="C1265" s="1956"/>
      <c r="D1265" s="1956"/>
      <c r="E1265" s="1956"/>
      <c r="F1265" s="1956"/>
      <c r="G1265" s="615"/>
    </row>
    <row r="1266" spans="1:7" x14ac:dyDescent="0.25">
      <c r="A1266" s="1956" t="s">
        <v>2398</v>
      </c>
      <c r="B1266" s="1956"/>
      <c r="C1266" s="1956"/>
      <c r="D1266" s="1956"/>
      <c r="E1266" s="1956"/>
      <c r="F1266" s="1956"/>
      <c r="G1266" s="615"/>
    </row>
    <row r="1267" spans="1:7" x14ac:dyDescent="0.25">
      <c r="A1267" s="259"/>
      <c r="B1267" s="259"/>
      <c r="C1267" s="259"/>
      <c r="D1267" s="259"/>
      <c r="E1267" s="259"/>
      <c r="F1267" s="259"/>
      <c r="G1267" s="615"/>
    </row>
    <row r="1268" spans="1:7" x14ac:dyDescent="0.25">
      <c r="A1268" s="187" t="s">
        <v>251</v>
      </c>
      <c r="B1268" s="187" t="s">
        <v>827</v>
      </c>
      <c r="C1268" s="187"/>
      <c r="D1268" s="187"/>
      <c r="E1268" s="187"/>
      <c r="F1268" s="187"/>
      <c r="G1268" s="564"/>
    </row>
    <row r="1269" spans="1:7" x14ac:dyDescent="0.25">
      <c r="A1269" s="187" t="s">
        <v>252</v>
      </c>
      <c r="B1269" s="187" t="s">
        <v>853</v>
      </c>
      <c r="C1269" s="187"/>
      <c r="D1269" s="187"/>
      <c r="E1269" s="187" t="s">
        <v>6</v>
      </c>
      <c r="F1269" s="187"/>
      <c r="G1269" s="564"/>
    </row>
    <row r="1270" spans="1:7" ht="45" x14ac:dyDescent="0.25">
      <c r="A1270" s="764" t="s">
        <v>253</v>
      </c>
      <c r="B1270" s="765" t="s">
        <v>3104</v>
      </c>
      <c r="C1270" s="765"/>
      <c r="D1270" s="766"/>
      <c r="E1270" s="766" t="s">
        <v>1257</v>
      </c>
      <c r="F1270" s="764"/>
      <c r="G1270" s="766"/>
    </row>
    <row r="1271" spans="1:7" ht="30" x14ac:dyDescent="0.25">
      <c r="A1271" s="765" t="s">
        <v>428</v>
      </c>
      <c r="B1271" s="843" t="s">
        <v>60</v>
      </c>
      <c r="C1271" s="843"/>
      <c r="D1271" s="843"/>
      <c r="E1271" s="843"/>
      <c r="F1271" s="843"/>
      <c r="G1271" s="765"/>
    </row>
    <row r="1272" spans="1:7" ht="30" x14ac:dyDescent="0.25">
      <c r="A1272" s="564" t="s">
        <v>61</v>
      </c>
      <c r="B1272" s="187" t="s">
        <v>62</v>
      </c>
      <c r="C1272" s="187"/>
      <c r="D1272" s="187"/>
      <c r="E1272" s="187"/>
      <c r="F1272" s="187"/>
      <c r="G1272" s="564"/>
    </row>
    <row r="1273" spans="1:7" ht="30" x14ac:dyDescent="0.25">
      <c r="A1273" s="750" t="s">
        <v>255</v>
      </c>
      <c r="B1273" s="750" t="s">
        <v>11</v>
      </c>
      <c r="C1273" s="2112" t="s">
        <v>12</v>
      </c>
      <c r="D1273" s="2113"/>
      <c r="E1273" s="750" t="s">
        <v>13</v>
      </c>
      <c r="F1273" s="750" t="s">
        <v>14</v>
      </c>
      <c r="G1273" s="750" t="s">
        <v>256</v>
      </c>
    </row>
    <row r="1274" spans="1:7" x14ac:dyDescent="0.25">
      <c r="A1274" s="274">
        <v>1</v>
      </c>
      <c r="B1274" s="274">
        <v>2</v>
      </c>
      <c r="C1274" s="2176">
        <v>3</v>
      </c>
      <c r="D1274" s="2177"/>
      <c r="E1274" s="274">
        <v>4</v>
      </c>
      <c r="F1274" s="274">
        <v>5</v>
      </c>
      <c r="G1274" s="711">
        <v>6</v>
      </c>
    </row>
    <row r="1275" spans="1:7" x14ac:dyDescent="0.25">
      <c r="A1275" s="625" t="s">
        <v>1568</v>
      </c>
      <c r="B1275" s="844" t="s">
        <v>277</v>
      </c>
      <c r="C1275" s="845"/>
      <c r="D1275" s="846"/>
      <c r="E1275" s="847"/>
      <c r="F1275" s="848"/>
      <c r="G1275" s="302"/>
    </row>
    <row r="1276" spans="1:7" x14ac:dyDescent="0.25">
      <c r="A1276" s="625" t="s">
        <v>1301</v>
      </c>
      <c r="B1276" s="844" t="s">
        <v>84</v>
      </c>
      <c r="C1276" s="845"/>
      <c r="D1276" s="847"/>
      <c r="E1276" s="847"/>
      <c r="F1276" s="848"/>
      <c r="G1276" s="302"/>
    </row>
    <row r="1277" spans="1:7" ht="24.75" x14ac:dyDescent="0.25">
      <c r="A1277" s="625" t="s">
        <v>2430</v>
      </c>
      <c r="B1277" s="386" t="s">
        <v>278</v>
      </c>
      <c r="C1277" s="845"/>
      <c r="D1277" s="847"/>
      <c r="E1277" s="847"/>
      <c r="F1277" s="848"/>
      <c r="G1277" s="302"/>
    </row>
    <row r="1278" spans="1:7" x14ac:dyDescent="0.25">
      <c r="A1278" s="186"/>
      <c r="B1278" s="181" t="s">
        <v>3105</v>
      </c>
      <c r="C1278" s="178">
        <v>35</v>
      </c>
      <c r="D1278" s="207" t="s">
        <v>93</v>
      </c>
      <c r="E1278" s="179">
        <v>5000</v>
      </c>
      <c r="F1278" s="761">
        <f>E1278*C1278</f>
        <v>175000</v>
      </c>
      <c r="G1278" s="186"/>
    </row>
    <row r="1279" spans="1:7" x14ac:dyDescent="0.25">
      <c r="A1279" s="186"/>
      <c r="B1279" s="181" t="s">
        <v>105</v>
      </c>
      <c r="C1279" s="178">
        <v>35</v>
      </c>
      <c r="D1279" s="207" t="s">
        <v>93</v>
      </c>
      <c r="E1279" s="179">
        <v>7000</v>
      </c>
      <c r="F1279" s="761">
        <f>E1279*C1279</f>
        <v>245000</v>
      </c>
      <c r="G1279" s="186"/>
    </row>
    <row r="1280" spans="1:7" ht="24" x14ac:dyDescent="0.25">
      <c r="A1280" s="625" t="s">
        <v>1569</v>
      </c>
      <c r="B1280" s="844" t="s">
        <v>307</v>
      </c>
      <c r="C1280" s="609"/>
      <c r="D1280" s="847"/>
      <c r="E1280" s="850"/>
      <c r="F1280" s="851"/>
      <c r="G1280" s="302"/>
    </row>
    <row r="1281" spans="1:11" ht="24" x14ac:dyDescent="0.25">
      <c r="A1281" s="625"/>
      <c r="B1281" s="980" t="s">
        <v>3106</v>
      </c>
      <c r="C1281" s="853">
        <v>37</v>
      </c>
      <c r="D1281" s="847" t="s">
        <v>269</v>
      </c>
      <c r="E1281" s="854">
        <v>20000</v>
      </c>
      <c r="F1281" s="608">
        <f>C1281*E1281</f>
        <v>740000</v>
      </c>
      <c r="G1281" s="302"/>
    </row>
    <row r="1282" spans="1:11" x14ac:dyDescent="0.25">
      <c r="A1282" s="625" t="s">
        <v>1302</v>
      </c>
      <c r="B1282" s="844" t="s">
        <v>1303</v>
      </c>
      <c r="C1282" s="853"/>
      <c r="D1282" s="847"/>
      <c r="E1282" s="850"/>
      <c r="F1282" s="608"/>
      <c r="G1282" s="302"/>
    </row>
    <row r="1283" spans="1:11" ht="24" x14ac:dyDescent="0.25">
      <c r="A1283" s="625" t="s">
        <v>1304</v>
      </c>
      <c r="B1283" s="844" t="s">
        <v>325</v>
      </c>
      <c r="C1283" s="855"/>
      <c r="D1283" s="847"/>
      <c r="E1283" s="850"/>
      <c r="F1283" s="608"/>
      <c r="G1283" s="1"/>
    </row>
    <row r="1284" spans="1:11" x14ac:dyDescent="0.25">
      <c r="A1284" s="625"/>
      <c r="B1284" s="852" t="s">
        <v>326</v>
      </c>
      <c r="C1284" s="609">
        <v>1</v>
      </c>
      <c r="D1284" s="847" t="s">
        <v>93</v>
      </c>
      <c r="E1284" s="854">
        <v>90000</v>
      </c>
      <c r="F1284" s="608">
        <f>C1284*E1284</f>
        <v>90000</v>
      </c>
      <c r="G1284" s="1"/>
    </row>
    <row r="1285" spans="1:11" ht="24" x14ac:dyDescent="0.25">
      <c r="A1285" s="625" t="s">
        <v>1637</v>
      </c>
      <c r="B1285" s="844" t="s">
        <v>2431</v>
      </c>
      <c r="C1285" s="609"/>
      <c r="D1285" s="847"/>
      <c r="E1285" s="854"/>
      <c r="F1285" s="608"/>
      <c r="G1285" s="1"/>
    </row>
    <row r="1286" spans="1:11" x14ac:dyDescent="0.25">
      <c r="A1286" s="181"/>
      <c r="B1286" s="177" t="s">
        <v>422</v>
      </c>
      <c r="C1286" s="169">
        <v>1</v>
      </c>
      <c r="D1286" s="255" t="s">
        <v>93</v>
      </c>
      <c r="E1286" s="648">
        <v>50000</v>
      </c>
      <c r="F1286" s="763">
        <f t="shared" ref="F1286:F1288" si="23">E1286*C1286</f>
        <v>50000</v>
      </c>
      <c r="G1286" s="4"/>
    </row>
    <row r="1287" spans="1:11" ht="24" x14ac:dyDescent="0.25">
      <c r="A1287" s="181"/>
      <c r="B1287" s="177" t="s">
        <v>275</v>
      </c>
      <c r="C1287" s="169">
        <v>5</v>
      </c>
      <c r="D1287" s="255" t="s">
        <v>158</v>
      </c>
      <c r="E1287" s="648">
        <v>1000</v>
      </c>
      <c r="F1287" s="763">
        <f t="shared" si="23"/>
        <v>5000</v>
      </c>
      <c r="G1287" s="4"/>
    </row>
    <row r="1288" spans="1:11" x14ac:dyDescent="0.25">
      <c r="A1288" s="186"/>
      <c r="B1288" s="193" t="s">
        <v>289</v>
      </c>
      <c r="C1288" s="169">
        <v>1</v>
      </c>
      <c r="D1288" s="170" t="s">
        <v>290</v>
      </c>
      <c r="E1288" s="648">
        <v>10000</v>
      </c>
      <c r="F1288" s="763">
        <f t="shared" si="23"/>
        <v>10000</v>
      </c>
      <c r="G1288" s="4"/>
    </row>
    <row r="1289" spans="1:11" x14ac:dyDescent="0.25">
      <c r="A1289" s="625" t="s">
        <v>1305</v>
      </c>
      <c r="B1289" s="849" t="s">
        <v>294</v>
      </c>
      <c r="C1289" s="609"/>
      <c r="D1289" s="847"/>
      <c r="E1289" s="850"/>
      <c r="F1289" s="608"/>
      <c r="G1289" s="1"/>
    </row>
    <row r="1290" spans="1:11" ht="24" x14ac:dyDescent="0.25">
      <c r="A1290" s="625" t="s">
        <v>1306</v>
      </c>
      <c r="B1290" s="844" t="s">
        <v>656</v>
      </c>
      <c r="C1290" s="609"/>
      <c r="D1290" s="847"/>
      <c r="E1290" s="850"/>
      <c r="F1290" s="608"/>
      <c r="G1290" s="1"/>
    </row>
    <row r="1291" spans="1:11" x14ac:dyDescent="0.25">
      <c r="A1291" s="857"/>
      <c r="B1291" s="852" t="s">
        <v>1307</v>
      </c>
      <c r="C1291" s="845">
        <v>2</v>
      </c>
      <c r="D1291" s="847" t="s">
        <v>269</v>
      </c>
      <c r="E1291" s="854">
        <v>300000</v>
      </c>
      <c r="F1291" s="608">
        <f>C1291*E1291</f>
        <v>600000</v>
      </c>
      <c r="G1291" s="1"/>
    </row>
    <row r="1292" spans="1:11" x14ac:dyDescent="0.25">
      <c r="A1292" s="1"/>
      <c r="B1292" s="2178" t="s">
        <v>26</v>
      </c>
      <c r="C1292" s="2179"/>
      <c r="D1292" s="2179"/>
      <c r="E1292" s="2180"/>
      <c r="F1292" s="860">
        <f>SUM(F1275:F1291)</f>
        <v>1915000</v>
      </c>
      <c r="G1292" s="1" t="s">
        <v>1220</v>
      </c>
      <c r="K1292" s="27">
        <f>F1292</f>
        <v>1915000</v>
      </c>
    </row>
    <row r="1293" spans="1:11" x14ac:dyDescent="0.25">
      <c r="A1293" s="1926" t="s">
        <v>516</v>
      </c>
      <c r="B1293" s="1926"/>
      <c r="C1293" s="152" t="s">
        <v>27</v>
      </c>
      <c r="D1293" s="1926" t="s">
        <v>3654</v>
      </c>
      <c r="E1293" s="1926"/>
      <c r="F1293" s="1926"/>
      <c r="G1293" s="152"/>
    </row>
    <row r="1294" spans="1:11" x14ac:dyDescent="0.25">
      <c r="A1294" s="1926" t="s">
        <v>28</v>
      </c>
      <c r="B1294" s="1926"/>
      <c r="C1294" s="152"/>
      <c r="D1294" s="1927" t="s">
        <v>3570</v>
      </c>
      <c r="E1294" s="1927"/>
      <c r="F1294" s="1927"/>
      <c r="G1294" s="152"/>
    </row>
    <row r="1295" spans="1:11" x14ac:dyDescent="0.25">
      <c r="A1295" s="150"/>
      <c r="B1295" s="151"/>
      <c r="C1295" s="152"/>
      <c r="D1295" s="153"/>
      <c r="E1295" s="182"/>
      <c r="F1295" s="1208"/>
      <c r="G1295" s="152"/>
    </row>
    <row r="1296" spans="1:11" x14ac:dyDescent="0.25">
      <c r="A1296" s="150"/>
      <c r="B1296" s="151"/>
      <c r="C1296" s="152"/>
      <c r="D1296" s="153"/>
      <c r="E1296" s="182"/>
      <c r="F1296" s="1208"/>
      <c r="G1296" s="152"/>
    </row>
    <row r="1297" spans="1:7" x14ac:dyDescent="0.25">
      <c r="A1297" s="1926"/>
      <c r="B1297" s="1926"/>
      <c r="C1297" s="152"/>
      <c r="D1297" s="153"/>
      <c r="E1297" s="2003"/>
      <c r="F1297" s="2003"/>
      <c r="G1297" s="152"/>
    </row>
    <row r="1298" spans="1:7" x14ac:dyDescent="0.25">
      <c r="A1298" s="1926" t="s">
        <v>29</v>
      </c>
      <c r="B1298" s="1926"/>
      <c r="C1298" s="152"/>
      <c r="D1298" s="1926" t="s">
        <v>3548</v>
      </c>
      <c r="E1298" s="1926"/>
      <c r="F1298" s="1926"/>
      <c r="G1298" s="152"/>
    </row>
    <row r="1299" spans="1:7" x14ac:dyDescent="0.25">
      <c r="A1299" s="1947" t="s">
        <v>0</v>
      </c>
      <c r="B1299" s="1947"/>
      <c r="C1299" s="1947"/>
      <c r="D1299" s="1947"/>
      <c r="E1299" s="1947"/>
      <c r="F1299" s="1947"/>
      <c r="G1299" s="1947"/>
    </row>
    <row r="1300" spans="1:7" x14ac:dyDescent="0.25">
      <c r="A1300" s="1947" t="s">
        <v>1</v>
      </c>
      <c r="B1300" s="1947"/>
      <c r="C1300" s="1947"/>
      <c r="D1300" s="1947"/>
      <c r="E1300" s="1947"/>
      <c r="F1300" s="1947"/>
      <c r="G1300" s="1947"/>
    </row>
    <row r="1301" spans="1:7" x14ac:dyDescent="0.25">
      <c r="A1301" s="1947" t="s">
        <v>2398</v>
      </c>
      <c r="B1301" s="1947"/>
      <c r="C1301" s="1947"/>
      <c r="D1301" s="1947"/>
      <c r="E1301" s="1947"/>
      <c r="F1301" s="1947"/>
      <c r="G1301" s="1947"/>
    </row>
    <row r="1302" spans="1:7" x14ac:dyDescent="0.25">
      <c r="A1302" s="148"/>
      <c r="B1302" s="148"/>
      <c r="C1302" s="148"/>
      <c r="D1302" s="148"/>
      <c r="E1302" s="148"/>
      <c r="F1302" s="148"/>
      <c r="G1302" s="148"/>
    </row>
    <row r="1303" spans="1:7" x14ac:dyDescent="0.25">
      <c r="A1303" s="226" t="s">
        <v>251</v>
      </c>
      <c r="B1303" s="188" t="s">
        <v>412</v>
      </c>
      <c r="C1303" s="226"/>
      <c r="D1303" s="226"/>
      <c r="E1303" s="364"/>
      <c r="F1303" s="364"/>
    </row>
    <row r="1304" spans="1:7" x14ac:dyDescent="0.25">
      <c r="A1304" s="226" t="s">
        <v>252</v>
      </c>
      <c r="B1304" s="861" t="s">
        <v>467</v>
      </c>
      <c r="C1304" s="226"/>
      <c r="D1304" s="226"/>
      <c r="E1304" s="364"/>
      <c r="F1304" s="226"/>
    </row>
    <row r="1305" spans="1:7" ht="51" x14ac:dyDescent="0.25">
      <c r="A1305" s="228" t="s">
        <v>253</v>
      </c>
      <c r="B1305" s="228" t="s">
        <v>468</v>
      </c>
      <c r="C1305" s="228"/>
      <c r="D1305" s="228"/>
      <c r="E1305" s="228"/>
      <c r="F1305" s="228"/>
    </row>
    <row r="1306" spans="1:7" x14ac:dyDescent="0.25">
      <c r="A1306" s="190" t="s">
        <v>59</v>
      </c>
      <c r="B1306" s="190" t="s">
        <v>60</v>
      </c>
      <c r="C1306" s="190"/>
      <c r="D1306" s="152"/>
      <c r="E1306" s="152"/>
      <c r="F1306" s="152"/>
    </row>
    <row r="1307" spans="1:7" x14ac:dyDescent="0.25">
      <c r="A1307" s="190" t="s">
        <v>61</v>
      </c>
      <c r="B1307" s="190" t="s">
        <v>62</v>
      </c>
      <c r="C1307" s="190"/>
      <c r="D1307" s="1952"/>
      <c r="E1307" s="1952"/>
      <c r="F1307" s="152"/>
    </row>
    <row r="1308" spans="1:7" x14ac:dyDescent="0.25">
      <c r="A1308" s="151"/>
      <c r="B1308" s="151"/>
      <c r="C1308" s="151"/>
      <c r="D1308" s="151"/>
      <c r="E1308" s="151"/>
      <c r="F1308" s="151"/>
    </row>
    <row r="1309" spans="1:7" ht="24" x14ac:dyDescent="0.25">
      <c r="A1309" s="162" t="s">
        <v>255</v>
      </c>
      <c r="B1309" s="162" t="s">
        <v>11</v>
      </c>
      <c r="C1309" s="1958" t="s">
        <v>12</v>
      </c>
      <c r="D1309" s="1958"/>
      <c r="E1309" s="230" t="s">
        <v>13</v>
      </c>
      <c r="F1309" s="231" t="s">
        <v>14</v>
      </c>
      <c r="G1309" s="25" t="s">
        <v>256</v>
      </c>
    </row>
    <row r="1310" spans="1:7" x14ac:dyDescent="0.25">
      <c r="A1310" s="162">
        <v>1</v>
      </c>
      <c r="B1310" s="162">
        <v>2</v>
      </c>
      <c r="C1310" s="1959">
        <v>3</v>
      </c>
      <c r="D1310" s="1960"/>
      <c r="E1310" s="232">
        <v>4</v>
      </c>
      <c r="F1310" s="231">
        <v>5</v>
      </c>
      <c r="G1310" s="26">
        <v>6</v>
      </c>
    </row>
    <row r="1311" spans="1:7" x14ac:dyDescent="0.25">
      <c r="A1311" s="176" t="s">
        <v>471</v>
      </c>
      <c r="B1311" s="177" t="s">
        <v>462</v>
      </c>
      <c r="C1311" s="169"/>
      <c r="D1311" s="170"/>
      <c r="E1311" s="396"/>
      <c r="F1311" s="169"/>
      <c r="G1311" s="186"/>
    </row>
    <row r="1312" spans="1:7" x14ac:dyDescent="0.25">
      <c r="A1312" s="176" t="s">
        <v>472</v>
      </c>
      <c r="B1312" s="177" t="s">
        <v>84</v>
      </c>
      <c r="C1312" s="169"/>
      <c r="D1312" s="170"/>
      <c r="E1312" s="396"/>
      <c r="F1312" s="169"/>
      <c r="G1312" s="186"/>
    </row>
    <row r="1313" spans="1:8" x14ac:dyDescent="0.25">
      <c r="A1313" s="176" t="s">
        <v>473</v>
      </c>
      <c r="B1313" s="177" t="s">
        <v>307</v>
      </c>
      <c r="C1313" s="178"/>
      <c r="D1313" s="207"/>
      <c r="E1313" s="179"/>
      <c r="F1313" s="398"/>
      <c r="G1313" s="186"/>
    </row>
    <row r="1314" spans="1:8" x14ac:dyDescent="0.25">
      <c r="A1314" s="181"/>
      <c r="B1314" s="181" t="s">
        <v>480</v>
      </c>
      <c r="C1314" s="178">
        <v>30</v>
      </c>
      <c r="D1314" s="207" t="s">
        <v>474</v>
      </c>
      <c r="E1314" s="179">
        <v>20000</v>
      </c>
      <c r="F1314" s="398">
        <f>E1314*C1314</f>
        <v>600000</v>
      </c>
      <c r="G1314" s="186"/>
    </row>
    <row r="1315" spans="1:8" x14ac:dyDescent="0.25">
      <c r="A1315" s="181"/>
      <c r="B1315" s="181"/>
      <c r="C1315" s="178"/>
      <c r="D1315" s="207"/>
      <c r="E1315" s="179"/>
      <c r="F1315" s="398"/>
      <c r="G1315" s="186"/>
    </row>
    <row r="1316" spans="1:8" ht="24.75" x14ac:dyDescent="0.25">
      <c r="A1316" s="176" t="s">
        <v>475</v>
      </c>
      <c r="B1316" s="177" t="s">
        <v>325</v>
      </c>
      <c r="C1316" s="178"/>
      <c r="D1316" s="207"/>
      <c r="E1316" s="179"/>
      <c r="F1316" s="398"/>
      <c r="G1316" s="186"/>
    </row>
    <row r="1317" spans="1:8" x14ac:dyDescent="0.25">
      <c r="A1317" s="181"/>
      <c r="B1317" s="181" t="s">
        <v>326</v>
      </c>
      <c r="C1317" s="178">
        <v>1</v>
      </c>
      <c r="D1317" s="207" t="s">
        <v>93</v>
      </c>
      <c r="E1317" s="179">
        <v>90000</v>
      </c>
      <c r="F1317" s="398">
        <f>E1317*C1317</f>
        <v>90000</v>
      </c>
      <c r="G1317" s="186"/>
    </row>
    <row r="1318" spans="1:8" x14ac:dyDescent="0.25">
      <c r="A1318" s="181"/>
      <c r="B1318" s="181"/>
      <c r="C1318" s="178"/>
      <c r="D1318" s="207"/>
      <c r="E1318" s="179"/>
      <c r="F1318" s="398"/>
      <c r="G1318" s="186"/>
    </row>
    <row r="1319" spans="1:8" x14ac:dyDescent="0.25">
      <c r="A1319" s="176" t="s">
        <v>476</v>
      </c>
      <c r="B1319" s="181" t="s">
        <v>421</v>
      </c>
      <c r="C1319" s="178"/>
      <c r="D1319" s="207"/>
      <c r="E1319" s="179"/>
      <c r="F1319" s="398"/>
      <c r="G1319" s="186"/>
    </row>
    <row r="1320" spans="1:8" x14ac:dyDescent="0.25">
      <c r="A1320" s="181"/>
      <c r="B1320" s="181" t="s">
        <v>422</v>
      </c>
      <c r="C1320" s="178">
        <v>1</v>
      </c>
      <c r="D1320" s="362" t="s">
        <v>93</v>
      </c>
      <c r="E1320" s="179">
        <v>50000</v>
      </c>
      <c r="F1320" s="398">
        <f>E1320*C1320</f>
        <v>50000</v>
      </c>
      <c r="G1320" s="186"/>
    </row>
    <row r="1321" spans="1:8" x14ac:dyDescent="0.25">
      <c r="A1321" s="181"/>
      <c r="B1321" s="181" t="s">
        <v>1060</v>
      </c>
      <c r="C1321" s="178">
        <v>5</v>
      </c>
      <c r="D1321" s="362" t="s">
        <v>158</v>
      </c>
      <c r="E1321" s="179">
        <v>3000</v>
      </c>
      <c r="F1321" s="398">
        <f>E1321*C1321</f>
        <v>15000</v>
      </c>
      <c r="G1321" s="186"/>
    </row>
    <row r="1322" spans="1:8" x14ac:dyDescent="0.25">
      <c r="A1322" s="181"/>
      <c r="B1322" s="181"/>
      <c r="C1322" s="178"/>
      <c r="D1322" s="207"/>
      <c r="E1322" s="179"/>
      <c r="F1322" s="398"/>
      <c r="G1322" s="186"/>
    </row>
    <row r="1323" spans="1:8" x14ac:dyDescent="0.25">
      <c r="A1323" s="181" t="s">
        <v>477</v>
      </c>
      <c r="B1323" s="181" t="s">
        <v>478</v>
      </c>
      <c r="C1323" s="178"/>
      <c r="D1323" s="207"/>
      <c r="E1323" s="194"/>
      <c r="F1323" s="398"/>
      <c r="G1323" s="186"/>
    </row>
    <row r="1324" spans="1:8" ht="24.75" x14ac:dyDescent="0.25">
      <c r="A1324" s="181" t="s">
        <v>479</v>
      </c>
      <c r="B1324" s="177" t="s">
        <v>411</v>
      </c>
      <c r="C1324" s="178"/>
      <c r="D1324" s="207"/>
      <c r="E1324" s="194"/>
      <c r="F1324" s="398"/>
      <c r="G1324" s="186"/>
    </row>
    <row r="1325" spans="1:8" ht="24.75" x14ac:dyDescent="0.25">
      <c r="A1325" s="181"/>
      <c r="B1325" s="177" t="s">
        <v>481</v>
      </c>
      <c r="C1325" s="178">
        <v>2</v>
      </c>
      <c r="D1325" s="207" t="s">
        <v>392</v>
      </c>
      <c r="E1325" s="194">
        <v>300000</v>
      </c>
      <c r="F1325" s="398">
        <f>E1325*C1325</f>
        <v>600000</v>
      </c>
      <c r="G1325" s="325"/>
    </row>
    <row r="1326" spans="1:8" x14ac:dyDescent="0.25">
      <c r="A1326" s="186" t="s">
        <v>2642</v>
      </c>
      <c r="B1326" s="177" t="s">
        <v>442</v>
      </c>
      <c r="C1326" s="178"/>
      <c r="D1326" s="207"/>
      <c r="E1326" s="194"/>
      <c r="F1326" s="398"/>
      <c r="G1326" s="163"/>
      <c r="H1326" s="223"/>
    </row>
    <row r="1327" spans="1:8" x14ac:dyDescent="0.25">
      <c r="A1327" s="186" t="s">
        <v>2643</v>
      </c>
      <c r="B1327" s="177" t="s">
        <v>2262</v>
      </c>
      <c r="C1327" s="178"/>
      <c r="D1327" s="207"/>
      <c r="E1327" s="194"/>
      <c r="F1327" s="398"/>
      <c r="G1327" s="163"/>
      <c r="H1327" s="223"/>
    </row>
    <row r="1328" spans="1:8" x14ac:dyDescent="0.25">
      <c r="A1328" s="186"/>
      <c r="B1328" s="177" t="s">
        <v>1688</v>
      </c>
      <c r="C1328" s="178"/>
      <c r="D1328" s="207"/>
      <c r="E1328" s="194"/>
      <c r="F1328" s="398">
        <f>E1328*C1328</f>
        <v>0</v>
      </c>
      <c r="G1328" s="163"/>
      <c r="H1328" s="223"/>
    </row>
    <row r="1329" spans="1:17" ht="24.75" x14ac:dyDescent="0.25">
      <c r="A1329" s="181"/>
      <c r="B1329" s="177" t="s">
        <v>2644</v>
      </c>
      <c r="C1329" s="178">
        <v>10</v>
      </c>
      <c r="D1329" s="207" t="s">
        <v>444</v>
      </c>
      <c r="E1329" s="194">
        <v>1250000</v>
      </c>
      <c r="F1329" s="398">
        <f>E1329*C1329</f>
        <v>12500000</v>
      </c>
      <c r="G1329" s="163"/>
      <c r="H1329" s="223"/>
    </row>
    <row r="1330" spans="1:17" x14ac:dyDescent="0.25">
      <c r="A1330" s="181"/>
      <c r="B1330" s="320"/>
      <c r="C1330" s="198"/>
      <c r="D1330" s="321"/>
      <c r="E1330" s="322"/>
      <c r="F1330" s="323"/>
      <c r="G1330" s="186"/>
    </row>
    <row r="1331" spans="1:17" x14ac:dyDescent="0.25">
      <c r="A1331" s="181"/>
      <c r="B1331" s="1990" t="s">
        <v>26</v>
      </c>
      <c r="C1331" s="1990"/>
      <c r="D1331" s="1990"/>
      <c r="E1331" s="1990"/>
      <c r="F1331" s="324">
        <f>SUM(F1313:F1330)</f>
        <v>13855000</v>
      </c>
      <c r="G1331" s="186" t="s">
        <v>1223</v>
      </c>
      <c r="Q1331" s="23">
        <f>F1331</f>
        <v>13855000</v>
      </c>
    </row>
    <row r="1332" spans="1:17" x14ac:dyDescent="0.25">
      <c r="A1332" s="1926" t="s">
        <v>516</v>
      </c>
      <c r="B1332" s="1926"/>
      <c r="C1332" s="152" t="s">
        <v>27</v>
      </c>
      <c r="D1332" s="1926" t="s">
        <v>3654</v>
      </c>
      <c r="E1332" s="1926"/>
      <c r="F1332" s="1926"/>
      <c r="G1332" s="152"/>
    </row>
    <row r="1333" spans="1:17" x14ac:dyDescent="0.25">
      <c r="A1333" s="1926" t="s">
        <v>28</v>
      </c>
      <c r="B1333" s="1926"/>
      <c r="C1333" s="152"/>
      <c r="D1333" s="1927" t="s">
        <v>3570</v>
      </c>
      <c r="E1333" s="1927"/>
      <c r="F1333" s="1927"/>
      <c r="G1333" s="152"/>
    </row>
    <row r="1334" spans="1:17" x14ac:dyDescent="0.25">
      <c r="A1334" s="150"/>
      <c r="B1334" s="151"/>
      <c r="C1334" s="152"/>
      <c r="D1334" s="153"/>
      <c r="E1334" s="182"/>
      <c r="F1334" s="1208"/>
      <c r="G1334" s="152"/>
    </row>
    <row r="1335" spans="1:17" x14ac:dyDescent="0.25">
      <c r="A1335" s="150"/>
      <c r="B1335" s="151"/>
      <c r="C1335" s="152"/>
      <c r="D1335" s="153"/>
      <c r="E1335" s="182"/>
      <c r="F1335" s="1208"/>
      <c r="G1335" s="152"/>
    </row>
    <row r="1336" spans="1:17" x14ac:dyDescent="0.25">
      <c r="A1336" s="1926"/>
      <c r="B1336" s="1926"/>
      <c r="C1336" s="152"/>
      <c r="D1336" s="153"/>
      <c r="E1336" s="2003"/>
      <c r="F1336" s="2003"/>
      <c r="G1336" s="152"/>
    </row>
    <row r="1337" spans="1:17" x14ac:dyDescent="0.25">
      <c r="A1337" s="1926" t="s">
        <v>29</v>
      </c>
      <c r="B1337" s="1926"/>
      <c r="C1337" s="152"/>
      <c r="D1337" s="1926" t="s">
        <v>3548</v>
      </c>
      <c r="E1337" s="1926"/>
      <c r="F1337" s="1926"/>
      <c r="G1337" s="152"/>
    </row>
    <row r="1338" spans="1:17" x14ac:dyDescent="0.25">
      <c r="A1338" s="1947" t="s">
        <v>0</v>
      </c>
      <c r="B1338" s="1947"/>
      <c r="C1338" s="1947"/>
      <c r="D1338" s="1947"/>
      <c r="E1338" s="1947"/>
      <c r="F1338" s="1947"/>
      <c r="G1338" s="1947"/>
      <c r="H1338" s="149"/>
      <c r="I1338" s="149"/>
      <c r="J1338" s="149"/>
      <c r="K1338" s="149"/>
      <c r="L1338" s="149"/>
      <c r="M1338" s="149"/>
    </row>
    <row r="1339" spans="1:17" x14ac:dyDescent="0.25">
      <c r="A1339" s="1947" t="s">
        <v>1</v>
      </c>
      <c r="B1339" s="1947"/>
      <c r="C1339" s="1947"/>
      <c r="D1339" s="1947"/>
      <c r="E1339" s="1947"/>
      <c r="F1339" s="1947"/>
      <c r="G1339" s="1947"/>
      <c r="H1339" s="149"/>
      <c r="I1339" s="149"/>
      <c r="J1339" s="149"/>
      <c r="K1339" s="149"/>
      <c r="L1339" s="149"/>
      <c r="M1339" s="149"/>
    </row>
    <row r="1340" spans="1:17" x14ac:dyDescent="0.25">
      <c r="A1340" s="1947" t="s">
        <v>2398</v>
      </c>
      <c r="B1340" s="1947"/>
      <c r="C1340" s="1947"/>
      <c r="D1340" s="1947"/>
      <c r="E1340" s="1947"/>
      <c r="F1340" s="1947"/>
      <c r="G1340" s="1947"/>
      <c r="H1340" s="149"/>
      <c r="I1340" s="149"/>
      <c r="J1340" s="149"/>
      <c r="K1340" s="149"/>
      <c r="L1340" s="149"/>
      <c r="M1340" s="149"/>
    </row>
    <row r="1341" spans="1:17" x14ac:dyDescent="0.25">
      <c r="A1341" s="148"/>
      <c r="B1341" s="148"/>
      <c r="C1341" s="148"/>
      <c r="D1341" s="148"/>
      <c r="E1341" s="148"/>
      <c r="F1341" s="148"/>
      <c r="G1341" s="148"/>
    </row>
    <row r="1342" spans="1:17" x14ac:dyDescent="0.25">
      <c r="A1342" s="226" t="s">
        <v>251</v>
      </c>
      <c r="B1342" s="188" t="s">
        <v>412</v>
      </c>
      <c r="C1342" s="226"/>
      <c r="D1342" s="226"/>
      <c r="E1342" s="364"/>
      <c r="F1342" s="364"/>
    </row>
    <row r="1343" spans="1:17" x14ac:dyDescent="0.25">
      <c r="A1343" s="226" t="s">
        <v>252</v>
      </c>
      <c r="B1343" s="861" t="s">
        <v>467</v>
      </c>
      <c r="C1343" s="226"/>
      <c r="D1343" s="226"/>
      <c r="E1343" s="364"/>
      <c r="F1343" s="226"/>
    </row>
    <row r="1344" spans="1:17" ht="66.75" customHeight="1" x14ac:dyDescent="0.25">
      <c r="A1344" s="228" t="s">
        <v>253</v>
      </c>
      <c r="B1344" s="228" t="s">
        <v>3319</v>
      </c>
      <c r="C1344" s="228"/>
      <c r="D1344" s="228"/>
      <c r="E1344" s="228"/>
      <c r="F1344" s="228"/>
    </row>
    <row r="1345" spans="1:13" x14ac:dyDescent="0.25">
      <c r="A1345" s="190" t="s">
        <v>59</v>
      </c>
      <c r="B1345" s="190" t="s">
        <v>60</v>
      </c>
      <c r="C1345" s="190"/>
      <c r="D1345" s="152"/>
      <c r="E1345" s="152"/>
      <c r="F1345" s="152"/>
    </row>
    <row r="1346" spans="1:13" x14ac:dyDescent="0.25">
      <c r="A1346" s="190" t="s">
        <v>61</v>
      </c>
      <c r="B1346" s="190" t="s">
        <v>62</v>
      </c>
      <c r="C1346" s="190"/>
      <c r="D1346" s="1952"/>
      <c r="E1346" s="1952"/>
      <c r="F1346" s="152"/>
    </row>
    <row r="1347" spans="1:13" x14ac:dyDescent="0.25">
      <c r="A1347" s="151"/>
      <c r="B1347" s="151"/>
      <c r="C1347" s="151"/>
      <c r="D1347" s="151"/>
      <c r="E1347" s="151"/>
      <c r="F1347" s="151"/>
    </row>
    <row r="1348" spans="1:13" ht="24" x14ac:dyDescent="0.25">
      <c r="A1348" s="161" t="s">
        <v>30</v>
      </c>
      <c r="B1348" s="162" t="s">
        <v>31</v>
      </c>
      <c r="C1348" s="1931" t="s">
        <v>12</v>
      </c>
      <c r="D1348" s="1932"/>
      <c r="E1348" s="162" t="s">
        <v>32</v>
      </c>
      <c r="F1348" s="163" t="s">
        <v>33</v>
      </c>
      <c r="G1348" s="161" t="s">
        <v>34</v>
      </c>
      <c r="H1348" s="153"/>
      <c r="I1348" s="153"/>
      <c r="J1348" s="153"/>
      <c r="K1348" s="153"/>
      <c r="L1348" s="153"/>
      <c r="M1348" s="153"/>
    </row>
    <row r="1349" spans="1:13" x14ac:dyDescent="0.25">
      <c r="A1349" s="164">
        <v>1</v>
      </c>
      <c r="B1349" s="164">
        <v>2</v>
      </c>
      <c r="C1349" s="1943">
        <v>3</v>
      </c>
      <c r="D1349" s="1943"/>
      <c r="E1349" s="165">
        <v>4</v>
      </c>
      <c r="F1349" s="166">
        <v>5</v>
      </c>
      <c r="G1349" s="166">
        <v>6</v>
      </c>
      <c r="H1349" s="148"/>
      <c r="I1349" s="148"/>
      <c r="J1349" s="148"/>
      <c r="K1349" s="148"/>
      <c r="L1349" s="148"/>
      <c r="M1349" s="148"/>
    </row>
    <row r="1350" spans="1:13" x14ac:dyDescent="0.25">
      <c r="A1350" s="176" t="s">
        <v>471</v>
      </c>
      <c r="B1350" s="177" t="s">
        <v>462</v>
      </c>
      <c r="C1350" s="169"/>
      <c r="D1350" s="170"/>
      <c r="E1350" s="396"/>
      <c r="F1350" s="169"/>
      <c r="G1350" s="161"/>
      <c r="H1350" s="153"/>
      <c r="I1350" s="950"/>
      <c r="J1350" s="153"/>
    </row>
    <row r="1351" spans="1:13" x14ac:dyDescent="0.25">
      <c r="A1351" s="176" t="s">
        <v>472</v>
      </c>
      <c r="B1351" s="177" t="s">
        <v>84</v>
      </c>
      <c r="C1351" s="169"/>
      <c r="D1351" s="170"/>
      <c r="E1351" s="396"/>
      <c r="F1351" s="169"/>
      <c r="G1351" s="161"/>
      <c r="H1351" s="153"/>
      <c r="I1351" s="950"/>
      <c r="J1351" s="153"/>
    </row>
    <row r="1352" spans="1:13" x14ac:dyDescent="0.25">
      <c r="A1352" s="176" t="s">
        <v>473</v>
      </c>
      <c r="B1352" s="177" t="s">
        <v>307</v>
      </c>
      <c r="C1352" s="178"/>
      <c r="D1352" s="207"/>
      <c r="E1352" s="179"/>
      <c r="F1352" s="398"/>
      <c r="G1352" s="163"/>
      <c r="H1352" s="223"/>
      <c r="I1352" s="224"/>
      <c r="J1352" s="192"/>
    </row>
    <row r="1353" spans="1:13" x14ac:dyDescent="0.25">
      <c r="A1353" s="181"/>
      <c r="B1353" s="181" t="s">
        <v>3576</v>
      </c>
      <c r="C1353" s="178">
        <v>90</v>
      </c>
      <c r="D1353" s="207" t="s">
        <v>269</v>
      </c>
      <c r="E1353" s="179">
        <v>20000</v>
      </c>
      <c r="F1353" s="398">
        <f>E1353*C1353</f>
        <v>1800000</v>
      </c>
      <c r="G1353" s="163"/>
      <c r="H1353" s="223"/>
      <c r="I1353" s="224"/>
      <c r="J1353" s="192"/>
    </row>
    <row r="1354" spans="1:13" x14ac:dyDescent="0.25">
      <c r="A1354" s="181"/>
      <c r="B1354" s="177" t="s">
        <v>3575</v>
      </c>
      <c r="C1354" s="178">
        <f>50*12</f>
        <v>600</v>
      </c>
      <c r="D1354" s="207" t="s">
        <v>269</v>
      </c>
      <c r="E1354" s="179">
        <v>20000</v>
      </c>
      <c r="F1354" s="398">
        <f>E1354*C1354</f>
        <v>12000000</v>
      </c>
      <c r="G1354" s="163"/>
      <c r="H1354" s="223"/>
      <c r="I1354" s="224"/>
      <c r="J1354" s="192"/>
    </row>
    <row r="1355" spans="1:13" ht="24.75" x14ac:dyDescent="0.25">
      <c r="A1355" s="176" t="s">
        <v>475</v>
      </c>
      <c r="B1355" s="177" t="s">
        <v>325</v>
      </c>
      <c r="C1355" s="178"/>
      <c r="D1355" s="207"/>
      <c r="E1355" s="179"/>
      <c r="F1355" s="398"/>
      <c r="G1355" s="163"/>
      <c r="H1355" s="223"/>
      <c r="I1355" s="224"/>
      <c r="J1355" s="192"/>
    </row>
    <row r="1356" spans="1:13" x14ac:dyDescent="0.25">
      <c r="A1356" s="181"/>
      <c r="B1356" s="181" t="s">
        <v>326</v>
      </c>
      <c r="C1356" s="178">
        <v>1</v>
      </c>
      <c r="D1356" s="207" t="s">
        <v>93</v>
      </c>
      <c r="E1356" s="179">
        <v>90000</v>
      </c>
      <c r="F1356" s="398">
        <f>E1356*C1356</f>
        <v>90000</v>
      </c>
      <c r="G1356" s="163"/>
      <c r="H1356" s="223"/>
      <c r="I1356" s="224"/>
      <c r="J1356" s="192"/>
    </row>
    <row r="1357" spans="1:13" x14ac:dyDescent="0.25">
      <c r="A1357" s="181"/>
      <c r="B1357" s="181"/>
      <c r="C1357" s="178"/>
      <c r="D1357" s="207"/>
      <c r="E1357" s="179"/>
      <c r="F1357" s="398"/>
      <c r="G1357" s="163"/>
      <c r="H1357" s="223"/>
      <c r="I1357" s="224"/>
      <c r="J1357" s="192"/>
    </row>
    <row r="1358" spans="1:13" x14ac:dyDescent="0.25">
      <c r="A1358" s="176" t="s">
        <v>476</v>
      </c>
      <c r="B1358" s="181" t="s">
        <v>421</v>
      </c>
      <c r="C1358" s="178"/>
      <c r="D1358" s="207"/>
      <c r="E1358" s="179"/>
      <c r="F1358" s="398"/>
      <c r="G1358" s="163"/>
      <c r="H1358" s="223"/>
      <c r="I1358" s="224"/>
      <c r="J1358" s="192"/>
    </row>
    <row r="1359" spans="1:13" x14ac:dyDescent="0.25">
      <c r="A1359" s="181"/>
      <c r="B1359" s="181" t="s">
        <v>422</v>
      </c>
      <c r="C1359" s="178">
        <v>12</v>
      </c>
      <c r="D1359" s="362" t="s">
        <v>93</v>
      </c>
      <c r="E1359" s="179">
        <v>50000</v>
      </c>
      <c r="F1359" s="398">
        <f>E1359*C1359</f>
        <v>600000</v>
      </c>
      <c r="G1359" s="163"/>
      <c r="H1359" s="182"/>
      <c r="I1359" s="224"/>
      <c r="J1359" s="192"/>
    </row>
    <row r="1360" spans="1:13" x14ac:dyDescent="0.25">
      <c r="A1360" s="181"/>
      <c r="B1360" s="181" t="s">
        <v>1060</v>
      </c>
      <c r="C1360" s="178">
        <f>15*5</f>
        <v>75</v>
      </c>
      <c r="D1360" s="362" t="s">
        <v>158</v>
      </c>
      <c r="E1360" s="179">
        <v>3000</v>
      </c>
      <c r="F1360" s="398">
        <f>E1360*C1360</f>
        <v>225000</v>
      </c>
      <c r="G1360" s="163"/>
      <c r="H1360" s="182"/>
      <c r="I1360" s="224"/>
      <c r="J1360" s="192"/>
    </row>
    <row r="1361" spans="1:20" x14ac:dyDescent="0.25">
      <c r="A1361" s="181"/>
      <c r="B1361" s="181"/>
      <c r="C1361" s="178"/>
      <c r="D1361" s="207"/>
      <c r="E1361" s="179"/>
      <c r="F1361" s="398"/>
      <c r="G1361" s="163"/>
      <c r="H1361" s="223"/>
      <c r="I1361" s="224"/>
      <c r="J1361" s="192"/>
    </row>
    <row r="1362" spans="1:20" x14ac:dyDescent="0.25">
      <c r="A1362" s="181"/>
      <c r="B1362" s="320"/>
      <c r="C1362" s="198"/>
      <c r="D1362" s="321"/>
      <c r="E1362" s="322"/>
      <c r="F1362" s="323"/>
      <c r="G1362" s="163"/>
      <c r="H1362" s="223"/>
      <c r="I1362" s="924"/>
      <c r="J1362" s="192"/>
    </row>
    <row r="1363" spans="1:20" x14ac:dyDescent="0.25">
      <c r="A1363" s="181"/>
      <c r="B1363" s="1990" t="s">
        <v>26</v>
      </c>
      <c r="C1363" s="1990"/>
      <c r="D1363" s="1990"/>
      <c r="E1363" s="1990"/>
      <c r="F1363" s="324">
        <f>SUM(F1352:F1362)</f>
        <v>14715000</v>
      </c>
      <c r="G1363" s="325" t="s">
        <v>1410</v>
      </c>
      <c r="J1363" s="1207">
        <f>F1363</f>
        <v>14715000</v>
      </c>
      <c r="K1363" s="23"/>
      <c r="L1363" s="1483"/>
      <c r="Q1363" s="139"/>
      <c r="T1363" s="23"/>
    </row>
    <row r="1364" spans="1:20" x14ac:dyDescent="0.25">
      <c r="A1364" s="1926" t="s">
        <v>516</v>
      </c>
      <c r="B1364" s="1926"/>
      <c r="C1364" s="152" t="s">
        <v>27</v>
      </c>
      <c r="D1364" s="1926" t="s">
        <v>3654</v>
      </c>
      <c r="E1364" s="1926"/>
      <c r="F1364" s="1926"/>
      <c r="G1364" s="152"/>
      <c r="J1364" s="1952"/>
      <c r="K1364" s="1952"/>
      <c r="L1364" s="1952"/>
    </row>
    <row r="1365" spans="1:20" x14ac:dyDescent="0.25">
      <c r="A1365" s="1926" t="s">
        <v>28</v>
      </c>
      <c r="B1365" s="1926"/>
      <c r="C1365" s="152"/>
      <c r="D1365" s="1927" t="s">
        <v>3570</v>
      </c>
      <c r="E1365" s="1927"/>
      <c r="F1365" s="1927"/>
      <c r="G1365" s="152"/>
      <c r="H1365" s="27"/>
      <c r="J1365" s="1927"/>
      <c r="K1365" s="1927"/>
      <c r="L1365" s="1927"/>
    </row>
    <row r="1366" spans="1:20" x14ac:dyDescent="0.25">
      <c r="A1366" s="150"/>
      <c r="B1366" s="151"/>
      <c r="C1366" s="152"/>
      <c r="D1366" s="153"/>
      <c r="E1366" s="182"/>
      <c r="F1366" s="1208"/>
      <c r="G1366" s="152"/>
      <c r="J1366" s="153"/>
      <c r="K1366" s="182"/>
      <c r="L1366" s="182"/>
    </row>
    <row r="1367" spans="1:20" x14ac:dyDescent="0.25">
      <c r="A1367" s="150"/>
      <c r="B1367" s="151"/>
      <c r="C1367" s="152"/>
      <c r="D1367" s="153"/>
      <c r="E1367" s="182"/>
      <c r="F1367" s="1208"/>
      <c r="G1367" s="152"/>
      <c r="I1367">
        <f>F1367/20000</f>
        <v>0</v>
      </c>
      <c r="J1367" s="153"/>
      <c r="K1367" s="182"/>
      <c r="L1367" s="182"/>
    </row>
    <row r="1368" spans="1:20" x14ac:dyDescent="0.25">
      <c r="A1368" s="1926"/>
      <c r="B1368" s="1926"/>
      <c r="C1368" s="152"/>
      <c r="D1368" s="153"/>
      <c r="E1368" s="2003"/>
      <c r="F1368" s="2003"/>
      <c r="G1368" s="152"/>
      <c r="J1368" s="153"/>
      <c r="K1368" s="1926"/>
      <c r="L1368" s="1926"/>
    </row>
    <row r="1369" spans="1:20" x14ac:dyDescent="0.25">
      <c r="A1369" s="1926" t="s">
        <v>29</v>
      </c>
      <c r="B1369" s="1926"/>
      <c r="C1369" s="152"/>
      <c r="D1369" s="1926" t="s">
        <v>3548</v>
      </c>
      <c r="E1369" s="1926"/>
      <c r="F1369" s="1926"/>
      <c r="G1369" s="152"/>
      <c r="J1369" s="1926"/>
      <c r="K1369" s="1926"/>
      <c r="L1369" s="1926"/>
    </row>
    <row r="1370" spans="1:20" x14ac:dyDescent="0.25">
      <c r="A1370" s="2204" t="s">
        <v>0</v>
      </c>
      <c r="B1370" s="2204"/>
      <c r="C1370" s="2204"/>
      <c r="D1370" s="2204"/>
      <c r="E1370" s="2204"/>
      <c r="F1370" s="2204"/>
      <c r="G1370" s="2204"/>
    </row>
    <row r="1371" spans="1:20" x14ac:dyDescent="0.25">
      <c r="A1371" s="2204" t="s">
        <v>1</v>
      </c>
      <c r="B1371" s="2204"/>
      <c r="C1371" s="2204"/>
      <c r="D1371" s="2204"/>
      <c r="E1371" s="2204"/>
      <c r="F1371" s="2204"/>
      <c r="G1371" s="2204"/>
    </row>
    <row r="1372" spans="1:20" x14ac:dyDescent="0.25">
      <c r="A1372" s="2204" t="s">
        <v>2398</v>
      </c>
      <c r="B1372" s="2204"/>
      <c r="C1372" s="2204"/>
      <c r="D1372" s="2204"/>
      <c r="E1372" s="2204"/>
      <c r="F1372" s="2204"/>
      <c r="G1372" s="2204"/>
    </row>
    <row r="1373" spans="1:20" x14ac:dyDescent="0.25">
      <c r="A1373" s="1176"/>
      <c r="B1373" s="1176"/>
      <c r="C1373" s="1176"/>
      <c r="D1373" s="1176"/>
      <c r="E1373" s="1176"/>
      <c r="F1373" s="1176"/>
      <c r="G1373" s="1176"/>
    </row>
    <row r="1374" spans="1:20" x14ac:dyDescent="0.25">
      <c r="A1374" s="1177" t="s">
        <v>251</v>
      </c>
      <c r="B1374" s="1178" t="s">
        <v>412</v>
      </c>
      <c r="C1374" s="1177"/>
      <c r="D1374" s="1177"/>
      <c r="E1374" s="1179"/>
      <c r="F1374" s="1179"/>
      <c r="G1374" s="1180"/>
    </row>
    <row r="1375" spans="1:20" x14ac:dyDescent="0.25">
      <c r="A1375" s="1177" t="s">
        <v>252</v>
      </c>
      <c r="B1375" s="1181" t="s">
        <v>467</v>
      </c>
      <c r="C1375" s="1177"/>
      <c r="D1375" s="1177"/>
      <c r="E1375" s="1179"/>
      <c r="F1375" s="1177"/>
      <c r="G1375" s="1180"/>
    </row>
    <row r="1376" spans="1:20" ht="25.5" x14ac:dyDescent="0.25">
      <c r="A1376" s="1182" t="s">
        <v>253</v>
      </c>
      <c r="B1376" s="1182" t="s">
        <v>2905</v>
      </c>
      <c r="C1376" s="1182"/>
      <c r="D1376" s="1182"/>
      <c r="E1376" s="1182"/>
      <c r="F1376" s="1182"/>
      <c r="G1376" s="1180"/>
    </row>
    <row r="1377" spans="1:10" x14ac:dyDescent="0.25">
      <c r="A1377" s="1183" t="s">
        <v>59</v>
      </c>
      <c r="B1377" s="1183" t="s">
        <v>60</v>
      </c>
      <c r="C1377" s="1183"/>
      <c r="D1377" s="1142"/>
      <c r="E1377" s="1142"/>
      <c r="F1377" s="1142"/>
      <c r="G1377" s="1180"/>
    </row>
    <row r="1378" spans="1:10" x14ac:dyDescent="0.25">
      <c r="A1378" s="1183" t="s">
        <v>61</v>
      </c>
      <c r="B1378" s="1183" t="s">
        <v>62</v>
      </c>
      <c r="C1378" s="1183"/>
      <c r="D1378" s="2154"/>
      <c r="E1378" s="2154"/>
      <c r="F1378" s="1142"/>
      <c r="G1378" s="1180"/>
    </row>
    <row r="1379" spans="1:10" x14ac:dyDescent="0.25">
      <c r="A1379" s="1146"/>
      <c r="B1379" s="1146"/>
      <c r="C1379" s="1146"/>
      <c r="D1379" s="1146"/>
      <c r="E1379" s="1146"/>
      <c r="F1379" s="1146"/>
      <c r="G1379" s="1180"/>
    </row>
    <row r="1380" spans="1:10" ht="24" x14ac:dyDescent="0.25">
      <c r="A1380" s="1184" t="s">
        <v>255</v>
      </c>
      <c r="B1380" s="1184" t="s">
        <v>11</v>
      </c>
      <c r="C1380" s="2205" t="s">
        <v>12</v>
      </c>
      <c r="D1380" s="2206"/>
      <c r="E1380" s="1186" t="s">
        <v>13</v>
      </c>
      <c r="F1380" s="1185" t="s">
        <v>14</v>
      </c>
      <c r="G1380" s="1187" t="s">
        <v>256</v>
      </c>
    </row>
    <row r="1381" spans="1:10" x14ac:dyDescent="0.25">
      <c r="A1381" s="1184">
        <v>1</v>
      </c>
      <c r="B1381" s="1184">
        <v>2</v>
      </c>
      <c r="C1381" s="2205">
        <v>3</v>
      </c>
      <c r="D1381" s="2206"/>
      <c r="E1381" s="1188">
        <v>4</v>
      </c>
      <c r="F1381" s="1185">
        <v>5</v>
      </c>
      <c r="G1381" s="1189">
        <v>6</v>
      </c>
    </row>
    <row r="1382" spans="1:10" x14ac:dyDescent="0.25">
      <c r="A1382" s="1190" t="s">
        <v>2906</v>
      </c>
      <c r="B1382" s="1191" t="s">
        <v>1409</v>
      </c>
      <c r="C1382" s="1192"/>
      <c r="D1382" s="1193"/>
      <c r="E1382" s="1194"/>
      <c r="F1382" s="1192"/>
      <c r="G1382" s="1195"/>
    </row>
    <row r="1383" spans="1:10" x14ac:dyDescent="0.25">
      <c r="A1383" s="1190" t="s">
        <v>2907</v>
      </c>
      <c r="B1383" s="1191" t="s">
        <v>1409</v>
      </c>
      <c r="C1383" s="1192"/>
      <c r="D1383" s="1193"/>
      <c r="E1383" s="1194"/>
      <c r="F1383" s="1192"/>
      <c r="G1383" s="1195"/>
    </row>
    <row r="1384" spans="1:10" x14ac:dyDescent="0.25">
      <c r="A1384" s="1190" t="s">
        <v>2908</v>
      </c>
      <c r="B1384" s="1191" t="s">
        <v>1409</v>
      </c>
      <c r="C1384" s="1196"/>
      <c r="D1384" s="1197"/>
      <c r="E1384" s="1198"/>
      <c r="F1384" s="1199"/>
      <c r="G1384" s="1195"/>
    </row>
    <row r="1385" spans="1:10" x14ac:dyDescent="0.25">
      <c r="A1385" s="1200"/>
      <c r="B1385" s="1200" t="s">
        <v>2909</v>
      </c>
      <c r="C1385" s="1196">
        <f>44*12</f>
        <v>528</v>
      </c>
      <c r="D1385" s="1197" t="s">
        <v>269</v>
      </c>
      <c r="E1385" s="1198">
        <v>300000</v>
      </c>
      <c r="F1385" s="1199">
        <f>E1385*C1385</f>
        <v>158400000</v>
      </c>
      <c r="G1385" s="1195"/>
    </row>
    <row r="1386" spans="1:10" x14ac:dyDescent="0.25">
      <c r="A1386" s="1200"/>
      <c r="B1386" s="1200"/>
      <c r="C1386" s="1196"/>
      <c r="D1386" s="1197"/>
      <c r="E1386" s="1198"/>
      <c r="F1386" s="1199"/>
      <c r="G1386" s="1195"/>
    </row>
    <row r="1387" spans="1:10" x14ac:dyDescent="0.25">
      <c r="A1387" s="1200"/>
      <c r="B1387" s="1201"/>
      <c r="C1387" s="1202"/>
      <c r="D1387" s="1203"/>
      <c r="E1387" s="1204"/>
      <c r="F1387" s="1205"/>
      <c r="G1387" s="1195"/>
    </row>
    <row r="1388" spans="1:10" x14ac:dyDescent="0.25">
      <c r="A1388" s="1200"/>
      <c r="B1388" s="2207" t="s">
        <v>26</v>
      </c>
      <c r="C1388" s="2208"/>
      <c r="D1388" s="2208"/>
      <c r="E1388" s="2209"/>
      <c r="F1388" s="1206"/>
      <c r="G1388" s="1195" t="s">
        <v>1410</v>
      </c>
      <c r="J1388" s="23"/>
    </row>
    <row r="1389" spans="1:10" x14ac:dyDescent="0.25">
      <c r="A1389" s="2210" t="s">
        <v>516</v>
      </c>
      <c r="B1389" s="2210"/>
      <c r="C1389" s="1142" t="s">
        <v>27</v>
      </c>
      <c r="D1389" s="2211" t="s">
        <v>1224</v>
      </c>
      <c r="E1389" s="2211"/>
      <c r="F1389" s="2211"/>
      <c r="G1389" s="1142"/>
    </row>
    <row r="1390" spans="1:10" x14ac:dyDescent="0.25">
      <c r="A1390" s="2086" t="s">
        <v>28</v>
      </c>
      <c r="B1390" s="2086"/>
      <c r="C1390" s="1142"/>
      <c r="D1390" s="2155" t="s">
        <v>2443</v>
      </c>
      <c r="E1390" s="2155"/>
      <c r="F1390" s="2155"/>
      <c r="G1390" s="1142"/>
    </row>
    <row r="1391" spans="1:10" x14ac:dyDescent="0.25">
      <c r="A1391" s="1145"/>
      <c r="B1391" s="1146"/>
      <c r="C1391" s="1142"/>
      <c r="D1391" s="1144"/>
      <c r="E1391" s="1143"/>
      <c r="F1391" s="1143"/>
      <c r="G1391" s="1142"/>
    </row>
    <row r="1392" spans="1:10" x14ac:dyDescent="0.25">
      <c r="A1392" s="1145"/>
      <c r="B1392" s="1146"/>
      <c r="C1392" s="1142"/>
      <c r="D1392" s="1144"/>
      <c r="E1392" s="1143"/>
      <c r="F1392" s="1143"/>
      <c r="G1392" s="1142"/>
    </row>
    <row r="1393" spans="1:7" x14ac:dyDescent="0.25">
      <c r="A1393" s="2086"/>
      <c r="B1393" s="2086"/>
      <c r="C1393" s="1142"/>
      <c r="D1393" s="1144"/>
      <c r="E1393" s="2086"/>
      <c r="F1393" s="2086"/>
      <c r="G1393" s="1142"/>
    </row>
    <row r="1394" spans="1:7" x14ac:dyDescent="0.25">
      <c r="A1394" s="2086" t="s">
        <v>29</v>
      </c>
      <c r="B1394" s="2086"/>
      <c r="C1394" s="1142"/>
      <c r="D1394" s="2086" t="s">
        <v>517</v>
      </c>
      <c r="E1394" s="2086"/>
      <c r="F1394" s="2086"/>
      <c r="G1394" s="1142"/>
    </row>
    <row r="1397" spans="1:7" x14ac:dyDescent="0.25">
      <c r="F1397" s="923">
        <f>F1363+F1331+F1292+F1256+F1108+F1074+F1037+F995+F959+F408+F308+F101+F49</f>
        <v>512798699.82999998</v>
      </c>
    </row>
    <row r="1398" spans="1:7" x14ac:dyDescent="0.25">
      <c r="F1398" s="23">
        <f>'RKP 2026'!L190</f>
        <v>1698722044.7329981</v>
      </c>
    </row>
    <row r="1399" spans="1:7" x14ac:dyDescent="0.25">
      <c r="F1399" s="23">
        <f>F1397-F1398</f>
        <v>-1185923344.9029982</v>
      </c>
    </row>
  </sheetData>
  <mergeCells count="428">
    <mergeCell ref="A409:B409"/>
    <mergeCell ref="D409:F409"/>
    <mergeCell ref="A410:B410"/>
    <mergeCell ref="D410:F410"/>
    <mergeCell ref="A413:B413"/>
    <mergeCell ref="E413:F413"/>
    <mergeCell ref="A414:B414"/>
    <mergeCell ref="D414:F414"/>
    <mergeCell ref="J1364:L1364"/>
    <mergeCell ref="A1338:G1338"/>
    <mergeCell ref="A1339:G1339"/>
    <mergeCell ref="A1340:G1340"/>
    <mergeCell ref="D1346:E1346"/>
    <mergeCell ref="C1348:D1348"/>
    <mergeCell ref="C1349:D1349"/>
    <mergeCell ref="B1363:E1363"/>
    <mergeCell ref="A1364:B1364"/>
    <mergeCell ref="D1364:F1364"/>
    <mergeCell ref="B643:E643"/>
    <mergeCell ref="B644:E644"/>
    <mergeCell ref="A645:B645"/>
    <mergeCell ref="D645:F645"/>
    <mergeCell ref="A646:B646"/>
    <mergeCell ref="D646:F646"/>
    <mergeCell ref="A1365:B1365"/>
    <mergeCell ref="D1365:F1365"/>
    <mergeCell ref="J1365:L1365"/>
    <mergeCell ref="A1368:B1368"/>
    <mergeCell ref="E1368:F1368"/>
    <mergeCell ref="K1368:L1368"/>
    <mergeCell ref="A1369:B1369"/>
    <mergeCell ref="D1369:F1369"/>
    <mergeCell ref="J1369:L1369"/>
    <mergeCell ref="A649:B649"/>
    <mergeCell ref="E649:F649"/>
    <mergeCell ref="A650:B650"/>
    <mergeCell ref="D650:F650"/>
    <mergeCell ref="B603:E603"/>
    <mergeCell ref="B604:E604"/>
    <mergeCell ref="A607:G607"/>
    <mergeCell ref="A608:G608"/>
    <mergeCell ref="A609:G609"/>
    <mergeCell ref="C618:D618"/>
    <mergeCell ref="C619:D619"/>
    <mergeCell ref="B624:E624"/>
    <mergeCell ref="B629:E629"/>
    <mergeCell ref="B566:E566"/>
    <mergeCell ref="B567:E567"/>
    <mergeCell ref="A572:G572"/>
    <mergeCell ref="A573:G573"/>
    <mergeCell ref="A574:G574"/>
    <mergeCell ref="C583:D583"/>
    <mergeCell ref="C584:D584"/>
    <mergeCell ref="B589:E589"/>
    <mergeCell ref="B594:E594"/>
    <mergeCell ref="A534:B534"/>
    <mergeCell ref="D534:F534"/>
    <mergeCell ref="A538:G538"/>
    <mergeCell ref="A539:G539"/>
    <mergeCell ref="A540:G540"/>
    <mergeCell ref="C549:D549"/>
    <mergeCell ref="C550:D550"/>
    <mergeCell ref="B555:E555"/>
    <mergeCell ref="B560:E560"/>
    <mergeCell ref="A506:G506"/>
    <mergeCell ref="A507:G507"/>
    <mergeCell ref="C516:D516"/>
    <mergeCell ref="C517:D517"/>
    <mergeCell ref="B522:E522"/>
    <mergeCell ref="B527:E527"/>
    <mergeCell ref="B531:E531"/>
    <mergeCell ref="B532:E532"/>
    <mergeCell ref="A533:B533"/>
    <mergeCell ref="D533:F533"/>
    <mergeCell ref="A473:G473"/>
    <mergeCell ref="C482:D482"/>
    <mergeCell ref="C483:D483"/>
    <mergeCell ref="B488:E488"/>
    <mergeCell ref="B493:E493"/>
    <mergeCell ref="B498:E498"/>
    <mergeCell ref="B500:E500"/>
    <mergeCell ref="B501:E501"/>
    <mergeCell ref="A505:G505"/>
    <mergeCell ref="A446:G446"/>
    <mergeCell ref="A447:G447"/>
    <mergeCell ref="C456:D456"/>
    <mergeCell ref="C457:D457"/>
    <mergeCell ref="B462:E462"/>
    <mergeCell ref="B466:E466"/>
    <mergeCell ref="B467:E467"/>
    <mergeCell ref="A471:G471"/>
    <mergeCell ref="A472:G472"/>
    <mergeCell ref="A420:G420"/>
    <mergeCell ref="A421:G421"/>
    <mergeCell ref="A422:G422"/>
    <mergeCell ref="C431:D431"/>
    <mergeCell ref="C432:D432"/>
    <mergeCell ref="B437:E437"/>
    <mergeCell ref="B440:E440"/>
    <mergeCell ref="B442:E442"/>
    <mergeCell ref="A445:G445"/>
    <mergeCell ref="A1390:B1390"/>
    <mergeCell ref="D1390:F1390"/>
    <mergeCell ref="A1393:B1393"/>
    <mergeCell ref="E1393:F1393"/>
    <mergeCell ref="A1394:B1394"/>
    <mergeCell ref="D1394:F1394"/>
    <mergeCell ref="A1370:G1370"/>
    <mergeCell ref="A1371:G1371"/>
    <mergeCell ref="A1372:G1372"/>
    <mergeCell ref="D1378:E1378"/>
    <mergeCell ref="C1380:D1380"/>
    <mergeCell ref="C1381:D1381"/>
    <mergeCell ref="B1388:E1388"/>
    <mergeCell ref="A1389:B1389"/>
    <mergeCell ref="D1389:F1389"/>
    <mergeCell ref="A1333:B1333"/>
    <mergeCell ref="D1333:F1333"/>
    <mergeCell ref="A1336:B1336"/>
    <mergeCell ref="E1336:F1336"/>
    <mergeCell ref="A1337:B1337"/>
    <mergeCell ref="D1337:F1337"/>
    <mergeCell ref="A1257:B1257"/>
    <mergeCell ref="D1257:F1257"/>
    <mergeCell ref="A1258:B1258"/>
    <mergeCell ref="D1258:F1258"/>
    <mergeCell ref="A1261:B1261"/>
    <mergeCell ref="E1261:F1261"/>
    <mergeCell ref="A1262:B1262"/>
    <mergeCell ref="D1262:F1262"/>
    <mergeCell ref="A1332:B1332"/>
    <mergeCell ref="D1332:F1332"/>
    <mergeCell ref="C1310:D1310"/>
    <mergeCell ref="B1331:E1331"/>
    <mergeCell ref="A1299:G1299"/>
    <mergeCell ref="A1300:G1300"/>
    <mergeCell ref="A1301:G1301"/>
    <mergeCell ref="D1307:E1307"/>
    <mergeCell ref="C1309:D1309"/>
    <mergeCell ref="A1264:F1264"/>
    <mergeCell ref="A922:B922"/>
    <mergeCell ref="D922:F922"/>
    <mergeCell ref="A923:B923"/>
    <mergeCell ref="D923:F923"/>
    <mergeCell ref="A926:B926"/>
    <mergeCell ref="E926:F926"/>
    <mergeCell ref="A927:B927"/>
    <mergeCell ref="D927:F927"/>
    <mergeCell ref="C887:D887"/>
    <mergeCell ref="B920:E920"/>
    <mergeCell ref="A876:F876"/>
    <mergeCell ref="A369:B369"/>
    <mergeCell ref="E369:F369"/>
    <mergeCell ref="A370:B370"/>
    <mergeCell ref="D370:F370"/>
    <mergeCell ref="A652:G652"/>
    <mergeCell ref="A653:G653"/>
    <mergeCell ref="A654:G654"/>
    <mergeCell ref="A660:B660"/>
    <mergeCell ref="C661:D661"/>
    <mergeCell ref="C662:D662"/>
    <mergeCell ref="B695:E695"/>
    <mergeCell ref="A696:B696"/>
    <mergeCell ref="D696:F696"/>
    <mergeCell ref="A697:B697"/>
    <mergeCell ref="D697:F697"/>
    <mergeCell ref="A700:B700"/>
    <mergeCell ref="E700:F700"/>
    <mergeCell ref="A701:B701"/>
    <mergeCell ref="D701:F701"/>
    <mergeCell ref="A702:G702"/>
    <mergeCell ref="A703:G703"/>
    <mergeCell ref="A704:G704"/>
    <mergeCell ref="A710:B710"/>
    <mergeCell ref="B258:E258"/>
    <mergeCell ref="A211:G211"/>
    <mergeCell ref="A212:G212"/>
    <mergeCell ref="A213:G213"/>
    <mergeCell ref="C221:D221"/>
    <mergeCell ref="C222:D222"/>
    <mergeCell ref="A259:B259"/>
    <mergeCell ref="D259:F259"/>
    <mergeCell ref="A260:B260"/>
    <mergeCell ref="D260:F260"/>
    <mergeCell ref="A263:B263"/>
    <mergeCell ref="E263:F263"/>
    <mergeCell ref="A264:B264"/>
    <mergeCell ref="D264:F264"/>
    <mergeCell ref="A365:B365"/>
    <mergeCell ref="D365:F365"/>
    <mergeCell ref="A366:B366"/>
    <mergeCell ref="D366:F366"/>
    <mergeCell ref="B959:E959"/>
    <mergeCell ref="A932:G932"/>
    <mergeCell ref="A933:G933"/>
    <mergeCell ref="A934:G934"/>
    <mergeCell ref="C942:D942"/>
    <mergeCell ref="C943:D943"/>
    <mergeCell ref="A315:G315"/>
    <mergeCell ref="A316:G316"/>
    <mergeCell ref="A317:G317"/>
    <mergeCell ref="C325:D325"/>
    <mergeCell ref="C326:D326"/>
    <mergeCell ref="B364:E364"/>
    <mergeCell ref="A877:F877"/>
    <mergeCell ref="A884:B884"/>
    <mergeCell ref="C886:D886"/>
    <mergeCell ref="A878:F878"/>
    <mergeCell ref="A961:B961"/>
    <mergeCell ref="D961:F961"/>
    <mergeCell ref="A962:B962"/>
    <mergeCell ref="D962:F962"/>
    <mergeCell ref="A965:B965"/>
    <mergeCell ref="E965:F965"/>
    <mergeCell ref="A966:B966"/>
    <mergeCell ref="D966:F966"/>
    <mergeCell ref="C978:D978"/>
    <mergeCell ref="C979:D979"/>
    <mergeCell ref="A970:G970"/>
    <mergeCell ref="A971:G971"/>
    <mergeCell ref="A969:G969"/>
    <mergeCell ref="B995:E995"/>
    <mergeCell ref="A996:B996"/>
    <mergeCell ref="D996:F996"/>
    <mergeCell ref="A997:B997"/>
    <mergeCell ref="D997:F997"/>
    <mergeCell ref="A1000:B1000"/>
    <mergeCell ref="E1000:F1000"/>
    <mergeCell ref="A1001:B1001"/>
    <mergeCell ref="D1001:F1001"/>
    <mergeCell ref="B1037:E1037"/>
    <mergeCell ref="C1014:D1014"/>
    <mergeCell ref="C1015:D1015"/>
    <mergeCell ref="A1007:G1007"/>
    <mergeCell ref="A1005:G1005"/>
    <mergeCell ref="A1006:G1006"/>
    <mergeCell ref="A1038:B1038"/>
    <mergeCell ref="D1038:F1038"/>
    <mergeCell ref="A1039:B1039"/>
    <mergeCell ref="D1039:F1039"/>
    <mergeCell ref="A1042:B1042"/>
    <mergeCell ref="E1042:F1042"/>
    <mergeCell ref="A1043:B1043"/>
    <mergeCell ref="D1043:F1043"/>
    <mergeCell ref="A1045:F1045"/>
    <mergeCell ref="C1093:D1093"/>
    <mergeCell ref="B1108:E1108"/>
    <mergeCell ref="A1083:F1083"/>
    <mergeCell ref="A1084:F1084"/>
    <mergeCell ref="A1085:F1085"/>
    <mergeCell ref="A1046:F1046"/>
    <mergeCell ref="A1047:F1047"/>
    <mergeCell ref="D1053:E1053"/>
    <mergeCell ref="C1055:D1055"/>
    <mergeCell ref="C1056:D1056"/>
    <mergeCell ref="B1074:E1074"/>
    <mergeCell ref="A1075:B1075"/>
    <mergeCell ref="D1075:F1075"/>
    <mergeCell ref="A1076:B1076"/>
    <mergeCell ref="D1076:F1076"/>
    <mergeCell ref="C1184:D1184"/>
    <mergeCell ref="C1185:D1185"/>
    <mergeCell ref="B1256:E1256"/>
    <mergeCell ref="C1126:D1126"/>
    <mergeCell ref="B1168:E1168"/>
    <mergeCell ref="A1169:B1169"/>
    <mergeCell ref="D1169:F1169"/>
    <mergeCell ref="A1170:B1170"/>
    <mergeCell ref="D1170:F1170"/>
    <mergeCell ref="A1173:B1173"/>
    <mergeCell ref="E1173:F1173"/>
    <mergeCell ref="A1174:B1174"/>
    <mergeCell ref="D1174:F1174"/>
    <mergeCell ref="C66:D66"/>
    <mergeCell ref="B101:E101"/>
    <mergeCell ref="A102:B102"/>
    <mergeCell ref="D102:F102"/>
    <mergeCell ref="A1175:F1175"/>
    <mergeCell ref="A1176:F1176"/>
    <mergeCell ref="A1177:F1177"/>
    <mergeCell ref="A1109:B1109"/>
    <mergeCell ref="D1109:F1109"/>
    <mergeCell ref="A1110:B1110"/>
    <mergeCell ref="D1110:F1110"/>
    <mergeCell ref="A1113:B1113"/>
    <mergeCell ref="E1113:F1113"/>
    <mergeCell ref="A1114:B1114"/>
    <mergeCell ref="D1114:F1114"/>
    <mergeCell ref="C1125:D1125"/>
    <mergeCell ref="A1116:F1116"/>
    <mergeCell ref="A1117:F1117"/>
    <mergeCell ref="A1118:F1118"/>
    <mergeCell ref="A1079:B1079"/>
    <mergeCell ref="E1079:F1079"/>
    <mergeCell ref="A1080:B1080"/>
    <mergeCell ref="D1080:F1080"/>
    <mergeCell ref="C1092:D1092"/>
    <mergeCell ref="A103:B103"/>
    <mergeCell ref="D103:F103"/>
    <mergeCell ref="A106:B106"/>
    <mergeCell ref="D106:F106"/>
    <mergeCell ref="A1:G1"/>
    <mergeCell ref="A2:G2"/>
    <mergeCell ref="A3:G3"/>
    <mergeCell ref="A9:B9"/>
    <mergeCell ref="C10:D10"/>
    <mergeCell ref="C11:D11"/>
    <mergeCell ref="B49:E49"/>
    <mergeCell ref="A50:B50"/>
    <mergeCell ref="D50:F50"/>
    <mergeCell ref="A51:B51"/>
    <mergeCell ref="D51:F51"/>
    <mergeCell ref="A54:B54"/>
    <mergeCell ref="E54:F54"/>
    <mergeCell ref="A55:B55"/>
    <mergeCell ref="D55:F55"/>
    <mergeCell ref="A56:G56"/>
    <mergeCell ref="A57:G57"/>
    <mergeCell ref="A58:G58"/>
    <mergeCell ref="A64:B64"/>
    <mergeCell ref="C65:D65"/>
    <mergeCell ref="A265:G265"/>
    <mergeCell ref="A266:G266"/>
    <mergeCell ref="A267:G267"/>
    <mergeCell ref="C275:D275"/>
    <mergeCell ref="C276:D276"/>
    <mergeCell ref="B308:E308"/>
    <mergeCell ref="A309:B309"/>
    <mergeCell ref="D309:F309"/>
    <mergeCell ref="A310:B310"/>
    <mergeCell ref="D310:F310"/>
    <mergeCell ref="A313:B313"/>
    <mergeCell ref="E313:F313"/>
    <mergeCell ref="A314:B314"/>
    <mergeCell ref="D314:F314"/>
    <mergeCell ref="A107:G107"/>
    <mergeCell ref="A108:G108"/>
    <mergeCell ref="A109:G109"/>
    <mergeCell ref="A115:B115"/>
    <mergeCell ref="C116:D116"/>
    <mergeCell ref="C117:D117"/>
    <mergeCell ref="B147:E147"/>
    <mergeCell ref="A148:B148"/>
    <mergeCell ref="D148:F148"/>
    <mergeCell ref="A149:B149"/>
    <mergeCell ref="D149:F149"/>
    <mergeCell ref="A152:B152"/>
    <mergeCell ref="E152:F152"/>
    <mergeCell ref="A153:B153"/>
    <mergeCell ref="D153:F153"/>
    <mergeCell ref="A154:G154"/>
    <mergeCell ref="A155:G155"/>
    <mergeCell ref="A156:G156"/>
    <mergeCell ref="A162:B162"/>
    <mergeCell ref="C163:D163"/>
    <mergeCell ref="C164:D164"/>
    <mergeCell ref="B204:E204"/>
    <mergeCell ref="A205:B205"/>
    <mergeCell ref="D205:F205"/>
    <mergeCell ref="A206:B206"/>
    <mergeCell ref="D206:F206"/>
    <mergeCell ref="A209:B209"/>
    <mergeCell ref="E209:F209"/>
    <mergeCell ref="A210:B210"/>
    <mergeCell ref="D210:F210"/>
    <mergeCell ref="C711:D711"/>
    <mergeCell ref="C712:D712"/>
    <mergeCell ref="B748:E748"/>
    <mergeCell ref="A749:B749"/>
    <mergeCell ref="D749:F749"/>
    <mergeCell ref="A750:B750"/>
    <mergeCell ref="D750:F750"/>
    <mergeCell ref="A753:B753"/>
    <mergeCell ref="E753:F753"/>
    <mergeCell ref="A754:B754"/>
    <mergeCell ref="D754:F754"/>
    <mergeCell ref="A756:G756"/>
    <mergeCell ref="A757:G757"/>
    <mergeCell ref="A758:G758"/>
    <mergeCell ref="A764:B764"/>
    <mergeCell ref="C765:D765"/>
    <mergeCell ref="C766:D766"/>
    <mergeCell ref="B810:E810"/>
    <mergeCell ref="A811:B811"/>
    <mergeCell ref="D811:F811"/>
    <mergeCell ref="A812:B812"/>
    <mergeCell ref="D812:F812"/>
    <mergeCell ref="A815:B815"/>
    <mergeCell ref="E815:F815"/>
    <mergeCell ref="A870:B870"/>
    <mergeCell ref="D870:F870"/>
    <mergeCell ref="A871:B871"/>
    <mergeCell ref="D871:F871"/>
    <mergeCell ref="A875:B875"/>
    <mergeCell ref="D875:F875"/>
    <mergeCell ref="A816:B816"/>
    <mergeCell ref="D816:F816"/>
    <mergeCell ref="A817:G817"/>
    <mergeCell ref="A818:G818"/>
    <mergeCell ref="A819:G819"/>
    <mergeCell ref="A825:B825"/>
    <mergeCell ref="C826:D826"/>
    <mergeCell ref="C827:D827"/>
    <mergeCell ref="B869:E869"/>
    <mergeCell ref="A1297:B1297"/>
    <mergeCell ref="E1297:F1297"/>
    <mergeCell ref="A1298:B1298"/>
    <mergeCell ref="D1298:F1298"/>
    <mergeCell ref="A371:G371"/>
    <mergeCell ref="A372:G372"/>
    <mergeCell ref="A373:G373"/>
    <mergeCell ref="C382:D382"/>
    <mergeCell ref="C383:D383"/>
    <mergeCell ref="B388:E388"/>
    <mergeCell ref="B393:E393"/>
    <mergeCell ref="B407:E407"/>
    <mergeCell ref="B408:E408"/>
    <mergeCell ref="A1265:F1265"/>
    <mergeCell ref="A1266:F1266"/>
    <mergeCell ref="C1273:D1273"/>
    <mergeCell ref="C1274:D1274"/>
    <mergeCell ref="B1292:E1292"/>
    <mergeCell ref="A1293:B1293"/>
    <mergeCell ref="D1293:F1293"/>
    <mergeCell ref="A1294:B1294"/>
    <mergeCell ref="D1294:F1294"/>
    <mergeCell ref="A874:B874"/>
    <mergeCell ref="E874:F874"/>
  </mergeCells>
  <pageMargins left="0.7" right="0.7" top="0.75" bottom="3" header="0.3" footer="0.3"/>
  <pageSetup paperSize="5" scale="9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59"/>
  <sheetViews>
    <sheetView topLeftCell="A4" zoomScale="115" zoomScaleNormal="115" workbookViewId="0">
      <pane ySplit="1410" topLeftCell="A42" activePane="bottomLeft"/>
      <selection activeCell="I46" sqref="I46"/>
      <selection pane="bottomLeft" activeCell="J51" sqref="J51"/>
    </sheetView>
  </sheetViews>
  <sheetFormatPr defaultRowHeight="15" x14ac:dyDescent="0.25"/>
  <cols>
    <col min="1" max="1" width="16" customWidth="1"/>
    <col min="2" max="2" width="26.5703125" customWidth="1"/>
    <col min="3" max="3" width="7" customWidth="1"/>
    <col min="4" max="4" width="6.140625" customWidth="1"/>
    <col min="5" max="5" width="16.28515625" customWidth="1"/>
    <col min="6" max="6" width="19.140625" customWidth="1"/>
    <col min="7" max="7" width="7.7109375" customWidth="1"/>
    <col min="10" max="10" width="25" customWidth="1"/>
    <col min="11" max="11" width="20.140625" customWidth="1"/>
    <col min="12" max="12" width="17.85546875" customWidth="1"/>
    <col min="13" max="13" width="19.85546875" customWidth="1"/>
    <col min="14" max="14" width="17.85546875" customWidth="1"/>
    <col min="15" max="15" width="16.140625" customWidth="1"/>
    <col min="16" max="16" width="16" customWidth="1"/>
    <col min="17" max="17" width="18.5703125" customWidth="1"/>
    <col min="18" max="18" width="16.42578125" customWidth="1"/>
    <col min="19" max="19" width="16.5703125" customWidth="1"/>
    <col min="20" max="20" width="17.85546875" customWidth="1"/>
    <col min="21" max="21" width="17" customWidth="1"/>
    <col min="22" max="22" width="16.28515625" customWidth="1"/>
    <col min="23" max="23" width="17.7109375" customWidth="1"/>
    <col min="24" max="24" width="15.42578125" customWidth="1"/>
    <col min="25" max="25" width="13.42578125" customWidth="1"/>
    <col min="26" max="26" width="15.28515625" customWidth="1"/>
    <col min="27" max="27" width="16.7109375" customWidth="1"/>
  </cols>
  <sheetData>
    <row r="1" spans="1:27" x14ac:dyDescent="0.25">
      <c r="A1" s="1947" t="s">
        <v>0</v>
      </c>
      <c r="B1" s="1947"/>
      <c r="C1" s="1947"/>
      <c r="D1" s="1947"/>
      <c r="E1" s="1947"/>
      <c r="F1" s="1947"/>
      <c r="G1" s="1947"/>
    </row>
    <row r="2" spans="1:27" x14ac:dyDescent="0.25">
      <c r="A2" s="1947" t="s">
        <v>1</v>
      </c>
      <c r="B2" s="1947"/>
      <c r="C2" s="1947"/>
      <c r="D2" s="1947"/>
      <c r="E2" s="1947"/>
      <c r="F2" s="1947"/>
      <c r="G2" s="1947"/>
    </row>
    <row r="3" spans="1:27" x14ac:dyDescent="0.25">
      <c r="A3" s="1947" t="s">
        <v>2398</v>
      </c>
      <c r="B3" s="1947"/>
      <c r="C3" s="1947"/>
      <c r="D3" s="1947"/>
      <c r="E3" s="1947"/>
      <c r="F3" s="1947"/>
      <c r="G3" s="1947"/>
    </row>
    <row r="4" spans="1:27" ht="30" x14ac:dyDescent="0.25">
      <c r="A4" s="148"/>
      <c r="B4" s="148"/>
      <c r="C4" s="148"/>
      <c r="D4" s="148"/>
      <c r="E4" s="148"/>
      <c r="F4" s="148"/>
      <c r="G4" s="148"/>
      <c r="J4" s="105" t="s">
        <v>1410</v>
      </c>
      <c r="K4" s="105" t="s">
        <v>1220</v>
      </c>
      <c r="L4" s="105" t="s">
        <v>1506</v>
      </c>
      <c r="M4" s="105" t="s">
        <v>2177</v>
      </c>
      <c r="N4" s="105" t="s">
        <v>1365</v>
      </c>
      <c r="O4" s="1150" t="s">
        <v>3294</v>
      </c>
      <c r="P4" s="105" t="s">
        <v>3295</v>
      </c>
      <c r="Q4" s="105" t="s">
        <v>1223</v>
      </c>
      <c r="R4" s="105" t="s">
        <v>2178</v>
      </c>
      <c r="S4" s="105" t="s">
        <v>2179</v>
      </c>
      <c r="T4" s="105" t="s">
        <v>1777</v>
      </c>
      <c r="U4" s="105" t="s">
        <v>1775</v>
      </c>
      <c r="V4" s="105" t="s">
        <v>2253</v>
      </c>
      <c r="W4" s="105" t="s">
        <v>3296</v>
      </c>
      <c r="X4" s="1150" t="s">
        <v>3297</v>
      </c>
      <c r="Y4" s="1150" t="s">
        <v>3298</v>
      </c>
      <c r="Z4" s="105" t="s">
        <v>3299</v>
      </c>
      <c r="AA4" s="105" t="s">
        <v>3300</v>
      </c>
    </row>
    <row r="5" spans="1:27" x14ac:dyDescent="0.25">
      <c r="A5" s="226" t="s">
        <v>251</v>
      </c>
      <c r="B5" s="266" t="s">
        <v>3345</v>
      </c>
      <c r="C5" s="226"/>
      <c r="D5" s="226"/>
      <c r="E5" s="364"/>
      <c r="F5" s="364"/>
      <c r="J5" s="23">
        <f t="shared" ref="J5:Z5" si="0">SUM(J6:J103)</f>
        <v>1124000</v>
      </c>
      <c r="K5" s="23">
        <f t="shared" si="0"/>
        <v>0</v>
      </c>
      <c r="L5" s="23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25802587.09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3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ref="AA5" si="1">SUM(AA6:AA103)</f>
        <v>0</v>
      </c>
    </row>
    <row r="6" spans="1:27" x14ac:dyDescent="0.25">
      <c r="A6" s="226" t="s">
        <v>252</v>
      </c>
      <c r="B6" s="296" t="s">
        <v>3314</v>
      </c>
      <c r="C6" s="226"/>
      <c r="D6" s="226"/>
      <c r="E6" s="364"/>
      <c r="F6" s="226"/>
    </row>
    <row r="7" spans="1:27" ht="30" x14ac:dyDescent="0.25">
      <c r="A7" s="228" t="s">
        <v>253</v>
      </c>
      <c r="B7" s="656" t="s">
        <v>3315</v>
      </c>
      <c r="C7" s="228"/>
      <c r="D7" s="228"/>
      <c r="E7" s="228"/>
      <c r="F7" s="228"/>
    </row>
    <row r="8" spans="1:27" x14ac:dyDescent="0.25">
      <c r="A8" s="190" t="s">
        <v>59</v>
      </c>
      <c r="B8" s="190" t="s">
        <v>60</v>
      </c>
      <c r="C8" s="190"/>
      <c r="D8" s="152"/>
      <c r="E8" s="152"/>
      <c r="F8" s="152"/>
    </row>
    <row r="9" spans="1:27" x14ac:dyDescent="0.25">
      <c r="A9" s="190" t="s">
        <v>61</v>
      </c>
      <c r="B9" s="190" t="s">
        <v>62</v>
      </c>
      <c r="C9" s="190"/>
      <c r="D9" s="1952"/>
      <c r="E9" s="1952"/>
      <c r="F9" s="152"/>
    </row>
    <row r="10" spans="1:27" x14ac:dyDescent="0.25">
      <c r="A10" s="151"/>
      <c r="B10" s="151"/>
      <c r="C10" s="151"/>
      <c r="D10" s="151"/>
      <c r="E10" s="151"/>
      <c r="F10" s="151"/>
    </row>
    <row r="11" spans="1:27" ht="24" x14ac:dyDescent="0.25">
      <c r="A11" s="162" t="s">
        <v>255</v>
      </c>
      <c r="B11" s="162" t="s">
        <v>11</v>
      </c>
      <c r="C11" s="1958" t="s">
        <v>12</v>
      </c>
      <c r="D11" s="1958"/>
      <c r="E11" s="230" t="s">
        <v>13</v>
      </c>
      <c r="F11" s="231" t="s">
        <v>14</v>
      </c>
      <c r="G11" s="25" t="s">
        <v>256</v>
      </c>
    </row>
    <row r="12" spans="1:27" x14ac:dyDescent="0.25">
      <c r="A12" s="162">
        <v>1</v>
      </c>
      <c r="B12" s="162">
        <v>2</v>
      </c>
      <c r="C12" s="1959">
        <v>3</v>
      </c>
      <c r="D12" s="1960"/>
      <c r="E12" s="232">
        <v>4</v>
      </c>
      <c r="F12" s="231">
        <v>5</v>
      </c>
      <c r="G12" s="26">
        <v>6</v>
      </c>
    </row>
    <row r="13" spans="1:27" x14ac:dyDescent="0.25">
      <c r="A13" s="304" t="s">
        <v>3316</v>
      </c>
      <c r="B13" s="177" t="s">
        <v>1409</v>
      </c>
      <c r="C13" s="169"/>
      <c r="D13" s="170"/>
      <c r="E13" s="396"/>
      <c r="F13" s="169"/>
      <c r="G13" s="186"/>
    </row>
    <row r="14" spans="1:27" x14ac:dyDescent="0.25">
      <c r="A14" s="304" t="s">
        <v>3317</v>
      </c>
      <c r="B14" s="177" t="s">
        <v>1409</v>
      </c>
      <c r="C14" s="169"/>
      <c r="D14" s="170"/>
      <c r="E14" s="396"/>
      <c r="F14" s="169"/>
      <c r="G14" s="186"/>
    </row>
    <row r="15" spans="1:27" x14ac:dyDescent="0.25">
      <c r="A15" s="304" t="s">
        <v>3318</v>
      </c>
      <c r="B15" s="177" t="s">
        <v>1409</v>
      </c>
      <c r="C15" s="178"/>
      <c r="D15" s="207"/>
      <c r="E15" s="179"/>
      <c r="F15" s="398"/>
      <c r="G15" s="186"/>
    </row>
    <row r="16" spans="1:27" x14ac:dyDescent="0.25">
      <c r="A16" s="181"/>
      <c r="B16" s="181" t="s">
        <v>3541</v>
      </c>
      <c r="C16" s="178">
        <f>24*12</f>
        <v>288</v>
      </c>
      <c r="D16" s="207" t="s">
        <v>269</v>
      </c>
      <c r="E16" s="179">
        <v>300000</v>
      </c>
      <c r="F16" s="398">
        <f>E16*C16</f>
        <v>86400000</v>
      </c>
      <c r="G16" s="186"/>
    </row>
    <row r="17" spans="1:10" x14ac:dyDescent="0.25">
      <c r="A17" s="181"/>
      <c r="B17" s="181"/>
      <c r="C17" s="178"/>
      <c r="D17" s="207"/>
      <c r="E17" s="179"/>
      <c r="F17" s="398">
        <f t="shared" ref="F17:F18" si="2">E17*C17</f>
        <v>0</v>
      </c>
      <c r="G17" s="186"/>
    </row>
    <row r="18" spans="1:10" x14ac:dyDescent="0.25">
      <c r="A18" s="181"/>
      <c r="B18" s="320"/>
      <c r="C18" s="198"/>
      <c r="D18" s="321"/>
      <c r="E18" s="322"/>
      <c r="F18" s="398">
        <f t="shared" si="2"/>
        <v>0</v>
      </c>
      <c r="G18" s="186"/>
    </row>
    <row r="19" spans="1:10" x14ac:dyDescent="0.25">
      <c r="A19" s="181"/>
      <c r="B19" s="1990" t="s">
        <v>26</v>
      </c>
      <c r="C19" s="1990"/>
      <c r="D19" s="1990"/>
      <c r="E19" s="1990"/>
      <c r="F19" s="398"/>
      <c r="G19" s="186" t="s">
        <v>1410</v>
      </c>
      <c r="J19" s="23">
        <f>F19</f>
        <v>0</v>
      </c>
    </row>
    <row r="20" spans="1:10" x14ac:dyDescent="0.25">
      <c r="A20" s="1926" t="s">
        <v>516</v>
      </c>
      <c r="B20" s="1926"/>
      <c r="C20" s="152" t="s">
        <v>27</v>
      </c>
      <c r="D20" s="1952" t="s">
        <v>1224</v>
      </c>
      <c r="E20" s="1952"/>
      <c r="F20" s="1952"/>
      <c r="G20" s="152"/>
    </row>
    <row r="21" spans="1:10" x14ac:dyDescent="0.25">
      <c r="A21" s="1926" t="s">
        <v>28</v>
      </c>
      <c r="B21" s="1926"/>
      <c r="C21" s="152"/>
      <c r="D21" s="1927" t="s">
        <v>2443</v>
      </c>
      <c r="E21" s="1927"/>
      <c r="F21" s="1927"/>
      <c r="G21" s="152"/>
    </row>
    <row r="22" spans="1:10" x14ac:dyDescent="0.25">
      <c r="A22" s="150"/>
      <c r="B22" s="151"/>
      <c r="C22" s="152"/>
      <c r="D22" s="153"/>
      <c r="E22" s="182"/>
      <c r="F22" s="182"/>
      <c r="G22" s="152"/>
    </row>
    <row r="23" spans="1:10" x14ac:dyDescent="0.25">
      <c r="A23" s="150"/>
      <c r="B23" s="151"/>
      <c r="C23" s="152"/>
      <c r="D23" s="153"/>
      <c r="E23" s="182"/>
      <c r="F23" s="182"/>
      <c r="G23" s="152"/>
    </row>
    <row r="24" spans="1:10" x14ac:dyDescent="0.25">
      <c r="A24" s="1926"/>
      <c r="B24" s="1926"/>
      <c r="C24" s="152"/>
      <c r="D24" s="153"/>
      <c r="E24" s="1926"/>
      <c r="F24" s="1926"/>
      <c r="G24" s="152"/>
    </row>
    <row r="25" spans="1:10" x14ac:dyDescent="0.25">
      <c r="A25" s="1926" t="s">
        <v>29</v>
      </c>
      <c r="B25" s="1926"/>
      <c r="C25" s="152"/>
      <c r="D25" s="1926" t="s">
        <v>517</v>
      </c>
      <c r="E25" s="1926"/>
      <c r="F25" s="1926"/>
      <c r="G25" s="152"/>
    </row>
    <row r="31" spans="1:10" x14ac:dyDescent="0.25">
      <c r="A31" s="1947" t="s">
        <v>0</v>
      </c>
      <c r="B31" s="1947"/>
      <c r="C31" s="1947"/>
      <c r="D31" s="1947"/>
      <c r="E31" s="1947"/>
      <c r="F31" s="1947"/>
      <c r="G31" s="1947"/>
    </row>
    <row r="32" spans="1:10" x14ac:dyDescent="0.25">
      <c r="A32" s="1947" t="s">
        <v>1</v>
      </c>
      <c r="B32" s="1947"/>
      <c r="C32" s="1947"/>
      <c r="D32" s="1947"/>
      <c r="E32" s="1947"/>
      <c r="F32" s="1947"/>
      <c r="G32" s="1947"/>
    </row>
    <row r="33" spans="1:19" x14ac:dyDescent="0.25">
      <c r="A33" s="1947" t="s">
        <v>2398</v>
      </c>
      <c r="B33" s="1947"/>
      <c r="C33" s="1947"/>
      <c r="D33" s="1947"/>
      <c r="E33" s="1947"/>
      <c r="F33" s="1947"/>
      <c r="G33" s="1947"/>
    </row>
    <row r="34" spans="1:19" x14ac:dyDescent="0.25">
      <c r="A34" s="148"/>
      <c r="B34" s="148"/>
      <c r="C34" s="148"/>
      <c r="D34" s="148"/>
      <c r="E34" s="148"/>
      <c r="F34" s="148"/>
      <c r="G34" s="148"/>
    </row>
    <row r="35" spans="1:19" x14ac:dyDescent="0.25">
      <c r="A35" s="226" t="s">
        <v>251</v>
      </c>
      <c r="B35" s="266" t="s">
        <v>3345</v>
      </c>
      <c r="C35" s="226"/>
      <c r="D35" s="226"/>
      <c r="E35" s="364"/>
      <c r="F35" s="364"/>
    </row>
    <row r="36" spans="1:19" x14ac:dyDescent="0.25">
      <c r="A36" s="226" t="s">
        <v>252</v>
      </c>
      <c r="B36" s="296" t="s">
        <v>3346</v>
      </c>
      <c r="C36" s="226"/>
      <c r="D36" s="226"/>
      <c r="E36" s="364"/>
      <c r="F36" s="226"/>
    </row>
    <row r="37" spans="1:19" ht="30" x14ac:dyDescent="0.25">
      <c r="A37" s="228" t="s">
        <v>253</v>
      </c>
      <c r="B37" s="656" t="s">
        <v>3347</v>
      </c>
      <c r="C37" s="228"/>
      <c r="D37" s="228"/>
      <c r="E37" s="228"/>
      <c r="F37" s="228"/>
    </row>
    <row r="38" spans="1:19" x14ac:dyDescent="0.25">
      <c r="A38" s="190" t="s">
        <v>59</v>
      </c>
      <c r="B38" s="190" t="s">
        <v>60</v>
      </c>
      <c r="C38" s="190"/>
      <c r="D38" s="152"/>
      <c r="E38" s="152"/>
      <c r="F38" s="152"/>
    </row>
    <row r="39" spans="1:19" x14ac:dyDescent="0.25">
      <c r="A39" s="190" t="s">
        <v>61</v>
      </c>
      <c r="B39" s="190" t="s">
        <v>62</v>
      </c>
      <c r="C39" s="190"/>
      <c r="D39" s="1952"/>
      <c r="E39" s="1952"/>
      <c r="F39" s="152"/>
    </row>
    <row r="40" spans="1:19" x14ac:dyDescent="0.25">
      <c r="A40" s="151"/>
      <c r="B40" s="151"/>
      <c r="C40" s="151"/>
      <c r="D40" s="151"/>
      <c r="E40" s="151"/>
      <c r="F40" s="151"/>
    </row>
    <row r="41" spans="1:19" ht="24" x14ac:dyDescent="0.25">
      <c r="A41" s="162" t="s">
        <v>255</v>
      </c>
      <c r="B41" s="162" t="s">
        <v>11</v>
      </c>
      <c r="C41" s="1958" t="s">
        <v>12</v>
      </c>
      <c r="D41" s="1958"/>
      <c r="E41" s="230" t="s">
        <v>13</v>
      </c>
      <c r="F41" s="231" t="s">
        <v>14</v>
      </c>
      <c r="G41" s="25" t="s">
        <v>256</v>
      </c>
    </row>
    <row r="42" spans="1:19" x14ac:dyDescent="0.25">
      <c r="A42" s="162">
        <v>1</v>
      </c>
      <c r="B42" s="162">
        <v>2</v>
      </c>
      <c r="C42" s="1959">
        <v>3</v>
      </c>
      <c r="D42" s="1960"/>
      <c r="E42" s="232">
        <v>4</v>
      </c>
      <c r="F42" s="231">
        <v>5</v>
      </c>
      <c r="G42" s="26">
        <v>6</v>
      </c>
    </row>
    <row r="43" spans="1:19" x14ac:dyDescent="0.25">
      <c r="A43" s="304" t="s">
        <v>3348</v>
      </c>
      <c r="B43" s="177" t="s">
        <v>1409</v>
      </c>
      <c r="C43" s="169"/>
      <c r="D43" s="170"/>
      <c r="E43" s="396"/>
      <c r="F43" s="169"/>
      <c r="G43" s="186"/>
    </row>
    <row r="44" spans="1:19" x14ac:dyDescent="0.25">
      <c r="A44" s="304" t="s">
        <v>3349</v>
      </c>
      <c r="B44" s="177" t="s">
        <v>1409</v>
      </c>
      <c r="C44" s="169"/>
      <c r="D44" s="170"/>
      <c r="E44" s="396"/>
      <c r="F44" s="169"/>
      <c r="G44" s="186"/>
    </row>
    <row r="45" spans="1:19" x14ac:dyDescent="0.25">
      <c r="A45" s="304" t="s">
        <v>3350</v>
      </c>
      <c r="B45" s="177" t="s">
        <v>1409</v>
      </c>
      <c r="C45" s="178"/>
      <c r="D45" s="207"/>
      <c r="E45" s="179"/>
      <c r="F45" s="398"/>
      <c r="G45" s="186"/>
    </row>
    <row r="46" spans="1:19" x14ac:dyDescent="0.25">
      <c r="A46" s="181"/>
      <c r="B46" s="177" t="s">
        <v>1409</v>
      </c>
      <c r="C46" s="178">
        <v>1</v>
      </c>
      <c r="D46" s="207" t="s">
        <v>213</v>
      </c>
      <c r="E46" s="179">
        <v>1124000</v>
      </c>
      <c r="F46" s="398">
        <f>E46*C46</f>
        <v>1124000</v>
      </c>
      <c r="G46" s="186" t="s">
        <v>1410</v>
      </c>
      <c r="J46" s="23">
        <f>F46</f>
        <v>1124000</v>
      </c>
    </row>
    <row r="47" spans="1:19" x14ac:dyDescent="0.25">
      <c r="A47" s="181"/>
      <c r="B47" s="177" t="s">
        <v>1409</v>
      </c>
      <c r="C47" s="178">
        <v>1</v>
      </c>
      <c r="D47" s="207" t="s">
        <v>213</v>
      </c>
      <c r="E47" s="179">
        <v>25802587.09</v>
      </c>
      <c r="F47" s="398">
        <f>E47*C47</f>
        <v>25802587.09</v>
      </c>
      <c r="G47" s="186" t="s">
        <v>2179</v>
      </c>
      <c r="K47" s="23"/>
      <c r="S47" s="23">
        <f>F47</f>
        <v>25802587.09</v>
      </c>
    </row>
    <row r="48" spans="1:19" x14ac:dyDescent="0.25">
      <c r="A48" s="181"/>
      <c r="B48" s="177"/>
      <c r="C48" s="178"/>
      <c r="D48" s="207"/>
      <c r="E48" s="377"/>
      <c r="F48" s="398"/>
      <c r="G48" s="186"/>
      <c r="K48" s="23"/>
      <c r="L48" s="23">
        <f>F48</f>
        <v>0</v>
      </c>
    </row>
    <row r="49" spans="1:13" x14ac:dyDescent="0.25">
      <c r="A49" s="181"/>
      <c r="B49" s="177"/>
      <c r="C49" s="198"/>
      <c r="D49" s="321"/>
      <c r="E49" s="377"/>
      <c r="F49" s="398"/>
      <c r="G49" s="186"/>
      <c r="K49" s="23"/>
      <c r="M49" s="23">
        <f>F49</f>
        <v>0</v>
      </c>
    </row>
    <row r="50" spans="1:13" x14ac:dyDescent="0.25">
      <c r="A50" s="181"/>
      <c r="B50" s="1990" t="s">
        <v>26</v>
      </c>
      <c r="C50" s="1990"/>
      <c r="D50" s="1990"/>
      <c r="E50" s="1990"/>
      <c r="F50" s="324">
        <f>SUM(F45:F49)</f>
        <v>26926587.09</v>
      </c>
      <c r="G50" s="186"/>
    </row>
    <row r="51" spans="1:13" x14ac:dyDescent="0.25">
      <c r="A51" s="1926" t="s">
        <v>516</v>
      </c>
      <c r="B51" s="1926"/>
      <c r="C51" s="152" t="s">
        <v>27</v>
      </c>
      <c r="D51" s="1926" t="s">
        <v>3654</v>
      </c>
      <c r="E51" s="1926"/>
      <c r="F51" s="1926"/>
      <c r="G51" s="152"/>
    </row>
    <row r="52" spans="1:13" x14ac:dyDescent="0.25">
      <c r="A52" s="1926" t="s">
        <v>28</v>
      </c>
      <c r="B52" s="1926"/>
      <c r="C52" s="152"/>
      <c r="D52" s="1927" t="s">
        <v>3567</v>
      </c>
      <c r="E52" s="1927"/>
      <c r="F52" s="1927"/>
      <c r="G52" s="152"/>
    </row>
    <row r="53" spans="1:13" x14ac:dyDescent="0.25">
      <c r="A53" s="150"/>
      <c r="B53" s="151"/>
      <c r="C53" s="152"/>
      <c r="D53" s="153"/>
      <c r="E53" s="1770"/>
      <c r="F53" s="182"/>
      <c r="G53" s="152"/>
    </row>
    <row r="54" spans="1:13" x14ac:dyDescent="0.25">
      <c r="A54" s="150"/>
      <c r="B54" s="151"/>
      <c r="C54" s="152"/>
      <c r="D54" s="153"/>
      <c r="E54" s="1770"/>
      <c r="F54" s="182"/>
      <c r="G54" s="152"/>
    </row>
    <row r="55" spans="1:13" x14ac:dyDescent="0.25">
      <c r="A55" s="1926"/>
      <c r="B55" s="1926"/>
      <c r="C55" s="152"/>
      <c r="D55" s="153"/>
      <c r="E55" s="1926"/>
      <c r="F55" s="1926"/>
      <c r="G55" s="152"/>
    </row>
    <row r="56" spans="1:13" x14ac:dyDescent="0.25">
      <c r="A56" s="1926" t="s">
        <v>29</v>
      </c>
      <c r="B56" s="1926"/>
      <c r="C56" s="152"/>
      <c r="D56" s="1926" t="s">
        <v>3568</v>
      </c>
      <c r="E56" s="1926"/>
      <c r="F56" s="1926"/>
      <c r="G56" s="152"/>
    </row>
    <row r="57" spans="1:13" x14ac:dyDescent="0.25">
      <c r="F57" s="23"/>
    </row>
    <row r="58" spans="1:13" x14ac:dyDescent="0.25">
      <c r="F58" s="1478"/>
    </row>
    <row r="59" spans="1:13" x14ac:dyDescent="0.25">
      <c r="E59" s="1479">
        <f>F19+F50</f>
        <v>26926587.09</v>
      </c>
      <c r="F59" s="139"/>
    </row>
  </sheetData>
  <mergeCells count="30">
    <mergeCell ref="A31:G31"/>
    <mergeCell ref="C12:D12"/>
    <mergeCell ref="A1:G1"/>
    <mergeCell ref="A2:G2"/>
    <mergeCell ref="A3:G3"/>
    <mergeCell ref="D9:E9"/>
    <mergeCell ref="C11:D11"/>
    <mergeCell ref="A25:B25"/>
    <mergeCell ref="D25:F25"/>
    <mergeCell ref="B19:E19"/>
    <mergeCell ref="A20:B20"/>
    <mergeCell ref="D20:F20"/>
    <mergeCell ref="A21:B21"/>
    <mergeCell ref="D21:F21"/>
    <mergeCell ref="A24:B24"/>
    <mergeCell ref="E24:F24"/>
    <mergeCell ref="A55:B55"/>
    <mergeCell ref="E55:F55"/>
    <mergeCell ref="A56:B56"/>
    <mergeCell ref="D56:F56"/>
    <mergeCell ref="A32:G32"/>
    <mergeCell ref="A33:G33"/>
    <mergeCell ref="D39:E39"/>
    <mergeCell ref="C41:D41"/>
    <mergeCell ref="C42:D42"/>
    <mergeCell ref="B50:E50"/>
    <mergeCell ref="A51:B51"/>
    <mergeCell ref="D51:F51"/>
    <mergeCell ref="A52:B52"/>
    <mergeCell ref="D52:F52"/>
  </mergeCells>
  <pageMargins left="0.7" right="0.7" top="0.75" bottom="0.75" header="0.3" footer="0.3"/>
  <pageSetup paperSize="5" scale="9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D1:Z59"/>
  <sheetViews>
    <sheetView zoomScaleNormal="100" workbookViewId="0">
      <selection activeCell="G14" sqref="G14"/>
    </sheetView>
  </sheetViews>
  <sheetFormatPr defaultRowHeight="15" x14ac:dyDescent="0.25"/>
  <cols>
    <col min="5" max="5" width="25" customWidth="1"/>
    <col min="6" max="6" width="32.85546875" customWidth="1"/>
    <col min="7" max="7" width="22.42578125" customWidth="1"/>
    <col min="8" max="8" width="19.85546875" customWidth="1"/>
    <col min="9" max="9" width="17.85546875" customWidth="1"/>
    <col min="10" max="10" width="16.140625" customWidth="1"/>
    <col min="11" max="11" width="26.140625" customWidth="1"/>
    <col min="12" max="12" width="18.5703125" customWidth="1"/>
    <col min="13" max="13" width="16.42578125" customWidth="1"/>
    <col min="14" max="14" width="20.7109375" customWidth="1"/>
    <col min="15" max="15" width="17.85546875" customWidth="1"/>
    <col min="16" max="16" width="17" customWidth="1"/>
    <col min="17" max="17" width="16.28515625" customWidth="1"/>
    <col min="18" max="18" width="17.7109375" customWidth="1"/>
    <col min="19" max="19" width="21.28515625" customWidth="1"/>
    <col min="20" max="20" width="13.42578125" customWidth="1"/>
    <col min="21" max="21" width="15.28515625" customWidth="1"/>
    <col min="22" max="22" width="16.7109375" customWidth="1"/>
    <col min="23" max="23" width="29.5703125" customWidth="1"/>
    <col min="24" max="24" width="18.140625" customWidth="1"/>
    <col min="25" max="25" width="17.85546875" customWidth="1"/>
    <col min="26" max="26" width="20.42578125" customWidth="1"/>
  </cols>
  <sheetData>
    <row r="1" spans="4:26" x14ac:dyDescent="0.25">
      <c r="G1" t="s">
        <v>3338</v>
      </c>
    </row>
    <row r="2" spans="4:26" x14ac:dyDescent="0.25">
      <c r="G2" s="68">
        <v>2000000000</v>
      </c>
      <c r="K2" s="23">
        <f>K4+2570000</f>
        <v>32992000</v>
      </c>
      <c r="L2" s="23">
        <f>L4-200000000</f>
        <v>224024020</v>
      </c>
      <c r="N2" s="23">
        <f>L4+M4</f>
        <v>507784020</v>
      </c>
      <c r="O2" s="139"/>
    </row>
    <row r="3" spans="4:26" ht="30" x14ac:dyDescent="0.25">
      <c r="E3" s="105" t="s">
        <v>1410</v>
      </c>
      <c r="F3" s="105" t="s">
        <v>1220</v>
      </c>
      <c r="G3" s="105" t="s">
        <v>1506</v>
      </c>
      <c r="H3" s="105" t="s">
        <v>2177</v>
      </c>
      <c r="I3" s="105" t="s">
        <v>1365</v>
      </c>
      <c r="J3" s="1150" t="s">
        <v>3294</v>
      </c>
      <c r="K3" s="105" t="s">
        <v>3295</v>
      </c>
      <c r="L3" s="105" t="s">
        <v>1223</v>
      </c>
      <c r="M3" s="105" t="s">
        <v>2178</v>
      </c>
      <c r="N3" s="105" t="s">
        <v>2179</v>
      </c>
      <c r="O3" s="105" t="s">
        <v>1777</v>
      </c>
      <c r="P3" s="105" t="s">
        <v>1775</v>
      </c>
      <c r="Q3" s="105" t="s">
        <v>2253</v>
      </c>
      <c r="R3" s="105" t="s">
        <v>3296</v>
      </c>
      <c r="S3" s="1150" t="s">
        <v>3297</v>
      </c>
      <c r="T3" s="1150" t="s">
        <v>3298</v>
      </c>
      <c r="U3" s="105" t="s">
        <v>3299</v>
      </c>
      <c r="V3" s="105" t="s">
        <v>3300</v>
      </c>
      <c r="W3" s="105" t="s">
        <v>26</v>
      </c>
      <c r="X3" s="105" t="s">
        <v>3352</v>
      </c>
      <c r="Y3" s="105" t="s">
        <v>3312</v>
      </c>
      <c r="Z3" s="105" t="s">
        <v>3398</v>
      </c>
    </row>
    <row r="4" spans="4:26" s="32" customFormat="1" x14ac:dyDescent="0.25">
      <c r="E4" s="1607">
        <v>373456000</v>
      </c>
      <c r="F4" s="1607">
        <v>2274189797</v>
      </c>
      <c r="G4" s="1607">
        <v>4781071935</v>
      </c>
      <c r="H4" s="1607">
        <v>42836246</v>
      </c>
      <c r="I4" s="1607">
        <v>2450000000</v>
      </c>
      <c r="J4" s="1607">
        <v>74400000</v>
      </c>
      <c r="K4" s="1607">
        <v>30422000</v>
      </c>
      <c r="L4" s="1607">
        <v>424024020</v>
      </c>
      <c r="M4" s="1607">
        <v>83760000</v>
      </c>
      <c r="N4" s="1607">
        <v>262520787.09</v>
      </c>
      <c r="O4" s="1607">
        <v>785001843</v>
      </c>
      <c r="P4" s="1607">
        <v>633957954.83000004</v>
      </c>
      <c r="Q4" s="1607">
        <v>31565132.18</v>
      </c>
      <c r="R4" s="1607">
        <v>335764515.19999999</v>
      </c>
      <c r="S4" s="1607">
        <v>30502584.66</v>
      </c>
      <c r="T4" s="1607">
        <v>120000</v>
      </c>
      <c r="U4" s="1607">
        <v>21250000</v>
      </c>
      <c r="V4" s="1607">
        <v>45000000</v>
      </c>
      <c r="W4" s="1608">
        <f>SUM(E4:V4)</f>
        <v>12679842814.960001</v>
      </c>
      <c r="Z4" s="1608">
        <f>SUM(N4:U4)</f>
        <v>2100682816.9600003</v>
      </c>
    </row>
    <row r="5" spans="4:26" x14ac:dyDescent="0.25">
      <c r="E5" s="68"/>
      <c r="F5" s="68"/>
      <c r="G5" s="68">
        <f>G4+G2</f>
        <v>6781071935</v>
      </c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139"/>
      <c r="Z5" s="68">
        <v>46600000</v>
      </c>
    </row>
    <row r="6" spans="4:26" x14ac:dyDescent="0.25">
      <c r="E6" s="139"/>
      <c r="W6" s="139">
        <f t="shared" ref="W6:W12" si="0">SUM(E6:V6)</f>
        <v>0</v>
      </c>
      <c r="Z6" s="23">
        <f>Z5+Z4</f>
        <v>2147282816.9600003</v>
      </c>
    </row>
    <row r="7" spans="4:26" x14ac:dyDescent="0.25">
      <c r="W7" s="139">
        <f t="shared" si="0"/>
        <v>0</v>
      </c>
    </row>
    <row r="8" spans="4:26" x14ac:dyDescent="0.25">
      <c r="D8" t="s">
        <v>1708</v>
      </c>
      <c r="E8" s="68">
        <f>'BID 1 b'!I2</f>
        <v>0</v>
      </c>
      <c r="F8" s="68">
        <f>'BID 1 b'!J2</f>
        <v>1385765982</v>
      </c>
      <c r="G8" s="68">
        <f>'BID 1 b'!K2</f>
        <v>5346651835</v>
      </c>
      <c r="H8" s="68">
        <f>'BID 1 b'!L2</f>
        <v>8685000</v>
      </c>
      <c r="I8" s="68">
        <f>'BID 1 b'!M2</f>
        <v>0</v>
      </c>
      <c r="J8" s="68">
        <f>'BID 1 b'!N2</f>
        <v>74400000</v>
      </c>
      <c r="K8" s="68">
        <f>'BID 1 b'!O2</f>
        <v>18535000</v>
      </c>
      <c r="L8" s="68">
        <f>'BID 1 b'!P2</f>
        <v>176024020</v>
      </c>
      <c r="M8" s="68">
        <f>'BID 1 b'!Q2</f>
        <v>0</v>
      </c>
      <c r="N8" s="68">
        <f>'BID 1 b'!R2</f>
        <v>0</v>
      </c>
      <c r="O8" s="68">
        <f>'BID 1 b'!S2</f>
        <v>0</v>
      </c>
      <c r="P8" s="68">
        <f>'BID 1 b'!T2</f>
        <v>19115750</v>
      </c>
      <c r="Q8" s="68">
        <f>'BID 1 b'!U2</f>
        <v>0</v>
      </c>
      <c r="R8" s="68">
        <f>'BID 1 b'!V2</f>
        <v>0</v>
      </c>
      <c r="S8" s="68">
        <f>'BID 1 b'!W2</f>
        <v>0</v>
      </c>
      <c r="T8" s="68">
        <f>'BID 1 b'!X2</f>
        <v>0</v>
      </c>
      <c r="U8" s="68">
        <f>'BID 1 b'!Y2</f>
        <v>21250000</v>
      </c>
      <c r="V8" s="68">
        <f>'BID 1 b'!Z2</f>
        <v>0</v>
      </c>
      <c r="W8" s="139">
        <f t="shared" si="0"/>
        <v>7050427587</v>
      </c>
      <c r="X8" s="1478">
        <f>'BID 1 b'!F1569</f>
        <v>7050427587</v>
      </c>
      <c r="Y8" s="139">
        <f>W8-X8</f>
        <v>0</v>
      </c>
    </row>
    <row r="9" spans="4:26" x14ac:dyDescent="0.25">
      <c r="D9" t="s">
        <v>1709</v>
      </c>
      <c r="E9" s="68">
        <f>'Bid 2b'!J2</f>
        <v>296590000</v>
      </c>
      <c r="F9" s="68">
        <f>'Bid 2b'!K2</f>
        <v>608911320</v>
      </c>
      <c r="G9" s="68">
        <f>'Bid 2b'!L2</f>
        <v>1203445100</v>
      </c>
      <c r="H9" s="68">
        <f>'Bid 2b'!M2</f>
        <v>20011246</v>
      </c>
      <c r="I9" s="68">
        <f>'Bid 2b'!N2</f>
        <v>0</v>
      </c>
      <c r="J9" s="68">
        <f>'Bid 2b'!O2</f>
        <v>0</v>
      </c>
      <c r="K9" s="68">
        <f>'Bid 2b'!P2</f>
        <v>11887000</v>
      </c>
      <c r="L9" s="68">
        <f>'Bid 2b'!Q2</f>
        <v>214145000</v>
      </c>
      <c r="M9" s="68">
        <f>'Bid 2b'!R2</f>
        <v>83760000</v>
      </c>
      <c r="N9" s="68">
        <f>'Bid 2b'!S2</f>
        <v>61418200</v>
      </c>
      <c r="O9" s="68">
        <f>'Bid 2b'!T2</f>
        <v>432184843</v>
      </c>
      <c r="P9" s="68">
        <f>'Bid 2b'!U2</f>
        <v>22261000</v>
      </c>
      <c r="Q9" s="68">
        <f>'Bid 2b'!V2</f>
        <v>21845000</v>
      </c>
      <c r="R9" s="68">
        <f>'Bid 2b'!W2</f>
        <v>335764515.19999999</v>
      </c>
      <c r="S9" s="68">
        <f>'Bid 2b'!X2</f>
        <v>0</v>
      </c>
      <c r="T9" s="68">
        <f>'Bid 2b'!Y2</f>
        <v>0</v>
      </c>
      <c r="U9" s="68">
        <f>'Bid 2b'!Z2</f>
        <v>0</v>
      </c>
      <c r="V9" s="68">
        <f>'Bid 2b'!AA2</f>
        <v>0</v>
      </c>
      <c r="W9" s="139">
        <f>SUM(E9:V9)</f>
        <v>3312223224.1999998</v>
      </c>
      <c r="X9" s="1478">
        <f>'Bid 2b'!F2623</f>
        <v>3312223224.1999998</v>
      </c>
      <c r="Y9" s="139">
        <f>W9-X9</f>
        <v>0</v>
      </c>
    </row>
    <row r="10" spans="4:26" x14ac:dyDescent="0.25">
      <c r="D10" t="s">
        <v>3309</v>
      </c>
      <c r="E10" s="68">
        <f>'Bid 3b'!J2</f>
        <v>0</v>
      </c>
      <c r="F10" s="68">
        <f>'Bid 3b'!K2</f>
        <v>92986000</v>
      </c>
      <c r="G10" s="68">
        <f>'Bid 3b'!L2</f>
        <v>229595000</v>
      </c>
      <c r="H10" s="68">
        <f>'Bid 3b'!M2</f>
        <v>14140000</v>
      </c>
      <c r="I10" s="68">
        <f>'Bid 3b'!N2</f>
        <v>2450000000</v>
      </c>
      <c r="J10" s="68">
        <f>'Bid 3b'!O2</f>
        <v>0</v>
      </c>
      <c r="K10" s="1860">
        <f>'Bid 3b'!P2</f>
        <v>0</v>
      </c>
      <c r="L10" s="68">
        <f>'Bid 3b'!Q2</f>
        <v>20000000</v>
      </c>
      <c r="M10" s="68">
        <f>'Bid 3b'!R2</f>
        <v>0</v>
      </c>
      <c r="N10" s="68">
        <f>'Bid 3b'!S2</f>
        <v>0</v>
      </c>
      <c r="O10" s="68">
        <f>'Bid 3b'!T2</f>
        <v>296597000</v>
      </c>
      <c r="P10" s="68">
        <f>'Bid 3b'!U2</f>
        <v>590626000</v>
      </c>
      <c r="Q10" s="68">
        <f>'Bid 3b'!V2</f>
        <v>9720132.1799999997</v>
      </c>
      <c r="R10" s="68">
        <f>'Bid 3b'!W2</f>
        <v>0</v>
      </c>
      <c r="S10" s="68">
        <f>'Bid 3b'!X2</f>
        <v>28682584.66</v>
      </c>
      <c r="T10" s="68">
        <f>'Bid 3b'!Y2</f>
        <v>120000</v>
      </c>
      <c r="U10" s="68">
        <f>'Bid 3b'!Z2</f>
        <v>0</v>
      </c>
      <c r="V10" s="68">
        <f>'Bid 3b'!AA2</f>
        <v>45000000</v>
      </c>
      <c r="W10" s="139">
        <f>SUM(E10:V10)</f>
        <v>3777466716.8399997</v>
      </c>
      <c r="X10" s="1478">
        <f>'Bid 3b'!F1205</f>
        <v>3777466716.8399997</v>
      </c>
      <c r="Y10" s="139">
        <f t="shared" ref="Y10:Y13" si="1">W10-X10</f>
        <v>0</v>
      </c>
    </row>
    <row r="11" spans="4:26" x14ac:dyDescent="0.25">
      <c r="D11" t="s">
        <v>3310</v>
      </c>
      <c r="E11" s="68">
        <f>'BID 4 b'!J2</f>
        <v>75742000</v>
      </c>
      <c r="F11" s="68">
        <f>'BID 4 b'!K2</f>
        <v>186526495</v>
      </c>
      <c r="G11" s="68">
        <f>'BID 4 b'!L2</f>
        <v>1380000</v>
      </c>
      <c r="H11" s="68">
        <f>'BID 4 b'!M2</f>
        <v>0</v>
      </c>
      <c r="I11" s="68">
        <f>'BID 4 b'!N2</f>
        <v>0</v>
      </c>
      <c r="J11" s="68">
        <f>'BID 4 b'!O2</f>
        <v>0</v>
      </c>
      <c r="K11" s="68">
        <f>'BID 4 b'!P2</f>
        <v>0</v>
      </c>
      <c r="L11" s="68">
        <f>'BID 4 b'!Q2</f>
        <v>13855000</v>
      </c>
      <c r="M11" s="68">
        <f>'BID 4 b'!R2</f>
        <v>0</v>
      </c>
      <c r="N11" s="68">
        <f>'BID 4 b'!S2</f>
        <v>175300000</v>
      </c>
      <c r="O11" s="68">
        <f>'BID 4 b'!T2</f>
        <v>56220000</v>
      </c>
      <c r="P11" s="68">
        <f>'BID 4 b'!U2</f>
        <v>1955204.83</v>
      </c>
      <c r="Q11" s="68">
        <f>'BID 4 b'!V2</f>
        <v>0</v>
      </c>
      <c r="R11" s="68">
        <f>'BID 4 b'!W2</f>
        <v>0</v>
      </c>
      <c r="S11" s="68">
        <f>'BID 4 b'!X2</f>
        <v>1820000</v>
      </c>
      <c r="T11" s="68">
        <f>'BID 4 b'!Y2</f>
        <v>0</v>
      </c>
      <c r="U11" s="68">
        <f>'BID 4 b'!Z2</f>
        <v>0</v>
      </c>
      <c r="V11" s="68">
        <f>'BID 4 b'!AA2</f>
        <v>0</v>
      </c>
      <c r="W11" s="139">
        <f t="shared" si="0"/>
        <v>512798699.82999998</v>
      </c>
      <c r="X11" s="1478">
        <f>'BID 4 b'!F1397</f>
        <v>512798699.82999998</v>
      </c>
      <c r="Y11" s="139">
        <f t="shared" si="1"/>
        <v>0</v>
      </c>
    </row>
    <row r="12" spans="4:26" x14ac:dyDescent="0.25">
      <c r="D12" t="s">
        <v>3311</v>
      </c>
      <c r="E12" s="23">
        <f>'Bid 5b'!J5</f>
        <v>1124000</v>
      </c>
      <c r="F12" s="139">
        <f>'Bid 5b'!K5</f>
        <v>0</v>
      </c>
      <c r="G12" s="23">
        <f>'Bid 5b'!L5</f>
        <v>0</v>
      </c>
      <c r="H12" s="23">
        <f>'Bid 5b'!M5</f>
        <v>0</v>
      </c>
      <c r="I12" s="23">
        <f>'Bid 5b'!N5</f>
        <v>0</v>
      </c>
      <c r="J12" s="23">
        <f>'Bid 5b'!O5</f>
        <v>0</v>
      </c>
      <c r="K12" s="23">
        <f>'Bid 5b'!P5</f>
        <v>0</v>
      </c>
      <c r="L12" s="23">
        <f>'Bid 5b'!Q5</f>
        <v>0</v>
      </c>
      <c r="M12" s="23">
        <f>'Bid 5b'!R5</f>
        <v>0</v>
      </c>
      <c r="N12" s="23">
        <f>'Bid 5b'!S5</f>
        <v>25802587.09</v>
      </c>
      <c r="O12" s="23">
        <f>'Bid 5b'!T5</f>
        <v>0</v>
      </c>
      <c r="P12" s="23">
        <f>'Bid 5b'!U5</f>
        <v>0</v>
      </c>
      <c r="Q12" s="23">
        <f>'Bid 5b'!V5</f>
        <v>0</v>
      </c>
      <c r="R12" s="23">
        <f>'Bid 5b'!W5</f>
        <v>0</v>
      </c>
      <c r="S12" s="23">
        <f>'Bid 5b'!X5</f>
        <v>0</v>
      </c>
      <c r="T12" s="23">
        <f>'Bid 5b'!Y5</f>
        <v>0</v>
      </c>
      <c r="U12" s="23">
        <f>'Bid 5b'!Z5</f>
        <v>0</v>
      </c>
      <c r="V12" s="23">
        <f>'Bid 5b'!AA5</f>
        <v>0</v>
      </c>
      <c r="W12" s="139">
        <f t="shared" si="0"/>
        <v>26926587.09</v>
      </c>
      <c r="X12" s="139">
        <f>'Bid 5b'!E59</f>
        <v>26926587.09</v>
      </c>
      <c r="Y12" s="139">
        <f t="shared" si="1"/>
        <v>0</v>
      </c>
    </row>
    <row r="13" spans="4:26" x14ac:dyDescent="0.25">
      <c r="D13" t="s">
        <v>26</v>
      </c>
      <c r="E13" s="139">
        <f>SUM(E8:E12)</f>
        <v>373456000</v>
      </c>
      <c r="F13" s="139">
        <f>SUM(F8:F12)</f>
        <v>2274189797</v>
      </c>
      <c r="G13" s="139">
        <f t="shared" ref="G13:V13" si="2">SUM(G8:G12)</f>
        <v>6781071935</v>
      </c>
      <c r="H13" s="139">
        <f t="shared" si="2"/>
        <v>42836246</v>
      </c>
      <c r="I13" s="139">
        <f t="shared" si="2"/>
        <v>2450000000</v>
      </c>
      <c r="J13" s="139">
        <f t="shared" si="2"/>
        <v>74400000</v>
      </c>
      <c r="K13" s="139">
        <f t="shared" si="2"/>
        <v>30422000</v>
      </c>
      <c r="L13" s="139">
        <f t="shared" si="2"/>
        <v>424024020</v>
      </c>
      <c r="M13" s="139">
        <f t="shared" si="2"/>
        <v>83760000</v>
      </c>
      <c r="N13" s="139">
        <f t="shared" si="2"/>
        <v>262520787.09</v>
      </c>
      <c r="O13" s="139">
        <f t="shared" si="2"/>
        <v>785001843</v>
      </c>
      <c r="P13" s="139">
        <f t="shared" si="2"/>
        <v>633957954.83000004</v>
      </c>
      <c r="Q13" s="139">
        <f t="shared" si="2"/>
        <v>31565132.18</v>
      </c>
      <c r="R13" s="139">
        <f t="shared" si="2"/>
        <v>335764515.19999999</v>
      </c>
      <c r="S13" s="139">
        <f t="shared" si="2"/>
        <v>30502584.66</v>
      </c>
      <c r="T13" s="139">
        <f t="shared" si="2"/>
        <v>120000</v>
      </c>
      <c r="U13" s="139">
        <f t="shared" si="2"/>
        <v>21250000</v>
      </c>
      <c r="V13" s="139">
        <f t="shared" si="2"/>
        <v>45000000</v>
      </c>
      <c r="W13" s="139">
        <f>SUM(E13:V13)</f>
        <v>14679842814.960001</v>
      </c>
      <c r="X13" s="1480">
        <f>SUM(X8:X12)</f>
        <v>14679842814.960001</v>
      </c>
      <c r="Y13" s="139">
        <f t="shared" si="1"/>
        <v>0</v>
      </c>
    </row>
    <row r="14" spans="4:26" s="1605" customFormat="1" x14ac:dyDescent="0.25">
      <c r="D14" s="1605" t="s">
        <v>3312</v>
      </c>
      <c r="E14" s="1762">
        <f t="shared" ref="E14:V14" si="3">E4-E13</f>
        <v>0</v>
      </c>
      <c r="F14" s="1606">
        <f>F4-F13</f>
        <v>0</v>
      </c>
      <c r="G14" s="1606">
        <f>G5-G13</f>
        <v>0</v>
      </c>
      <c r="H14" s="1762">
        <f t="shared" si="3"/>
        <v>0</v>
      </c>
      <c r="I14" s="1761">
        <f t="shared" si="3"/>
        <v>0</v>
      </c>
      <c r="J14" s="1761">
        <f t="shared" si="3"/>
        <v>0</v>
      </c>
      <c r="K14" s="1606">
        <f t="shared" si="3"/>
        <v>0</v>
      </c>
      <c r="L14" s="1761">
        <f t="shared" si="3"/>
        <v>0</v>
      </c>
      <c r="M14" s="1761">
        <f t="shared" si="3"/>
        <v>0</v>
      </c>
      <c r="N14" s="1606">
        <f t="shared" si="3"/>
        <v>0</v>
      </c>
      <c r="O14" s="1606">
        <f t="shared" si="3"/>
        <v>0</v>
      </c>
      <c r="P14" s="1761">
        <f t="shared" si="3"/>
        <v>0</v>
      </c>
      <c r="Q14" s="1761">
        <f t="shared" si="3"/>
        <v>0</v>
      </c>
      <c r="R14" s="1761">
        <f t="shared" si="3"/>
        <v>0</v>
      </c>
      <c r="S14" s="1606">
        <f>S4-S13</f>
        <v>0</v>
      </c>
      <c r="T14" s="1761">
        <f t="shared" si="3"/>
        <v>0</v>
      </c>
      <c r="U14" s="1761">
        <f t="shared" si="3"/>
        <v>0</v>
      </c>
      <c r="V14" s="1761">
        <f t="shared" si="3"/>
        <v>0</v>
      </c>
      <c r="W14" s="1606">
        <f>SUM(E14:U14)</f>
        <v>0</v>
      </c>
    </row>
    <row r="15" spans="4:26" x14ac:dyDescent="0.25">
      <c r="K15" s="1610">
        <f t="shared" ref="K15:R15" si="4">K4-K14</f>
        <v>30422000</v>
      </c>
      <c r="L15" s="1610">
        <f t="shared" si="4"/>
        <v>424024020</v>
      </c>
      <c r="M15" s="1610">
        <f>M4-M14</f>
        <v>83760000</v>
      </c>
      <c r="N15" s="1610">
        <f t="shared" si="4"/>
        <v>262520787.09</v>
      </c>
      <c r="O15" s="1610"/>
      <c r="P15" s="1610">
        <f t="shared" si="4"/>
        <v>633957954.83000004</v>
      </c>
      <c r="Q15" s="1610">
        <f t="shared" si="4"/>
        <v>31565132.18</v>
      </c>
      <c r="R15" s="1610">
        <f t="shared" si="4"/>
        <v>335764515.19999999</v>
      </c>
      <c r="S15" s="23"/>
      <c r="W15" s="23"/>
    </row>
    <row r="16" spans="4:26" x14ac:dyDescent="0.25">
      <c r="F16" s="23">
        <f>'BID 1 b'!E842+' Hitungan 2026'!F14</f>
        <v>22775167</v>
      </c>
      <c r="G16" s="23">
        <f>G14+'BID 1 b'!E830</f>
        <v>33228833</v>
      </c>
      <c r="O16" s="23">
        <f>O14+'Bid 2b'!F1007</f>
        <v>1865943</v>
      </c>
      <c r="P16" s="23"/>
      <c r="U16" s="23">
        <f>U14/2</f>
        <v>0</v>
      </c>
    </row>
    <row r="17" spans="4:23" x14ac:dyDescent="0.25">
      <c r="F17" s="23">
        <f>F14/2</f>
        <v>0</v>
      </c>
      <c r="G17" s="23"/>
      <c r="O17" s="23"/>
    </row>
    <row r="18" spans="4:23" x14ac:dyDescent="0.25">
      <c r="F18" s="68">
        <f>'Bid 2b'!E2280-' Hitungan 2026'!F17</f>
        <v>353500</v>
      </c>
      <c r="G18" s="23"/>
      <c r="H18" s="1760">
        <v>0</v>
      </c>
      <c r="M18" s="23">
        <f>M14+L14</f>
        <v>0</v>
      </c>
      <c r="S18" s="23"/>
      <c r="W18" s="23">
        <f>SUM(N14:V14)</f>
        <v>0</v>
      </c>
    </row>
    <row r="19" spans="4:23" x14ac:dyDescent="0.25">
      <c r="G19" s="23"/>
      <c r="H19" s="1760">
        <v>0</v>
      </c>
      <c r="W19" s="23"/>
    </row>
    <row r="20" spans="4:23" x14ac:dyDescent="0.25">
      <c r="G20" s="68"/>
      <c r="H20" s="1760">
        <f>H19+H18</f>
        <v>0</v>
      </c>
      <c r="W20" s="23"/>
    </row>
    <row r="21" spans="4:23" x14ac:dyDescent="0.25">
      <c r="G21" s="23"/>
      <c r="W21" s="139"/>
    </row>
    <row r="22" spans="4:23" x14ac:dyDescent="0.25">
      <c r="D22" t="s">
        <v>3306</v>
      </c>
      <c r="E22" s="23">
        <f>E4*3%</f>
        <v>11203680</v>
      </c>
      <c r="G22" s="23"/>
    </row>
    <row r="24" spans="4:23" x14ac:dyDescent="0.25">
      <c r="G24" s="68">
        <v>1000000000</v>
      </c>
    </row>
    <row r="25" spans="4:23" x14ac:dyDescent="0.25">
      <c r="G25" s="23">
        <f>G24*64%</f>
        <v>640000000</v>
      </c>
    </row>
    <row r="26" spans="4:23" x14ac:dyDescent="0.25">
      <c r="G26" s="23">
        <f>G25-G24</f>
        <v>-360000000</v>
      </c>
    </row>
    <row r="27" spans="4:23" x14ac:dyDescent="0.25">
      <c r="D27" s="1"/>
      <c r="E27" s="1" t="s">
        <v>3340</v>
      </c>
      <c r="F27" s="1" t="s">
        <v>3341</v>
      </c>
      <c r="I27" t="s">
        <v>3538</v>
      </c>
    </row>
    <row r="28" spans="4:23" ht="45" x14ac:dyDescent="0.25">
      <c r="D28" s="999">
        <v>0.3</v>
      </c>
      <c r="E28" s="4" t="str">
        <f>'BID 1 b'!B7</f>
        <v>: Penyediaan Penghasilan tetap dan Tunjangan Perbekel</v>
      </c>
      <c r="F28" s="112">
        <f>'BID 1 b'!F20</f>
        <v>180740000</v>
      </c>
      <c r="I28" s="1" t="s">
        <v>3535</v>
      </c>
      <c r="J28" s="1" t="s">
        <v>3536</v>
      </c>
      <c r="K28" s="1" t="s">
        <v>3537</v>
      </c>
      <c r="L28" s="24" t="s">
        <v>771</v>
      </c>
    </row>
    <row r="29" spans="4:23" ht="45" x14ac:dyDescent="0.25">
      <c r="D29" s="1"/>
      <c r="E29" s="4" t="str">
        <f>'BID 1 b'!B36</f>
        <v>: Penyediaan Penghasilan tetap dan Tunjangan Perangkat Desa</v>
      </c>
      <c r="F29" s="112">
        <f>'BID 1 b'!F63</f>
        <v>1049635167</v>
      </c>
      <c r="I29" s="1">
        <v>60</v>
      </c>
      <c r="J29" s="73">
        <f>100000*12*60</f>
        <v>72000000</v>
      </c>
      <c r="K29" s="73">
        <f>I29*300000</f>
        <v>18000000</v>
      </c>
      <c r="L29" s="117">
        <f>J29+K29</f>
        <v>90000000</v>
      </c>
    </row>
    <row r="30" spans="4:23" ht="60" x14ac:dyDescent="0.25">
      <c r="D30" s="1"/>
      <c r="E30" s="4" t="str">
        <f>'BID 1 b'!B79</f>
        <v>Penyediaan Jaminan Kesehatan dan Ketenaga Kerjaan Bagi Perbekel dan Perangkat Desa</v>
      </c>
      <c r="F30" s="73">
        <f>'Bid 2b'!F2489</f>
        <v>379000000</v>
      </c>
      <c r="I30" s="1609"/>
      <c r="J30" s="1609"/>
      <c r="K30" s="1609"/>
    </row>
    <row r="31" spans="4:23" ht="30" x14ac:dyDescent="0.25">
      <c r="D31" s="1"/>
      <c r="E31" s="4" t="str">
        <f>'BID 1 b'!B348</f>
        <v>: Penyediaan tunjangan BPD</v>
      </c>
      <c r="F31" s="73">
        <f>'BID 1 b'!F374</f>
        <v>457800000</v>
      </c>
    </row>
    <row r="32" spans="4:23" ht="30" x14ac:dyDescent="0.25">
      <c r="D32" s="1"/>
      <c r="E32" s="4" t="str">
        <f>'BID 1 b'!B391</f>
        <v>: Penyediaan Operasional BPD</v>
      </c>
      <c r="F32" s="22">
        <f>'BID 1 b'!F418</f>
        <v>32282000</v>
      </c>
    </row>
    <row r="33" spans="4:6" ht="30" x14ac:dyDescent="0.25">
      <c r="D33" s="1"/>
      <c r="E33" s="4" t="str">
        <f>'BID 1 b'!B470</f>
        <v>: Penyediaan Operasional BPD (Rapat FKAKD)</v>
      </c>
      <c r="F33" s="22">
        <f>'BID 1 b'!F492</f>
        <v>8685000</v>
      </c>
    </row>
    <row r="34" spans="4:6" ht="45" x14ac:dyDescent="0.25">
      <c r="D34" s="1"/>
      <c r="E34" s="4" t="str">
        <f>'BID 1 b'!B583</f>
        <v>Penyedian Jaminan Keshatan dan ketenagakerjaan BPD</v>
      </c>
      <c r="F34" s="22">
        <f>'BID 1 b'!F601</f>
        <v>40757410.799999997</v>
      </c>
    </row>
    <row r="35" spans="4:6" x14ac:dyDescent="0.25">
      <c r="D35" s="1"/>
      <c r="E35" s="1" t="s">
        <v>26</v>
      </c>
      <c r="F35" s="112">
        <f>SUM(F28:F34)</f>
        <v>2148899577.8000002</v>
      </c>
    </row>
    <row r="36" spans="4:6" x14ac:dyDescent="0.25">
      <c r="D36" s="1"/>
      <c r="E36" s="1" t="s">
        <v>3342</v>
      </c>
      <c r="F36" s="22">
        <f>E4+F4+G4+H4+K4+L4+M4+N4+O4+P4+Q4+R4+S4+U4</f>
        <v>10110322814.960001</v>
      </c>
    </row>
    <row r="37" spans="4:6" x14ac:dyDescent="0.25">
      <c r="D37" s="1"/>
      <c r="E37" s="999">
        <v>0.3</v>
      </c>
      <c r="F37" s="22">
        <f>F36*E37</f>
        <v>3033096844.4880004</v>
      </c>
    </row>
    <row r="38" spans="4:6" x14ac:dyDescent="0.25">
      <c r="D38" s="1"/>
      <c r="E38" s="1" t="s">
        <v>3312</v>
      </c>
      <c r="F38" s="22">
        <f>F37-F35</f>
        <v>884197266.6880002</v>
      </c>
    </row>
    <row r="56" spans="5:6" x14ac:dyDescent="0.25">
      <c r="E56" s="68"/>
    </row>
    <row r="57" spans="5:6" x14ac:dyDescent="0.25">
      <c r="E57" s="68"/>
    </row>
    <row r="58" spans="5:6" x14ac:dyDescent="0.25">
      <c r="E58" s="68"/>
      <c r="F58" s="68"/>
    </row>
    <row r="59" spans="5:6" x14ac:dyDescent="0.25">
      <c r="E59" s="68"/>
      <c r="F59" s="2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F4829-F431-41A9-82D1-C22C9E58C86D}">
  <dimension ref="A1:N1664"/>
  <sheetViews>
    <sheetView topLeftCell="A711" zoomScale="130" zoomScaleNormal="130" workbookViewId="0">
      <selection activeCell="K1035" sqref="K1035"/>
    </sheetView>
  </sheetViews>
  <sheetFormatPr defaultRowHeight="15" x14ac:dyDescent="0.25"/>
  <cols>
    <col min="1" max="3" width="3.28515625" customWidth="1"/>
    <col min="4" max="4" width="2.5703125" customWidth="1"/>
    <col min="5" max="7" width="3.28515625" customWidth="1"/>
    <col min="8" max="8" width="24.28515625" customWidth="1"/>
    <col min="9" max="9" width="6.85546875" customWidth="1"/>
    <col min="10" max="10" width="7.28515625" customWidth="1"/>
    <col min="11" max="11" width="18.5703125" style="68" customWidth="1"/>
    <col min="12" max="12" width="7" customWidth="1"/>
    <col min="13" max="13" width="31.28515625" style="68" customWidth="1"/>
    <col min="14" max="14" width="18.7109375" customWidth="1"/>
  </cols>
  <sheetData>
    <row r="1" spans="1:12" x14ac:dyDescent="0.25">
      <c r="F1" s="5"/>
      <c r="I1" s="68"/>
      <c r="J1" s="5"/>
      <c r="L1" s="5"/>
    </row>
    <row r="2" spans="1:12" x14ac:dyDescent="0.25">
      <c r="A2" s="2213"/>
      <c r="B2" s="2213"/>
      <c r="C2" s="2213"/>
      <c r="D2" s="2213"/>
      <c r="E2" s="2213"/>
      <c r="F2" s="2213"/>
      <c r="G2" s="2213"/>
      <c r="H2" s="2213"/>
      <c r="I2" s="2213"/>
      <c r="J2" s="2213"/>
      <c r="L2" s="5"/>
    </row>
    <row r="3" spans="1:12" x14ac:dyDescent="0.25">
      <c r="I3" s="1484" t="s">
        <v>3353</v>
      </c>
      <c r="J3" s="1485"/>
      <c r="K3" s="1486"/>
      <c r="L3" s="1487"/>
    </row>
    <row r="4" spans="1:12" x14ac:dyDescent="0.25">
      <c r="I4" s="1484" t="s">
        <v>3354</v>
      </c>
      <c r="J4" s="1485"/>
      <c r="K4" s="1486"/>
      <c r="L4" s="1487"/>
    </row>
    <row r="5" spans="1:12" x14ac:dyDescent="0.25">
      <c r="I5" s="1484" t="s">
        <v>3364</v>
      </c>
      <c r="J5" s="1485"/>
      <c r="K5" s="1486"/>
      <c r="L5" s="1487"/>
    </row>
    <row r="6" spans="1:12" x14ac:dyDescent="0.25">
      <c r="I6" s="1484" t="s">
        <v>3355</v>
      </c>
      <c r="J6" s="1485"/>
      <c r="K6" s="1486"/>
      <c r="L6" s="1487"/>
    </row>
    <row r="7" spans="1:12" x14ac:dyDescent="0.25">
      <c r="I7" s="1484" t="s">
        <v>3356</v>
      </c>
      <c r="J7" s="1485"/>
      <c r="K7" s="1486"/>
      <c r="L7" s="1487"/>
    </row>
    <row r="8" spans="1:12" x14ac:dyDescent="0.25">
      <c r="L8" s="5"/>
    </row>
    <row r="9" spans="1:12" x14ac:dyDescent="0.25">
      <c r="L9" s="5"/>
    </row>
    <row r="10" spans="1:12" x14ac:dyDescent="0.25">
      <c r="L10" s="5"/>
    </row>
    <row r="11" spans="1:12" x14ac:dyDescent="0.25">
      <c r="L11" s="5"/>
    </row>
    <row r="12" spans="1:12" x14ac:dyDescent="0.25">
      <c r="A12" s="2213" t="s">
        <v>3357</v>
      </c>
      <c r="B12" s="2213"/>
      <c r="C12" s="2213"/>
      <c r="D12" s="2213"/>
      <c r="E12" s="2213"/>
      <c r="F12" s="2213"/>
      <c r="G12" s="2213"/>
      <c r="H12" s="2213"/>
      <c r="I12" s="2213"/>
      <c r="J12" s="2213"/>
      <c r="K12" s="2213"/>
      <c r="L12" s="2213"/>
    </row>
    <row r="13" spans="1:12" x14ac:dyDescent="0.25">
      <c r="A13" s="2213" t="s">
        <v>3358</v>
      </c>
      <c r="B13" s="2213"/>
      <c r="C13" s="2213"/>
      <c r="D13" s="2213"/>
      <c r="E13" s="2213"/>
      <c r="F13" s="2213"/>
      <c r="G13" s="2213"/>
      <c r="H13" s="2213"/>
      <c r="I13" s="2213"/>
      <c r="J13" s="2213"/>
      <c r="K13" s="2213"/>
      <c r="L13" s="2213"/>
    </row>
    <row r="14" spans="1:12" x14ac:dyDescent="0.25">
      <c r="A14" s="2213" t="s">
        <v>2398</v>
      </c>
      <c r="B14" s="2213"/>
      <c r="C14" s="2213"/>
      <c r="D14" s="2213"/>
      <c r="E14" s="2213"/>
      <c r="F14" s="2213"/>
      <c r="G14" s="2213"/>
      <c r="H14" s="2213"/>
      <c r="I14" s="2213"/>
      <c r="J14" s="2213"/>
      <c r="K14" s="2213"/>
      <c r="L14" s="2213"/>
    </row>
    <row r="15" spans="1:12" x14ac:dyDescent="0.25">
      <c r="L15" s="5"/>
    </row>
    <row r="16" spans="1:12" x14ac:dyDescent="0.25">
      <c r="A16" s="2212" t="s">
        <v>3359</v>
      </c>
      <c r="B16" s="2212"/>
      <c r="C16" s="2212"/>
      <c r="D16" s="2212"/>
      <c r="E16" s="2212"/>
      <c r="F16" s="2212"/>
      <c r="G16" s="2212"/>
      <c r="H16" s="2212" t="s">
        <v>11</v>
      </c>
      <c r="I16" s="2214" t="s">
        <v>3360</v>
      </c>
      <c r="J16" s="2214"/>
      <c r="K16" s="2215" t="s">
        <v>3361</v>
      </c>
      <c r="L16" s="2216" t="s">
        <v>3362</v>
      </c>
    </row>
    <row r="17" spans="1:13" x14ac:dyDescent="0.25">
      <c r="A17" s="2212"/>
      <c r="B17" s="2212"/>
      <c r="C17" s="2212"/>
      <c r="D17" s="2212"/>
      <c r="E17" s="2212"/>
      <c r="F17" s="2212"/>
      <c r="G17" s="2212"/>
      <c r="H17" s="2212"/>
      <c r="I17" s="1488" t="s">
        <v>12</v>
      </c>
      <c r="J17" s="1488" t="s">
        <v>3363</v>
      </c>
      <c r="K17" s="2215"/>
      <c r="L17" s="2216"/>
    </row>
    <row r="18" spans="1:13" x14ac:dyDescent="0.25">
      <c r="A18" s="2212">
        <v>1</v>
      </c>
      <c r="B18" s="2212"/>
      <c r="C18" s="2212"/>
      <c r="D18" s="2212">
        <v>2</v>
      </c>
      <c r="E18" s="2212"/>
      <c r="F18" s="2212"/>
      <c r="G18" s="2212"/>
      <c r="H18" s="25">
        <v>3</v>
      </c>
      <c r="I18" s="25">
        <v>4</v>
      </c>
      <c r="J18" s="25">
        <v>5</v>
      </c>
      <c r="K18" s="1535">
        <v>6</v>
      </c>
      <c r="L18" s="29">
        <v>7</v>
      </c>
    </row>
    <row r="19" spans="1:13" x14ac:dyDescent="0.25">
      <c r="A19" s="25" t="s">
        <v>998</v>
      </c>
      <c r="B19" s="25" t="s">
        <v>999</v>
      </c>
      <c r="C19" s="25" t="s">
        <v>1000</v>
      </c>
      <c r="D19" s="25" t="s">
        <v>998</v>
      </c>
      <c r="E19" s="25" t="s">
        <v>999</v>
      </c>
      <c r="F19" s="25" t="s">
        <v>1000</v>
      </c>
      <c r="G19" s="25" t="s">
        <v>1001</v>
      </c>
      <c r="H19" s="1"/>
      <c r="I19" s="1"/>
      <c r="J19" s="1"/>
      <c r="K19" s="73"/>
      <c r="L19" s="4"/>
    </row>
    <row r="20" spans="1:13" x14ac:dyDescent="0.25">
      <c r="A20" s="1"/>
      <c r="B20" s="1"/>
      <c r="C20" s="1"/>
      <c r="D20" s="4">
        <v>4</v>
      </c>
      <c r="E20" s="4"/>
      <c r="F20" s="4"/>
      <c r="G20" s="4"/>
      <c r="H20" s="4" t="s">
        <v>3365</v>
      </c>
      <c r="I20" s="1"/>
      <c r="J20" s="1"/>
      <c r="K20" s="73"/>
      <c r="L20" s="1"/>
    </row>
    <row r="21" spans="1:13" x14ac:dyDescent="0.25">
      <c r="A21" s="1"/>
      <c r="B21" s="1"/>
      <c r="C21" s="1"/>
      <c r="D21" s="4">
        <v>4</v>
      </c>
      <c r="E21" s="4">
        <v>1</v>
      </c>
      <c r="F21" s="4"/>
      <c r="G21" s="4"/>
      <c r="H21" s="4" t="s">
        <v>1208</v>
      </c>
      <c r="I21" s="1"/>
      <c r="J21" s="1"/>
      <c r="K21" s="73"/>
      <c r="L21" s="1"/>
    </row>
    <row r="22" spans="1:13" x14ac:dyDescent="0.25">
      <c r="A22" s="1"/>
      <c r="B22" s="1"/>
      <c r="C22" s="1"/>
      <c r="D22" s="4">
        <v>4</v>
      </c>
      <c r="E22" s="4">
        <v>1</v>
      </c>
      <c r="F22" s="4">
        <v>1</v>
      </c>
      <c r="G22" s="4" t="s">
        <v>3366</v>
      </c>
      <c r="H22" s="4" t="s">
        <v>3367</v>
      </c>
      <c r="I22" s="1">
        <v>1</v>
      </c>
      <c r="J22" s="1" t="s">
        <v>1550</v>
      </c>
      <c r="K22" s="73">
        <f>' Hitungan 2026'!L4</f>
        <v>424024020</v>
      </c>
      <c r="L22" s="1" t="s">
        <v>1223</v>
      </c>
    </row>
    <row r="23" spans="1:13" ht="30" x14ac:dyDescent="0.25">
      <c r="A23" s="1"/>
      <c r="B23" s="1"/>
      <c r="C23" s="1"/>
      <c r="D23" s="4">
        <v>4</v>
      </c>
      <c r="E23" s="4">
        <v>1</v>
      </c>
      <c r="F23" s="4">
        <v>3</v>
      </c>
      <c r="G23" s="4"/>
      <c r="H23" s="4" t="s">
        <v>3368</v>
      </c>
      <c r="I23" s="1"/>
      <c r="J23" s="1"/>
      <c r="K23" s="73"/>
      <c r="L23" s="1"/>
    </row>
    <row r="24" spans="1:13" ht="45" x14ac:dyDescent="0.25">
      <c r="A24" s="1"/>
      <c r="B24" s="1"/>
      <c r="C24" s="1"/>
      <c r="D24" s="4">
        <v>4</v>
      </c>
      <c r="E24" s="4">
        <v>1</v>
      </c>
      <c r="F24" s="4">
        <v>3</v>
      </c>
      <c r="G24" s="4" t="s">
        <v>3366</v>
      </c>
      <c r="H24" s="4" t="s">
        <v>3369</v>
      </c>
      <c r="I24" s="1">
        <v>1</v>
      </c>
      <c r="J24" s="1" t="s">
        <v>1550</v>
      </c>
      <c r="K24" s="73">
        <f>' Hitungan 2026'!M4</f>
        <v>83760000</v>
      </c>
      <c r="L24" s="4" t="s">
        <v>2178</v>
      </c>
    </row>
    <row r="25" spans="1:13" x14ac:dyDescent="0.25">
      <c r="A25" s="1"/>
      <c r="B25" s="1"/>
      <c r="C25" s="1"/>
      <c r="D25" s="4">
        <v>4</v>
      </c>
      <c r="E25" s="4">
        <v>2</v>
      </c>
      <c r="F25" s="4"/>
      <c r="G25" s="4"/>
      <c r="H25" s="4" t="s">
        <v>3370</v>
      </c>
      <c r="I25" s="1"/>
      <c r="J25" s="1"/>
      <c r="K25" s="73"/>
      <c r="L25" s="1"/>
    </row>
    <row r="26" spans="1:13" x14ac:dyDescent="0.25">
      <c r="A26" s="1"/>
      <c r="B26" s="1"/>
      <c r="C26" s="1"/>
      <c r="D26" s="4">
        <v>4</v>
      </c>
      <c r="E26" s="4">
        <v>2</v>
      </c>
      <c r="F26" s="4">
        <v>1</v>
      </c>
      <c r="G26" s="4"/>
      <c r="H26" s="4" t="s">
        <v>1221</v>
      </c>
      <c r="I26" s="1"/>
      <c r="J26" s="1"/>
      <c r="K26" s="73"/>
      <c r="L26" s="1"/>
    </row>
    <row r="27" spans="1:13" x14ac:dyDescent="0.25">
      <c r="A27" s="1"/>
      <c r="B27" s="1"/>
      <c r="C27" s="1"/>
      <c r="D27" s="4">
        <v>4</v>
      </c>
      <c r="E27" s="4">
        <v>2</v>
      </c>
      <c r="F27" s="4">
        <v>1</v>
      </c>
      <c r="G27" s="4" t="s">
        <v>3366</v>
      </c>
      <c r="H27" s="4" t="s">
        <v>1221</v>
      </c>
      <c r="I27" s="1">
        <v>1</v>
      </c>
      <c r="J27" s="1" t="s">
        <v>1550</v>
      </c>
      <c r="K27" s="73">
        <f>' Hitungan 2026'!E4</f>
        <v>373456000</v>
      </c>
      <c r="L27" s="1" t="s">
        <v>1410</v>
      </c>
    </row>
    <row r="28" spans="1:13" ht="45" x14ac:dyDescent="0.25">
      <c r="A28" s="1"/>
      <c r="B28" s="1"/>
      <c r="C28" s="1"/>
      <c r="D28" s="4">
        <v>4</v>
      </c>
      <c r="E28" s="4">
        <v>2</v>
      </c>
      <c r="F28" s="4">
        <v>2</v>
      </c>
      <c r="G28" s="4"/>
      <c r="H28" s="4" t="s">
        <v>3371</v>
      </c>
      <c r="I28" s="1"/>
      <c r="J28" s="1"/>
      <c r="K28" s="73"/>
      <c r="L28" s="1"/>
    </row>
    <row r="29" spans="1:13" ht="30" x14ac:dyDescent="0.25">
      <c r="A29" s="1"/>
      <c r="B29" s="1"/>
      <c r="C29" s="1"/>
      <c r="D29" s="4">
        <v>4</v>
      </c>
      <c r="E29" s="4">
        <v>2</v>
      </c>
      <c r="F29" s="4">
        <v>2</v>
      </c>
      <c r="G29" s="4" t="s">
        <v>3366</v>
      </c>
      <c r="H29" s="4" t="s">
        <v>3372</v>
      </c>
      <c r="I29" s="1">
        <v>1</v>
      </c>
      <c r="J29" s="1" t="s">
        <v>1550</v>
      </c>
      <c r="K29" s="98">
        <f>' Hitungan 2026'!G4</f>
        <v>4781071935</v>
      </c>
      <c r="L29" s="1" t="s">
        <v>1506</v>
      </c>
      <c r="M29" s="3" t="s">
        <v>3437</v>
      </c>
    </row>
    <row r="30" spans="1:13" ht="30" x14ac:dyDescent="0.25">
      <c r="A30" s="1"/>
      <c r="B30" s="1"/>
      <c r="C30" s="1"/>
      <c r="D30" s="4">
        <v>4</v>
      </c>
      <c r="E30" s="4">
        <v>2</v>
      </c>
      <c r="F30" s="4">
        <v>2</v>
      </c>
      <c r="G30" s="4" t="s">
        <v>3366</v>
      </c>
      <c r="H30" s="4" t="s">
        <v>3373</v>
      </c>
      <c r="I30" s="1">
        <v>1</v>
      </c>
      <c r="J30" s="1" t="s">
        <v>1550</v>
      </c>
      <c r="K30" s="98">
        <f>' Hitungan 2026'!H4</f>
        <v>42836246</v>
      </c>
      <c r="L30" s="1" t="s">
        <v>2177</v>
      </c>
      <c r="M30" s="3"/>
    </row>
    <row r="31" spans="1:13" x14ac:dyDescent="0.25">
      <c r="A31" s="1"/>
      <c r="B31" s="1"/>
      <c r="C31" s="1"/>
      <c r="D31" s="4">
        <v>4</v>
      </c>
      <c r="E31" s="4">
        <v>2</v>
      </c>
      <c r="F31" s="4">
        <v>3</v>
      </c>
      <c r="G31" s="4"/>
      <c r="H31" s="4" t="s">
        <v>3374</v>
      </c>
      <c r="I31" s="1"/>
      <c r="J31" s="1"/>
      <c r="K31" s="73"/>
      <c r="L31" s="1"/>
    </row>
    <row r="32" spans="1:13" x14ac:dyDescent="0.25">
      <c r="A32" s="1"/>
      <c r="B32" s="1"/>
      <c r="C32" s="1"/>
      <c r="D32" s="4">
        <v>4</v>
      </c>
      <c r="E32" s="4">
        <v>2</v>
      </c>
      <c r="F32" s="4">
        <v>3</v>
      </c>
      <c r="G32" s="4" t="s">
        <v>3366</v>
      </c>
      <c r="H32" s="4" t="s">
        <v>3374</v>
      </c>
      <c r="I32" s="1">
        <v>1</v>
      </c>
      <c r="J32" s="1" t="s">
        <v>1550</v>
      </c>
      <c r="K32" s="73">
        <f>' Hitungan 2026'!F4</f>
        <v>2274189797</v>
      </c>
      <c r="L32" s="1" t="s">
        <v>1220</v>
      </c>
    </row>
    <row r="33" spans="1:14" ht="30" x14ac:dyDescent="0.25">
      <c r="A33" s="1"/>
      <c r="B33" s="1"/>
      <c r="C33" s="1"/>
      <c r="D33" s="4">
        <v>4</v>
      </c>
      <c r="E33" s="4">
        <v>2</v>
      </c>
      <c r="F33" s="4">
        <v>4</v>
      </c>
      <c r="G33" s="4"/>
      <c r="H33" s="4" t="s">
        <v>3375</v>
      </c>
      <c r="I33" s="1"/>
      <c r="J33" s="1"/>
      <c r="K33" s="73"/>
      <c r="L33" s="1"/>
    </row>
    <row r="34" spans="1:14" ht="45" x14ac:dyDescent="0.25">
      <c r="A34" s="1"/>
      <c r="B34" s="1"/>
      <c r="C34" s="1"/>
      <c r="D34" s="4">
        <v>4</v>
      </c>
      <c r="E34" s="4">
        <v>2</v>
      </c>
      <c r="F34" s="4">
        <v>4</v>
      </c>
      <c r="G34" s="4" t="s">
        <v>3366</v>
      </c>
      <c r="H34" s="4" t="s">
        <v>3376</v>
      </c>
      <c r="I34" s="1">
        <v>1</v>
      </c>
      <c r="J34" s="1" t="s">
        <v>1550</v>
      </c>
      <c r="K34" s="73">
        <f>' Hitungan 2026'!V4+' Hitungan 2026'!J4</f>
        <v>119400000</v>
      </c>
      <c r="L34" s="4" t="s">
        <v>3300</v>
      </c>
    </row>
    <row r="35" spans="1:14" ht="30" x14ac:dyDescent="0.25">
      <c r="A35" s="1"/>
      <c r="B35" s="1"/>
      <c r="C35" s="1"/>
      <c r="D35" s="4">
        <v>4</v>
      </c>
      <c r="E35" s="4">
        <v>2</v>
      </c>
      <c r="F35" s="4">
        <v>5</v>
      </c>
      <c r="G35" s="4"/>
      <c r="H35" s="4" t="s">
        <v>3377</v>
      </c>
      <c r="I35" s="1"/>
      <c r="J35" s="1"/>
      <c r="K35" s="73"/>
      <c r="L35" s="1"/>
    </row>
    <row r="36" spans="1:14" ht="30" x14ac:dyDescent="0.25">
      <c r="A36" s="1"/>
      <c r="B36" s="1"/>
      <c r="C36" s="1"/>
      <c r="D36" s="4">
        <v>4</v>
      </c>
      <c r="E36" s="4">
        <v>2</v>
      </c>
      <c r="F36" s="4">
        <v>5</v>
      </c>
      <c r="G36" s="4" t="s">
        <v>3366</v>
      </c>
      <c r="H36" s="4" t="s">
        <v>3377</v>
      </c>
      <c r="I36" s="1">
        <v>1</v>
      </c>
      <c r="J36" s="1" t="s">
        <v>213</v>
      </c>
      <c r="K36" s="73">
        <f>' Hitungan 2026'!I4</f>
        <v>2450000000</v>
      </c>
      <c r="L36" s="4" t="s">
        <v>1365</v>
      </c>
    </row>
    <row r="37" spans="1:14" x14ac:dyDescent="0.25">
      <c r="A37" s="1"/>
      <c r="B37" s="1"/>
      <c r="C37" s="1"/>
      <c r="D37" s="4">
        <v>4</v>
      </c>
      <c r="E37" s="4">
        <v>3</v>
      </c>
      <c r="F37" s="4"/>
      <c r="G37" s="4"/>
      <c r="H37" s="4" t="s">
        <v>3378</v>
      </c>
      <c r="I37" s="1"/>
      <c r="J37" s="1"/>
      <c r="K37" s="73"/>
      <c r="L37" s="1"/>
    </row>
    <row r="38" spans="1:14" x14ac:dyDescent="0.25">
      <c r="A38" s="1"/>
      <c r="B38" s="1"/>
      <c r="C38" s="1"/>
      <c r="D38" s="4">
        <v>4</v>
      </c>
      <c r="E38" s="4">
        <v>3</v>
      </c>
      <c r="F38" s="4">
        <v>6</v>
      </c>
      <c r="G38" s="4"/>
      <c r="H38" s="4" t="s">
        <v>3295</v>
      </c>
      <c r="I38" s="1"/>
      <c r="J38" s="1"/>
      <c r="K38" s="73"/>
      <c r="L38" s="1"/>
    </row>
    <row r="39" spans="1:14" ht="30" x14ac:dyDescent="0.25">
      <c r="A39" s="1"/>
      <c r="B39" s="1"/>
      <c r="C39" s="1"/>
      <c r="D39" s="4">
        <v>4</v>
      </c>
      <c r="E39" s="4">
        <v>3</v>
      </c>
      <c r="F39" s="4">
        <v>6</v>
      </c>
      <c r="G39" s="4" t="s">
        <v>3366</v>
      </c>
      <c r="H39" s="4" t="s">
        <v>3295</v>
      </c>
      <c r="I39" s="1">
        <v>1</v>
      </c>
      <c r="J39" s="1" t="s">
        <v>1550</v>
      </c>
      <c r="K39" s="73">
        <f>' Hitungan 2026'!K4</f>
        <v>30422000</v>
      </c>
      <c r="L39" s="4" t="s">
        <v>3431</v>
      </c>
    </row>
    <row r="40" spans="1:14" x14ac:dyDescent="0.25">
      <c r="A40" s="1"/>
      <c r="B40" s="1"/>
      <c r="C40" s="1"/>
      <c r="D40" s="4"/>
      <c r="E40" s="4"/>
      <c r="F40" s="4"/>
      <c r="G40" s="4"/>
      <c r="H40" s="4"/>
      <c r="I40" s="1"/>
      <c r="J40" s="1"/>
      <c r="K40" s="73"/>
      <c r="L40" s="1"/>
    </row>
    <row r="41" spans="1:14" x14ac:dyDescent="0.25">
      <c r="A41" s="1"/>
      <c r="B41" s="1"/>
      <c r="C41" s="1"/>
      <c r="D41" s="4"/>
      <c r="E41" s="4"/>
      <c r="F41" s="4"/>
      <c r="G41" s="4"/>
      <c r="H41" s="4" t="s">
        <v>3379</v>
      </c>
      <c r="I41" s="1"/>
      <c r="J41" s="1"/>
      <c r="K41" s="73">
        <f>SUM(K22:K40)</f>
        <v>10579159998</v>
      </c>
      <c r="L41" s="1"/>
    </row>
    <row r="42" spans="1:14" x14ac:dyDescent="0.25">
      <c r="A42" s="1"/>
      <c r="B42" s="1"/>
      <c r="C42" s="1"/>
      <c r="D42" s="4">
        <v>5</v>
      </c>
      <c r="E42" s="4"/>
      <c r="F42" s="4"/>
      <c r="G42" s="4"/>
      <c r="H42" s="4" t="s">
        <v>3380</v>
      </c>
      <c r="I42" s="1"/>
      <c r="J42" s="1"/>
      <c r="K42" s="73"/>
      <c r="L42" s="1"/>
    </row>
    <row r="43" spans="1:14" ht="37.5" customHeight="1" x14ac:dyDescent="0.25">
      <c r="A43" s="1540">
        <v>1</v>
      </c>
      <c r="B43" s="1537"/>
      <c r="C43" s="1537"/>
      <c r="D43" s="1537"/>
      <c r="E43" s="1537"/>
      <c r="F43" s="1537"/>
      <c r="G43" s="1537"/>
      <c r="H43" s="1538" t="str">
        <f>'BID 1 b'!B5</f>
        <v>: Penyelenggaraan Pemerintahan Desa</v>
      </c>
      <c r="I43" s="1537"/>
      <c r="J43" s="1537"/>
      <c r="K43" s="1539">
        <f>K45+K52+K57+K64+K95+K100+K104+K112+K118+K124+K129+K137+K142+K147+K151+K155+K159+K164+K177+K183+K189+K195+K201+K207+K213+K219+K226+K232+K240+K250+K260+K270+K277+K282+K287+K291</f>
        <v>7050427587</v>
      </c>
      <c r="L43" s="1537"/>
      <c r="M43" s="68">
        <f>' Hitungan 2026'!X8</f>
        <v>7050427587</v>
      </c>
      <c r="N43" s="23">
        <f>M43-K43</f>
        <v>0</v>
      </c>
    </row>
    <row r="44" spans="1:14" ht="75" x14ac:dyDescent="0.25">
      <c r="A44" s="1490">
        <v>1</v>
      </c>
      <c r="B44" s="1490">
        <v>1</v>
      </c>
      <c r="C44" s="865"/>
      <c r="D44" s="865"/>
      <c r="E44" s="865"/>
      <c r="F44" s="865"/>
      <c r="G44" s="865"/>
      <c r="H44" s="1061" t="str">
        <f>'BID 1 b'!B6</f>
        <v>: Penyelenggaraan Belanja Penghasilan Tetap, Tunjangan dan Operasional Pemerintah Desa ( Maksimal 30% )</v>
      </c>
      <c r="I44" s="865"/>
      <c r="J44" s="865"/>
      <c r="K44" s="1063"/>
      <c r="L44" s="865"/>
    </row>
    <row r="45" spans="1:14" ht="45" x14ac:dyDescent="0.25">
      <c r="A45" s="1490">
        <v>1</v>
      </c>
      <c r="B45" s="1490">
        <v>1</v>
      </c>
      <c r="C45" s="1490" t="s">
        <v>3366</v>
      </c>
      <c r="D45" s="865"/>
      <c r="E45" s="865"/>
      <c r="F45" s="865"/>
      <c r="G45" s="865"/>
      <c r="H45" s="1061" t="str">
        <f>'BID 1 b'!B7</f>
        <v>: Penyediaan Penghasilan tetap dan Tunjangan Perbekel</v>
      </c>
      <c r="I45" s="865"/>
      <c r="J45" s="865"/>
      <c r="K45" s="1063">
        <f>SUM(K46:K51)</f>
        <v>180740000</v>
      </c>
      <c r="L45" s="1061" t="s">
        <v>3387</v>
      </c>
      <c r="M45" s="68">
        <f>'BID 1 b'!F20</f>
        <v>180740000</v>
      </c>
    </row>
    <row r="46" spans="1:14" x14ac:dyDescent="0.25">
      <c r="A46" s="1"/>
      <c r="B46" s="1"/>
      <c r="C46" s="1"/>
      <c r="D46" s="1">
        <v>5</v>
      </c>
      <c r="E46" s="1">
        <v>1</v>
      </c>
      <c r="F46" s="1"/>
      <c r="G46" s="1"/>
      <c r="H46" s="1" t="str">
        <f>'BID 1 b'!B13</f>
        <v xml:space="preserve">Belanja Pegawai </v>
      </c>
      <c r="I46" s="1"/>
      <c r="J46" s="1"/>
      <c r="K46" s="73"/>
      <c r="L46" s="1"/>
    </row>
    <row r="47" spans="1:14" ht="30" x14ac:dyDescent="0.25">
      <c r="A47" s="1"/>
      <c r="B47" s="1"/>
      <c r="C47" s="1"/>
      <c r="D47" s="1"/>
      <c r="E47" s="1"/>
      <c r="F47" s="1">
        <v>1</v>
      </c>
      <c r="G47" s="1"/>
      <c r="H47" s="4" t="str">
        <f>'BID 1 b'!B14</f>
        <v>Penghasilan tetap dan Tunjangan Perbekel</v>
      </c>
      <c r="I47" s="1"/>
      <c r="J47" s="1"/>
      <c r="K47" s="73"/>
      <c r="L47" s="1"/>
    </row>
    <row r="48" spans="1:14" ht="30" x14ac:dyDescent="0.25">
      <c r="A48" s="1"/>
      <c r="B48" s="1"/>
      <c r="C48" s="1"/>
      <c r="D48" s="1"/>
      <c r="E48" s="1"/>
      <c r="F48" s="1"/>
      <c r="G48" s="1489" t="s">
        <v>3366</v>
      </c>
      <c r="H48" s="4" t="str">
        <f>'BID 1 b'!B15</f>
        <v>Penghasilan Tetap Perbekel</v>
      </c>
      <c r="I48" s="1"/>
      <c r="J48" s="1"/>
      <c r="K48" s="73">
        <f>'BID 1 b'!F15</f>
        <v>65340000</v>
      </c>
      <c r="L48" s="1" t="s">
        <v>1220</v>
      </c>
    </row>
    <row r="49" spans="1:13" x14ac:dyDescent="0.25">
      <c r="A49" s="1"/>
      <c r="B49" s="1"/>
      <c r="C49" s="1"/>
      <c r="D49" s="1"/>
      <c r="E49" s="1"/>
      <c r="F49" s="1"/>
      <c r="G49" s="1489" t="s">
        <v>3386</v>
      </c>
      <c r="H49" s="4" t="str">
        <f>'BID 1 b'!B16</f>
        <v>Penghasilan ke 13</v>
      </c>
      <c r="I49" s="1"/>
      <c r="J49" s="1"/>
      <c r="K49" s="73">
        <f>'BID 1 b'!F16</f>
        <v>5500000</v>
      </c>
      <c r="L49" s="1" t="s">
        <v>1506</v>
      </c>
    </row>
    <row r="50" spans="1:13" x14ac:dyDescent="0.25">
      <c r="A50" s="1"/>
      <c r="B50" s="1"/>
      <c r="C50" s="1"/>
      <c r="D50" s="1"/>
      <c r="E50" s="1"/>
      <c r="F50" s="1"/>
      <c r="G50" s="1489" t="s">
        <v>3386</v>
      </c>
      <c r="H50" s="4" t="str">
        <f>'BID 1 b'!B17</f>
        <v>Tunjangan Perbekel</v>
      </c>
      <c r="I50" s="1"/>
      <c r="J50" s="1"/>
      <c r="K50" s="73">
        <f>'BID 1 b'!F17</f>
        <v>104400000</v>
      </c>
      <c r="L50" s="1" t="s">
        <v>1506</v>
      </c>
    </row>
    <row r="51" spans="1:13" x14ac:dyDescent="0.25">
      <c r="A51" s="1"/>
      <c r="B51" s="1"/>
      <c r="C51" s="1"/>
      <c r="D51" s="1"/>
      <c r="E51" s="1"/>
      <c r="F51" s="1"/>
      <c r="G51" s="1489" t="s">
        <v>3386</v>
      </c>
      <c r="H51" s="4" t="str">
        <f>'BID 1 b'!B18</f>
        <v>Tunjangan Hari Raya</v>
      </c>
      <c r="I51" s="1"/>
      <c r="J51" s="1"/>
      <c r="K51" s="73">
        <f>'BID 1 b'!F18</f>
        <v>5500000</v>
      </c>
      <c r="L51" s="1" t="s">
        <v>1506</v>
      </c>
    </row>
    <row r="52" spans="1:13" ht="45" x14ac:dyDescent="0.25">
      <c r="A52" s="865">
        <v>1</v>
      </c>
      <c r="B52" s="865">
        <v>1</v>
      </c>
      <c r="C52" s="1490" t="s">
        <v>3386</v>
      </c>
      <c r="D52" s="865"/>
      <c r="E52" s="865"/>
      <c r="F52" s="865"/>
      <c r="G52" s="865"/>
      <c r="H52" s="1061" t="str">
        <f>'BID 1 b'!B36</f>
        <v>: Penyediaan Penghasilan tetap dan Tunjangan Perangkat Desa</v>
      </c>
      <c r="I52" s="865"/>
      <c r="J52" s="865"/>
      <c r="K52" s="1063">
        <f>SUM(K53:K56)</f>
        <v>1049635167</v>
      </c>
      <c r="L52" s="1061" t="s">
        <v>3387</v>
      </c>
      <c r="M52" s="68">
        <f>'BID 1 b'!F63</f>
        <v>1049635167</v>
      </c>
    </row>
    <row r="53" spans="1:13" x14ac:dyDescent="0.25">
      <c r="A53" s="1"/>
      <c r="B53" s="1"/>
      <c r="C53" s="1489"/>
      <c r="D53" s="1">
        <v>5</v>
      </c>
      <c r="E53" s="1">
        <v>1</v>
      </c>
      <c r="F53" s="1"/>
      <c r="G53" s="1"/>
      <c r="H53" s="1" t="str">
        <f>'BID 1 b'!B41</f>
        <v xml:space="preserve">Belanja Pegawai </v>
      </c>
      <c r="I53" s="1"/>
      <c r="J53" s="1"/>
      <c r="K53" s="73"/>
      <c r="L53" s="1"/>
    </row>
    <row r="54" spans="1:13" ht="45" x14ac:dyDescent="0.25">
      <c r="A54" s="1"/>
      <c r="B54" s="1"/>
      <c r="C54" s="1"/>
      <c r="D54" s="1"/>
      <c r="E54" s="1"/>
      <c r="F54" s="1">
        <v>2</v>
      </c>
      <c r="G54" s="1"/>
      <c r="H54" s="4" t="str">
        <f>'BID 1 b'!B42</f>
        <v>Penghasilan tetap dan Tunjangan Perangkat Desa</v>
      </c>
      <c r="I54" s="1"/>
      <c r="J54" s="1"/>
      <c r="K54" s="73"/>
      <c r="L54" s="1"/>
    </row>
    <row r="55" spans="1:13" ht="30" x14ac:dyDescent="0.25">
      <c r="A55" s="1"/>
      <c r="B55" s="1"/>
      <c r="C55" s="1"/>
      <c r="D55" s="1"/>
      <c r="E55" s="1"/>
      <c r="F55" s="1"/>
      <c r="G55" s="1489" t="s">
        <v>3366</v>
      </c>
      <c r="H55" s="4" t="str">
        <f>'BID 1 b'!B43</f>
        <v>Penghasilan tetap Perangkat Desa</v>
      </c>
      <c r="I55" s="1"/>
      <c r="J55" s="1"/>
      <c r="K55" s="73">
        <f>SUM('BID 1 b'!F44:F48)</f>
        <v>522935167</v>
      </c>
      <c r="L55" s="1" t="s">
        <v>1220</v>
      </c>
    </row>
    <row r="56" spans="1:13" x14ac:dyDescent="0.25">
      <c r="A56" s="1"/>
      <c r="B56" s="1"/>
      <c r="C56" s="1"/>
      <c r="D56" s="1"/>
      <c r="E56" s="1"/>
      <c r="F56" s="1"/>
      <c r="G56" s="1489" t="s">
        <v>3386</v>
      </c>
      <c r="H56" s="1" t="str">
        <f>'BID 1 b'!B49</f>
        <v>Tunjangan Perangkat Desa</v>
      </c>
      <c r="I56" s="1"/>
      <c r="J56" s="1"/>
      <c r="K56" s="73">
        <f>SUM('BID 1 b'!F50:F61)</f>
        <v>526700000</v>
      </c>
      <c r="L56" s="1" t="s">
        <v>1506</v>
      </c>
    </row>
    <row r="57" spans="1:13" ht="69" customHeight="1" x14ac:dyDescent="0.25">
      <c r="A57" s="865">
        <v>1</v>
      </c>
      <c r="B57" s="865">
        <v>1</v>
      </c>
      <c r="C57" s="1490" t="s">
        <v>3388</v>
      </c>
      <c r="D57" s="865"/>
      <c r="E57" s="865"/>
      <c r="F57" s="865"/>
      <c r="G57" s="865"/>
      <c r="H57" s="1061" t="str">
        <f>'BID 1 b'!B79</f>
        <v>Penyediaan Jaminan Kesehatan dan Ketenaga Kerjaan Bagi Perbekel dan Perangkat Desa</v>
      </c>
      <c r="I57" s="865"/>
      <c r="J57" s="865"/>
      <c r="K57" s="1063">
        <f>SUM(K58:K63)</f>
        <v>77761313</v>
      </c>
      <c r="L57" s="865" t="s">
        <v>1506</v>
      </c>
      <c r="M57" s="68">
        <f>'BID 1 b'!F98</f>
        <v>77761313</v>
      </c>
    </row>
    <row r="58" spans="1:13" x14ac:dyDescent="0.25">
      <c r="A58" s="1"/>
      <c r="B58" s="1"/>
      <c r="C58" s="1"/>
      <c r="D58" s="1">
        <v>5</v>
      </c>
      <c r="E58" s="1">
        <v>1</v>
      </c>
      <c r="F58" s="1"/>
      <c r="G58" s="1"/>
      <c r="H58" s="4" t="str">
        <f>'BID 1 b'!B84</f>
        <v>Belanja Pegawai :</v>
      </c>
      <c r="I58" s="1"/>
      <c r="J58" s="1"/>
      <c r="K58" s="73"/>
      <c r="L58" s="1"/>
    </row>
    <row r="59" spans="1:13" ht="30" x14ac:dyDescent="0.25">
      <c r="A59" s="1"/>
      <c r="B59" s="1"/>
      <c r="C59" s="1"/>
      <c r="D59" s="1"/>
      <c r="E59" s="1"/>
      <c r="F59" s="1">
        <v>3</v>
      </c>
      <c r="G59" s="1"/>
      <c r="H59" s="4" t="str">
        <f>'BID 1 b'!B85</f>
        <v>Jaminan sosial Perbekel dan Perangkat Desa</v>
      </c>
      <c r="I59" s="1"/>
      <c r="J59" s="1"/>
      <c r="K59" s="73"/>
      <c r="L59" s="1"/>
    </row>
    <row r="60" spans="1:13" ht="30" x14ac:dyDescent="0.25">
      <c r="A60" s="1"/>
      <c r="B60" s="1"/>
      <c r="C60" s="1"/>
      <c r="D60" s="1"/>
      <c r="E60" s="1"/>
      <c r="F60" s="1"/>
      <c r="G60" s="1489" t="s">
        <v>3366</v>
      </c>
      <c r="H60" s="4" t="str">
        <f>'BID 1 b'!B86</f>
        <v xml:space="preserve">Jaminan Kesehatan perbekel </v>
      </c>
      <c r="I60" s="1"/>
      <c r="J60" s="1"/>
      <c r="K60" s="73">
        <f>'BID 1 b'!F86</f>
        <v>660000</v>
      </c>
      <c r="L60" s="1" t="s">
        <v>1220</v>
      </c>
    </row>
    <row r="61" spans="1:13" ht="30" x14ac:dyDescent="0.25">
      <c r="A61" s="1"/>
      <c r="B61" s="1"/>
      <c r="C61" s="1"/>
      <c r="D61" s="1"/>
      <c r="E61" s="1"/>
      <c r="F61" s="1"/>
      <c r="G61" s="1489" t="s">
        <v>3386</v>
      </c>
      <c r="H61" s="4" t="str">
        <f>'BID 1 b'!B87</f>
        <v>Jaminan Kesehatan Perangkat Desa</v>
      </c>
      <c r="I61" s="1"/>
      <c r="J61" s="1"/>
      <c r="K61" s="73">
        <f>SUM('BID 1 b'!F88:F91)</f>
        <v>6264833</v>
      </c>
      <c r="L61" s="1" t="s">
        <v>1220</v>
      </c>
    </row>
    <row r="62" spans="1:13" ht="30" x14ac:dyDescent="0.25">
      <c r="A62" s="1"/>
      <c r="B62" s="1"/>
      <c r="C62" s="1"/>
      <c r="D62" s="1"/>
      <c r="E62" s="1"/>
      <c r="F62" s="1"/>
      <c r="G62" s="1489" t="s">
        <v>3388</v>
      </c>
      <c r="H62" s="4" t="str">
        <f>'BID 1 b'!B92</f>
        <v>Jaminan Ketenagakerjaan Perbekel</v>
      </c>
      <c r="I62" s="1"/>
      <c r="J62" s="1"/>
      <c r="K62" s="73">
        <f>'BID 1 b'!F92</f>
        <v>10632960</v>
      </c>
      <c r="L62" s="1" t="s">
        <v>1506</v>
      </c>
    </row>
    <row r="63" spans="1:13" ht="45" x14ac:dyDescent="0.25">
      <c r="A63" s="1"/>
      <c r="B63" s="1"/>
      <c r="C63" s="1"/>
      <c r="D63" s="1"/>
      <c r="E63" s="1"/>
      <c r="F63" s="1"/>
      <c r="G63" s="1489" t="s">
        <v>3389</v>
      </c>
      <c r="H63" s="4" t="str">
        <f>'BID 1 b'!B93</f>
        <v>Jaminan Ketenagakerajaan Perangkat Desa</v>
      </c>
      <c r="I63" s="1"/>
      <c r="J63" s="1"/>
      <c r="K63" s="73">
        <f>SUM('BID 1 b'!F94:F96)</f>
        <v>60203520</v>
      </c>
      <c r="L63" s="1" t="s">
        <v>1506</v>
      </c>
    </row>
    <row r="64" spans="1:13" ht="30" x14ac:dyDescent="0.25">
      <c r="A64" s="865">
        <v>1</v>
      </c>
      <c r="B64" s="865">
        <v>1</v>
      </c>
      <c r="C64" s="1490" t="s">
        <v>3389</v>
      </c>
      <c r="D64" s="865"/>
      <c r="E64" s="865"/>
      <c r="F64" s="865"/>
      <c r="G64" s="865"/>
      <c r="H64" s="1061" t="str">
        <f>'BID 1 b'!B113</f>
        <v>: Penyediaan Operasional Pemerintah Desa</v>
      </c>
      <c r="I64" s="865"/>
      <c r="J64" s="865"/>
      <c r="K64" s="1063">
        <f>SUM(K65:K94)</f>
        <v>712389600.84000003</v>
      </c>
      <c r="L64" s="865" t="s">
        <v>1220</v>
      </c>
      <c r="M64" s="68">
        <f>'BID 1 b'!F304</f>
        <v>712389600.84000003</v>
      </c>
    </row>
    <row r="65" spans="1:12" x14ac:dyDescent="0.25">
      <c r="A65" s="1"/>
      <c r="B65" s="1"/>
      <c r="C65" s="1"/>
      <c r="D65" s="1">
        <v>5</v>
      </c>
      <c r="E65" s="1">
        <v>2</v>
      </c>
      <c r="F65" s="1"/>
      <c r="G65" s="1"/>
      <c r="H65" s="4" t="str">
        <f>'BID 1 b'!B118</f>
        <v>Belanja Barang Jasa :</v>
      </c>
      <c r="I65" s="1"/>
      <c r="J65" s="1"/>
      <c r="K65" s="73"/>
      <c r="L65" s="1"/>
    </row>
    <row r="66" spans="1:12" ht="30" x14ac:dyDescent="0.25">
      <c r="A66" s="1"/>
      <c r="B66" s="1"/>
      <c r="C66" s="1"/>
      <c r="D66" s="1"/>
      <c r="E66" s="1"/>
      <c r="F66" s="1">
        <v>1</v>
      </c>
      <c r="G66" s="1"/>
      <c r="H66" s="4" t="str">
        <f>'BID 1 b'!B119</f>
        <v>Belanja Barang Perlengkapan</v>
      </c>
      <c r="I66" s="1"/>
      <c r="J66" s="1"/>
      <c r="K66" s="73"/>
      <c r="L66" s="1"/>
    </row>
    <row r="67" spans="1:12" ht="45" x14ac:dyDescent="0.25">
      <c r="A67" s="1"/>
      <c r="B67" s="1"/>
      <c r="C67" s="1"/>
      <c r="D67" s="1"/>
      <c r="E67" s="1"/>
      <c r="F67" s="1"/>
      <c r="G67" s="1489" t="s">
        <v>3366</v>
      </c>
      <c r="H67" s="4" t="str">
        <f>'BID 1 b'!B120</f>
        <v>Belanja perlengkapan alat tulis kantor dan Benda Pos</v>
      </c>
      <c r="I67" s="1"/>
      <c r="J67" s="1"/>
      <c r="K67" s="73">
        <f>SUM('BID 1 b'!F121:F159)</f>
        <v>66960950</v>
      </c>
      <c r="L67" s="1" t="s">
        <v>1220</v>
      </c>
    </row>
    <row r="68" spans="1:12" ht="30" x14ac:dyDescent="0.25">
      <c r="A68" s="1"/>
      <c r="B68" s="1"/>
      <c r="C68" s="1"/>
      <c r="D68" s="1"/>
      <c r="E68" s="1"/>
      <c r="F68" s="1"/>
      <c r="G68" s="1489" t="s">
        <v>3386</v>
      </c>
      <c r="H68" s="4" t="str">
        <f>'BID 1 b'!B160</f>
        <v>Belanja Perlengkapan alat alat listrik</v>
      </c>
      <c r="I68" s="1"/>
      <c r="J68" s="1"/>
      <c r="K68" s="73">
        <f>SUM('BID 1 b'!F161:F163)</f>
        <v>3820000</v>
      </c>
      <c r="L68" s="1" t="s">
        <v>1220</v>
      </c>
    </row>
    <row r="69" spans="1:12" ht="60" x14ac:dyDescent="0.25">
      <c r="A69" s="1"/>
      <c r="B69" s="1"/>
      <c r="C69" s="1"/>
      <c r="D69" s="1"/>
      <c r="E69" s="1"/>
      <c r="F69" s="1"/>
      <c r="G69" s="1489" t="s">
        <v>3388</v>
      </c>
      <c r="H69" s="4" t="str">
        <f>'BID 1 b'!B165</f>
        <v xml:space="preserve">Belanja perlengkapan alat alat rumah tangga/peralatan dan Bahan kebersihan </v>
      </c>
      <c r="I69" s="1"/>
      <c r="J69" s="1"/>
      <c r="K69" s="73">
        <f>SUM('BID 1 b'!F166:F177)</f>
        <v>11602000</v>
      </c>
      <c r="L69" s="1" t="s">
        <v>1220</v>
      </c>
    </row>
    <row r="70" spans="1:12" ht="60" x14ac:dyDescent="0.25">
      <c r="A70" s="1"/>
      <c r="B70" s="1"/>
      <c r="C70" s="1"/>
      <c r="D70" s="1"/>
      <c r="E70" s="1"/>
      <c r="F70" s="1"/>
      <c r="G70" s="1489" t="s">
        <v>3389</v>
      </c>
      <c r="H70" s="4" t="str">
        <f>'BID 1 b'!B178</f>
        <v>Belanja bahan bakar minyak/ gas/ isi ulang tabung pemadam kebakaran</v>
      </c>
      <c r="I70" s="1"/>
      <c r="J70" s="1"/>
      <c r="K70" s="73">
        <f>SUM('BID 1 b'!F179:F182)</f>
        <v>21686000</v>
      </c>
      <c r="L70" s="1" t="s">
        <v>1220</v>
      </c>
    </row>
    <row r="71" spans="1:12" ht="60" x14ac:dyDescent="0.25">
      <c r="A71" s="1"/>
      <c r="B71" s="1"/>
      <c r="C71" s="1"/>
      <c r="D71" s="1"/>
      <c r="E71" s="1"/>
      <c r="F71" s="1"/>
      <c r="G71" s="1489" t="s">
        <v>3390</v>
      </c>
      <c r="H71" s="4" t="str">
        <f>'BID 1 b'!B184</f>
        <v xml:space="preserve">Belanja Perlengkapan Cetak/ pengadaan - Belanja barang cetak dan pengadaan </v>
      </c>
      <c r="I71" s="1"/>
      <c r="J71" s="1"/>
      <c r="K71" s="73">
        <f>SUM('BID 1 b'!F185:F199)</f>
        <v>23430000</v>
      </c>
      <c r="L71" s="1" t="s">
        <v>1220</v>
      </c>
    </row>
    <row r="72" spans="1:12" ht="60" x14ac:dyDescent="0.25">
      <c r="A72" s="1"/>
      <c r="B72" s="1"/>
      <c r="C72" s="1"/>
      <c r="D72" s="1"/>
      <c r="E72" s="1"/>
      <c r="F72" s="1"/>
      <c r="G72" s="1489" t="s">
        <v>3391</v>
      </c>
      <c r="H72" s="4" t="str">
        <f>'BID 1 b'!B201</f>
        <v>Belanja perlengkapan barang konsumsi (makan/ minum) Belanja Barang konsumsi</v>
      </c>
      <c r="I72" s="1"/>
      <c r="J72" s="1"/>
      <c r="K72" s="73">
        <f>SUM('BID 1 b'!F202:F207)</f>
        <v>11865000</v>
      </c>
      <c r="L72" s="1" t="s">
        <v>1220</v>
      </c>
    </row>
    <row r="73" spans="1:12" x14ac:dyDescent="0.25">
      <c r="A73" s="1"/>
      <c r="B73" s="1"/>
      <c r="C73" s="1"/>
      <c r="D73" s="1"/>
      <c r="E73" s="1"/>
      <c r="F73" s="1"/>
      <c r="G73" s="1489" t="s">
        <v>3392</v>
      </c>
      <c r="H73" s="1" t="str">
        <f>'BID 1 b'!B209</f>
        <v>Belanja Bahan Material</v>
      </c>
      <c r="I73" s="1"/>
      <c r="J73" s="1"/>
      <c r="K73" s="73">
        <f>'BID 1 b'!F210</f>
        <v>15000000</v>
      </c>
      <c r="L73" s="1" t="s">
        <v>1220</v>
      </c>
    </row>
    <row r="74" spans="1:12" ht="30" x14ac:dyDescent="0.25">
      <c r="A74" s="1"/>
      <c r="B74" s="1"/>
      <c r="C74" s="1"/>
      <c r="D74" s="1"/>
      <c r="E74" s="1"/>
      <c r="F74" s="1"/>
      <c r="G74" s="1489" t="s">
        <v>3393</v>
      </c>
      <c r="H74" s="4" t="str">
        <f>'BID 1 b'!B212</f>
        <v>Belanja bendera/ umbul umbul/ spanduk</v>
      </c>
      <c r="I74" s="1"/>
      <c r="J74" s="1"/>
      <c r="K74" s="73">
        <f>SUM('BID 1 b'!F213:F218)</f>
        <v>16935000</v>
      </c>
      <c r="L74" s="1" t="s">
        <v>1220</v>
      </c>
    </row>
    <row r="75" spans="1:12" ht="30" x14ac:dyDescent="0.25">
      <c r="A75" s="1"/>
      <c r="B75" s="1"/>
      <c r="C75" s="1"/>
      <c r="D75" s="1"/>
      <c r="E75" s="1"/>
      <c r="F75" s="1"/>
      <c r="G75" s="1489" t="s">
        <v>3394</v>
      </c>
      <c r="H75" s="4" t="str">
        <f>'BID 1 b'!B220</f>
        <v>Belanja Pakaian Dinas/ seragam/ atribut</v>
      </c>
      <c r="I75" s="1"/>
      <c r="J75" s="1"/>
      <c r="K75" s="73">
        <f>SUM('BID 1 b'!F221:F222)</f>
        <v>28489000</v>
      </c>
      <c r="L75" s="1" t="s">
        <v>1220</v>
      </c>
    </row>
    <row r="76" spans="1:12" x14ac:dyDescent="0.25">
      <c r="A76" s="1"/>
      <c r="B76" s="1"/>
      <c r="C76" s="1"/>
      <c r="D76" s="1"/>
      <c r="E76" s="1"/>
      <c r="F76" s="1"/>
      <c r="G76" s="1">
        <v>10</v>
      </c>
      <c r="H76" s="1" t="str">
        <f>'BID 1 b'!B224</f>
        <v>Belanja obat obatan</v>
      </c>
      <c r="I76" s="1"/>
      <c r="J76" s="1"/>
      <c r="K76" s="73">
        <f>'BID 1 b'!F225</f>
        <v>309000</v>
      </c>
      <c r="L76" s="1" t="s">
        <v>1220</v>
      </c>
    </row>
    <row r="77" spans="1:12" ht="30" x14ac:dyDescent="0.25">
      <c r="A77" s="1"/>
      <c r="B77" s="1"/>
      <c r="C77" s="1"/>
      <c r="D77" s="1"/>
      <c r="E77" s="1"/>
      <c r="F77" s="1"/>
      <c r="G77" s="1">
        <v>90</v>
      </c>
      <c r="H77" s="4" t="str">
        <f>'BID 1 b'!B227</f>
        <v>Belanja Upakara, Upakara dan Aci Aci</v>
      </c>
      <c r="I77" s="1"/>
      <c r="J77" s="1"/>
      <c r="K77" s="73">
        <f>'BID 1 b'!F228+'BID 1 b'!F229</f>
        <v>12600000</v>
      </c>
      <c r="L77" s="1" t="s">
        <v>1220</v>
      </c>
    </row>
    <row r="78" spans="1:12" x14ac:dyDescent="0.25">
      <c r="A78" s="1"/>
      <c r="B78" s="1"/>
      <c r="C78" s="1"/>
      <c r="D78" s="1">
        <v>5</v>
      </c>
      <c r="E78" s="1">
        <v>2</v>
      </c>
      <c r="F78" s="1">
        <v>2</v>
      </c>
      <c r="G78" s="1"/>
      <c r="H78" s="1" t="str">
        <f>'BID 1 b'!B231</f>
        <v>Belanja jasa honorarium</v>
      </c>
      <c r="I78" s="1"/>
      <c r="J78" s="1"/>
      <c r="K78" s="73"/>
      <c r="L78" s="1"/>
    </row>
    <row r="79" spans="1:12" ht="30" x14ac:dyDescent="0.25">
      <c r="A79" s="1"/>
      <c r="B79" s="1"/>
      <c r="C79" s="1"/>
      <c r="D79" s="1"/>
      <c r="E79" s="1"/>
      <c r="F79" s="1"/>
      <c r="G79" s="1489" t="s">
        <v>3391</v>
      </c>
      <c r="H79" s="4" t="str">
        <f>'BID 1 b'!B232</f>
        <v>Honorarium PKPKD dan PPKD</v>
      </c>
      <c r="I79" s="1"/>
      <c r="J79" s="1"/>
      <c r="K79" s="73">
        <f>SUM('BID 1 b'!F233:F239)</f>
        <v>159150000</v>
      </c>
      <c r="L79" s="1" t="s">
        <v>1220</v>
      </c>
    </row>
    <row r="80" spans="1:12" x14ac:dyDescent="0.25">
      <c r="A80" s="1"/>
      <c r="B80" s="1"/>
      <c r="C80" s="1"/>
      <c r="D80" s="1">
        <v>5</v>
      </c>
      <c r="E80" s="1">
        <v>2</v>
      </c>
      <c r="F80" s="1">
        <v>3</v>
      </c>
      <c r="G80" s="1"/>
      <c r="H80" s="4" t="str">
        <f>'BID 1 b'!B241</f>
        <v>Belanja Perjalanan Dinas</v>
      </c>
      <c r="I80" s="1"/>
      <c r="J80" s="1"/>
      <c r="K80" s="73"/>
      <c r="L80" s="1"/>
    </row>
    <row r="81" spans="1:13" ht="30" x14ac:dyDescent="0.25">
      <c r="A81" s="1"/>
      <c r="B81" s="1"/>
      <c r="C81" s="1"/>
      <c r="D81" s="1"/>
      <c r="E81" s="1"/>
      <c r="F81" s="1"/>
      <c r="G81" s="1489" t="s">
        <v>3386</v>
      </c>
      <c r="H81" s="4" t="str">
        <f>'BID 1 b'!B242</f>
        <v>Perjalanan Dinas Luar Kabupaten/ Kota</v>
      </c>
      <c r="I81" s="1"/>
      <c r="J81" s="1"/>
      <c r="K81" s="73">
        <f>'BID 1 b'!F242</f>
        <v>50000000</v>
      </c>
      <c r="L81" s="1"/>
    </row>
    <row r="82" spans="1:13" ht="30" x14ac:dyDescent="0.25">
      <c r="A82" s="1"/>
      <c r="B82" s="1"/>
      <c r="C82" s="1"/>
      <c r="D82" s="1">
        <v>5</v>
      </c>
      <c r="E82" s="1">
        <v>2</v>
      </c>
      <c r="F82" s="1">
        <v>5</v>
      </c>
      <c r="G82" s="1"/>
      <c r="H82" s="4" t="str">
        <f>'BID 1 b'!B244</f>
        <v>Belanja Operasional Perkantoran</v>
      </c>
      <c r="I82" s="1"/>
      <c r="J82" s="1"/>
      <c r="K82" s="73"/>
      <c r="L82" s="1"/>
    </row>
    <row r="83" spans="1:13" x14ac:dyDescent="0.25">
      <c r="A83" s="1"/>
      <c r="B83" s="1"/>
      <c r="C83" s="1"/>
      <c r="D83" s="1"/>
      <c r="E83" s="1"/>
      <c r="F83" s="1"/>
      <c r="G83" s="1489" t="s">
        <v>3366</v>
      </c>
      <c r="H83" s="1" t="str">
        <f>'BID 1 b'!B245</f>
        <v>Belanja jasa layanan listrik</v>
      </c>
      <c r="I83" s="1"/>
      <c r="J83" s="1"/>
      <c r="K83" s="73">
        <f>'BID 1 b'!F245</f>
        <v>36600000</v>
      </c>
      <c r="L83" s="1" t="s">
        <v>1220</v>
      </c>
    </row>
    <row r="84" spans="1:13" ht="30" x14ac:dyDescent="0.25">
      <c r="A84" s="1"/>
      <c r="B84" s="1"/>
      <c r="C84" s="1"/>
      <c r="D84" s="1"/>
      <c r="E84" s="1"/>
      <c r="F84" s="1"/>
      <c r="G84" s="1489" t="s">
        <v>3388</v>
      </c>
      <c r="H84" s="4" t="str">
        <f>'BID 1 b'!B246</f>
        <v>Belanja jasa langganan majalah/ surat kabar</v>
      </c>
      <c r="I84" s="1"/>
      <c r="J84" s="1"/>
      <c r="K84" s="73">
        <f>'BID 1 b'!F246</f>
        <v>1440000</v>
      </c>
      <c r="L84" s="1" t="s">
        <v>1220</v>
      </c>
    </row>
    <row r="85" spans="1:13" ht="30" x14ac:dyDescent="0.25">
      <c r="A85" s="1"/>
      <c r="B85" s="1"/>
      <c r="C85" s="1"/>
      <c r="D85" s="1"/>
      <c r="E85" s="1"/>
      <c r="F85" s="1"/>
      <c r="G85" s="1489" t="s">
        <v>3389</v>
      </c>
      <c r="H85" s="4" t="str">
        <f>'BID 1 b'!B247</f>
        <v>Belanja jasa langganan telepon</v>
      </c>
      <c r="I85" s="1"/>
      <c r="J85" s="1"/>
      <c r="K85" s="73">
        <f>'BID 1 b'!F247</f>
        <v>1200000</v>
      </c>
      <c r="L85" s="1" t="s">
        <v>1220</v>
      </c>
    </row>
    <row r="86" spans="1:13" ht="30" x14ac:dyDescent="0.25">
      <c r="A86" s="1"/>
      <c r="B86" s="1"/>
      <c r="C86" s="1"/>
      <c r="D86" s="1"/>
      <c r="E86" s="1"/>
      <c r="F86" s="1"/>
      <c r="G86" s="1489" t="s">
        <v>3390</v>
      </c>
      <c r="H86" s="4" t="str">
        <f>'BID 1 b'!B248</f>
        <v>Belanja jasa langganan internet</v>
      </c>
      <c r="I86" s="1"/>
      <c r="J86" s="1"/>
      <c r="K86" s="73">
        <f>'BID 1 b'!F248</f>
        <v>15600000</v>
      </c>
      <c r="L86" s="1" t="s">
        <v>1220</v>
      </c>
    </row>
    <row r="87" spans="1:13" ht="30" x14ac:dyDescent="0.25">
      <c r="A87" s="1"/>
      <c r="B87" s="1"/>
      <c r="C87" s="1"/>
      <c r="D87" s="1"/>
      <c r="E87" s="1"/>
      <c r="F87" s="1"/>
      <c r="G87" s="1489" t="s">
        <v>3392</v>
      </c>
      <c r="H87" s="4" t="str">
        <f>'BID 1 b'!B260</f>
        <v>Belanja Jasa Perpanjangan ijin/ pajak</v>
      </c>
      <c r="I87" s="1"/>
      <c r="J87" s="1"/>
      <c r="K87" s="73">
        <f>'BID 1 b'!F261</f>
        <v>92845785.840000004</v>
      </c>
      <c r="L87" s="1" t="s">
        <v>1506</v>
      </c>
    </row>
    <row r="88" spans="1:13" ht="30" x14ac:dyDescent="0.25">
      <c r="A88" s="1"/>
      <c r="B88" s="1"/>
      <c r="C88" s="1"/>
      <c r="D88" s="1"/>
      <c r="E88" s="1"/>
      <c r="F88" s="1"/>
      <c r="G88" s="1489" t="s">
        <v>3392</v>
      </c>
      <c r="H88" s="4" t="str">
        <f>'BID 1 b'!B249</f>
        <v>Belanja Jasa Perpanjangan ijin/ pajak</v>
      </c>
      <c r="I88" s="1"/>
      <c r="J88" s="1"/>
      <c r="K88" s="73">
        <f>SUM('BID 1 b'!F250:F259)</f>
        <v>33961200</v>
      </c>
      <c r="L88" s="1" t="s">
        <v>1220</v>
      </c>
    </row>
    <row r="89" spans="1:13" x14ac:dyDescent="0.25">
      <c r="A89" s="1"/>
      <c r="B89" s="1"/>
      <c r="C89" s="1"/>
      <c r="D89" s="1"/>
      <c r="E89" s="1"/>
      <c r="F89" s="1"/>
      <c r="G89" s="1489" t="s">
        <v>3392</v>
      </c>
      <c r="H89" s="1" t="str">
        <f>'BID 1 b'!B262</f>
        <v>Pajak Bunga Bank</v>
      </c>
      <c r="I89" s="1"/>
      <c r="J89" s="1"/>
      <c r="K89" s="73">
        <f>'BID 1 b'!F263</f>
        <v>10800000</v>
      </c>
      <c r="L89" s="1" t="s">
        <v>1220</v>
      </c>
    </row>
    <row r="90" spans="1:13" x14ac:dyDescent="0.25">
      <c r="A90" s="1"/>
      <c r="B90" s="1"/>
      <c r="C90" s="1"/>
      <c r="D90" s="1"/>
      <c r="E90" s="1"/>
      <c r="F90" s="1"/>
      <c r="G90" s="1">
        <v>99</v>
      </c>
      <c r="H90" s="1" t="str">
        <f>'BID 1 b'!B264</f>
        <v>Biaya Administrasi Bank</v>
      </c>
      <c r="I90" s="1"/>
      <c r="J90" s="1"/>
      <c r="K90" s="73">
        <f>'BID 1 b'!F265</f>
        <v>120000</v>
      </c>
      <c r="L90" s="1" t="s">
        <v>1220</v>
      </c>
    </row>
    <row r="91" spans="1:13" x14ac:dyDescent="0.25">
      <c r="A91" s="1"/>
      <c r="B91" s="1"/>
      <c r="C91" s="1"/>
      <c r="D91" s="1">
        <v>5</v>
      </c>
      <c r="E91" s="1">
        <v>2</v>
      </c>
      <c r="F91" s="1">
        <v>6</v>
      </c>
      <c r="G91" s="1"/>
      <c r="H91" s="1" t="str">
        <f>'BID 1 b'!B266</f>
        <v>Belanja Pemeliharaan</v>
      </c>
      <c r="I91" s="1"/>
      <c r="J91" s="1"/>
      <c r="K91" s="73"/>
      <c r="L91" s="1"/>
    </row>
    <row r="92" spans="1:13" ht="30" x14ac:dyDescent="0.25">
      <c r="A92" s="1"/>
      <c r="B92" s="1"/>
      <c r="C92" s="1"/>
      <c r="D92" s="1"/>
      <c r="E92" s="1"/>
      <c r="F92" s="1"/>
      <c r="G92" s="1489" t="s">
        <v>3386</v>
      </c>
      <c r="H92" s="4" t="str">
        <f>'BID 1 b'!B267</f>
        <v>Belanja Pemeliharaan Kendaraan Bermotor</v>
      </c>
      <c r="I92" s="1"/>
      <c r="J92" s="1"/>
      <c r="K92" s="73">
        <f>SUM('BID 1 b'!F269:F273)</f>
        <v>19050000</v>
      </c>
      <c r="L92" s="1" t="s">
        <v>1220</v>
      </c>
    </row>
    <row r="93" spans="1:13" ht="30" x14ac:dyDescent="0.25">
      <c r="A93" s="1"/>
      <c r="B93" s="1"/>
      <c r="C93" s="1"/>
      <c r="D93" s="1"/>
      <c r="E93" s="1"/>
      <c r="F93" s="1"/>
      <c r="G93" s="1489" t="s">
        <v>3388</v>
      </c>
      <c r="H93" s="4" t="str">
        <f>'BID 1 b'!B275</f>
        <v xml:space="preserve">Belanja pemeliharaan peralatan </v>
      </c>
      <c r="I93" s="1"/>
      <c r="J93" s="1"/>
      <c r="K93" s="73">
        <f>SUM('BID 1 b'!F276:F293)</f>
        <v>68425665</v>
      </c>
      <c r="L93" s="1" t="s">
        <v>1220</v>
      </c>
    </row>
    <row r="94" spans="1:13" ht="60" x14ac:dyDescent="0.25">
      <c r="A94" s="1"/>
      <c r="B94" s="1"/>
      <c r="C94" s="1"/>
      <c r="D94" s="1"/>
      <c r="E94" s="1"/>
      <c r="F94" s="1"/>
      <c r="G94" s="1489" t="s">
        <v>3393</v>
      </c>
      <c r="H94" s="4" t="str">
        <f>'BID 1 b'!B295</f>
        <v>Belanja pemeliharaan jaringan dan instalasi ( Lisrik, Telepon, Internet, Kominikasi, Dll)</v>
      </c>
      <c r="I94" s="1"/>
      <c r="J94" s="1"/>
      <c r="K94" s="73">
        <f>SUM('BID 1 b'!F296:F301)</f>
        <v>10500000</v>
      </c>
      <c r="L94" s="1" t="s">
        <v>1220</v>
      </c>
    </row>
    <row r="95" spans="1:13" ht="57" customHeight="1" x14ac:dyDescent="0.25">
      <c r="A95" s="865">
        <v>1</v>
      </c>
      <c r="B95" s="865">
        <v>1</v>
      </c>
      <c r="C95" s="1490" t="s">
        <v>3389</v>
      </c>
      <c r="D95" s="865"/>
      <c r="E95" s="865"/>
      <c r="F95" s="865"/>
      <c r="G95" s="865"/>
      <c r="H95" s="1061" t="str">
        <f>'BID 1 b'!B318</f>
        <v>: Penyediaan Oprasional Pemerinthanan Desa ( Kegiatan Rapat - Rapat)</v>
      </c>
      <c r="I95" s="865"/>
      <c r="J95" s="865"/>
      <c r="K95" s="1063">
        <f>SUM(K96:K99)</f>
        <v>37980000</v>
      </c>
      <c r="L95" s="865" t="s">
        <v>1506</v>
      </c>
      <c r="M95" s="68">
        <f>'BID 1 b'!F333</f>
        <v>37980000</v>
      </c>
    </row>
    <row r="96" spans="1:13" x14ac:dyDescent="0.25">
      <c r="A96" s="1"/>
      <c r="B96" s="1"/>
      <c r="C96" s="1"/>
      <c r="D96" s="1">
        <v>5</v>
      </c>
      <c r="E96" s="1">
        <v>2</v>
      </c>
      <c r="F96" s="1"/>
      <c r="G96" s="1"/>
      <c r="H96" s="4" t="str">
        <f>'BID 1 b'!B323</f>
        <v>Belanja Barang Jasa :</v>
      </c>
      <c r="I96" s="1"/>
      <c r="J96" s="1"/>
      <c r="K96" s="73"/>
      <c r="L96" s="1"/>
    </row>
    <row r="97" spans="1:13" ht="30" x14ac:dyDescent="0.25">
      <c r="A97" s="1"/>
      <c r="B97" s="1"/>
      <c r="C97" s="1"/>
      <c r="D97" s="1"/>
      <c r="E97" s="1"/>
      <c r="F97" s="1">
        <v>1</v>
      </c>
      <c r="G97" s="1"/>
      <c r="H97" s="4" t="str">
        <f>'BID 1 b'!B324</f>
        <v>Belanja Barang Perlengkapan</v>
      </c>
      <c r="I97" s="1"/>
      <c r="J97" s="1"/>
      <c r="K97" s="73"/>
      <c r="L97" s="1"/>
    </row>
    <row r="98" spans="1:13" ht="60" x14ac:dyDescent="0.25">
      <c r="A98" s="1"/>
      <c r="B98" s="1"/>
      <c r="C98" s="1"/>
      <c r="D98" s="1"/>
      <c r="E98" s="1"/>
      <c r="F98" s="1"/>
      <c r="G98" s="1489" t="s">
        <v>3391</v>
      </c>
      <c r="H98" s="4" t="str">
        <f>'BID 1 b'!B325</f>
        <v>Belanja Perlengkapan barang konsumsi (makan/minum) - Belanja barang konsumsi</v>
      </c>
      <c r="I98" s="1"/>
      <c r="J98" s="1"/>
      <c r="K98" s="73">
        <f>'BID 1 b'!F326</f>
        <v>36000000</v>
      </c>
      <c r="L98" s="1" t="s">
        <v>1506</v>
      </c>
    </row>
    <row r="99" spans="1:13" ht="30" x14ac:dyDescent="0.25">
      <c r="A99" s="1"/>
      <c r="B99" s="1"/>
      <c r="C99" s="1"/>
      <c r="D99" s="1"/>
      <c r="E99" s="1"/>
      <c r="F99" s="1"/>
      <c r="G99" s="1">
        <v>90</v>
      </c>
      <c r="H99" s="4" t="str">
        <f>'BID 1 b'!B328</f>
        <v>Belanja Upakara, Upacara Dan Aci-aci</v>
      </c>
      <c r="I99" s="1"/>
      <c r="J99" s="1"/>
      <c r="K99" s="73">
        <f>SUM('BID 1 b'!F329:F331)</f>
        <v>1980000</v>
      </c>
      <c r="L99" s="1" t="s">
        <v>1506</v>
      </c>
    </row>
    <row r="100" spans="1:13" ht="30" x14ac:dyDescent="0.25">
      <c r="A100" s="865">
        <v>1</v>
      </c>
      <c r="B100" s="865">
        <v>1</v>
      </c>
      <c r="C100" s="1490" t="s">
        <v>3390</v>
      </c>
      <c r="D100" s="865"/>
      <c r="E100" s="865"/>
      <c r="F100" s="865"/>
      <c r="G100" s="865"/>
      <c r="H100" s="1061" t="str">
        <f>'BID 1 b'!B348</f>
        <v>: Penyediaan tunjangan BPD</v>
      </c>
      <c r="I100" s="865"/>
      <c r="J100" s="865"/>
      <c r="K100" s="1063">
        <f>K103</f>
        <v>457800000</v>
      </c>
      <c r="L100" s="865" t="s">
        <v>1506</v>
      </c>
      <c r="M100" s="68">
        <f>'BID 1 b'!F374</f>
        <v>457800000</v>
      </c>
    </row>
    <row r="101" spans="1:13" x14ac:dyDescent="0.25">
      <c r="A101" s="1"/>
      <c r="B101" s="1"/>
      <c r="C101" s="1"/>
      <c r="D101" s="1">
        <v>5</v>
      </c>
      <c r="E101" s="1">
        <v>1</v>
      </c>
      <c r="F101" s="1"/>
      <c r="G101" s="1"/>
      <c r="H101" s="1" t="str">
        <f>'BID 1 b'!B354</f>
        <v>Belanja Pegawai</v>
      </c>
      <c r="I101" s="1"/>
      <c r="J101" s="1"/>
      <c r="K101" s="73"/>
      <c r="L101" s="1"/>
    </row>
    <row r="102" spans="1:13" x14ac:dyDescent="0.25">
      <c r="A102" s="1"/>
      <c r="B102" s="1"/>
      <c r="C102" s="1"/>
      <c r="D102" s="1"/>
      <c r="E102" s="1"/>
      <c r="F102" s="1">
        <v>4</v>
      </c>
      <c r="G102" s="1"/>
      <c r="H102" s="1" t="str">
        <f>'BID 1 b'!B355</f>
        <v>Tunjangan BPD</v>
      </c>
      <c r="I102" s="1"/>
      <c r="J102" s="1"/>
      <c r="K102" s="73"/>
      <c r="L102" s="1"/>
    </row>
    <row r="103" spans="1:13" x14ac:dyDescent="0.25">
      <c r="A103" s="1"/>
      <c r="B103" s="1"/>
      <c r="C103" s="1"/>
      <c r="D103" s="1"/>
      <c r="E103" s="1"/>
      <c r="F103" s="1"/>
      <c r="G103" s="1489" t="s">
        <v>3366</v>
      </c>
      <c r="H103" s="1" t="str">
        <f>'BID 1 b'!B356</f>
        <v>Tunjangan Kedudukan BPD</v>
      </c>
      <c r="I103" s="1"/>
      <c r="J103" s="1"/>
      <c r="K103" s="73">
        <f>SUM('BID 1 b'!F357:F372)</f>
        <v>457800000</v>
      </c>
      <c r="L103" s="1" t="s">
        <v>1506</v>
      </c>
    </row>
    <row r="104" spans="1:13" ht="30" x14ac:dyDescent="0.25">
      <c r="A104" s="865">
        <v>1</v>
      </c>
      <c r="B104" s="865">
        <v>1</v>
      </c>
      <c r="C104" s="1490" t="s">
        <v>3391</v>
      </c>
      <c r="D104" s="865"/>
      <c r="E104" s="865"/>
      <c r="F104" s="865"/>
      <c r="G104" s="865"/>
      <c r="H104" s="1061" t="str">
        <f>'BID 1 b'!B391</f>
        <v>: Penyediaan Operasional BPD</v>
      </c>
      <c r="I104" s="865"/>
      <c r="J104" s="865"/>
      <c r="K104" s="1063">
        <f>SUM(K105:K111)</f>
        <v>32282000</v>
      </c>
      <c r="L104" s="865" t="s">
        <v>1506</v>
      </c>
      <c r="M104" s="68">
        <f>'BID 1 b'!F418</f>
        <v>32282000</v>
      </c>
    </row>
    <row r="105" spans="1:13" x14ac:dyDescent="0.25">
      <c r="A105" s="1"/>
      <c r="B105" s="1"/>
      <c r="C105" s="1"/>
      <c r="D105" s="1">
        <v>5</v>
      </c>
      <c r="E105" s="1">
        <v>2</v>
      </c>
      <c r="F105" s="1"/>
      <c r="G105" s="1"/>
      <c r="H105" s="4" t="str">
        <f>'BID 1 b'!B397</f>
        <v>Belanja Barang Jasa :</v>
      </c>
      <c r="I105" s="1"/>
      <c r="J105" s="1"/>
      <c r="K105" s="73"/>
      <c r="L105" s="1"/>
    </row>
    <row r="106" spans="1:13" ht="30" x14ac:dyDescent="0.25">
      <c r="A106" s="1"/>
      <c r="B106" s="1"/>
      <c r="C106" s="1"/>
      <c r="D106" s="1"/>
      <c r="E106" s="1"/>
      <c r="F106" s="1">
        <v>1</v>
      </c>
      <c r="G106" s="1"/>
      <c r="H106" s="4" t="str">
        <f>'BID 1 b'!B398</f>
        <v>Belanja Barang Perlengkapan</v>
      </c>
      <c r="I106" s="1"/>
      <c r="J106" s="1"/>
      <c r="K106" s="73"/>
      <c r="L106" s="1"/>
    </row>
    <row r="107" spans="1:13" ht="30" x14ac:dyDescent="0.25">
      <c r="A107" s="1"/>
      <c r="B107" s="1"/>
      <c r="C107" s="1"/>
      <c r="D107" s="1"/>
      <c r="E107" s="1"/>
      <c r="F107" s="1"/>
      <c r="G107" s="1489" t="s">
        <v>3366</v>
      </c>
      <c r="H107" s="4" t="str">
        <f>'BID 1 b'!B399</f>
        <v>Belanja alat tulis kantor dan benda pos</v>
      </c>
      <c r="I107" s="1"/>
      <c r="J107" s="1"/>
      <c r="K107" s="73">
        <f>SUM('BID 1 b'!F400:F403)</f>
        <v>3230000</v>
      </c>
      <c r="L107" s="1" t="s">
        <v>1506</v>
      </c>
    </row>
    <row r="108" spans="1:13" ht="60" x14ac:dyDescent="0.25">
      <c r="A108" s="1"/>
      <c r="B108" s="1"/>
      <c r="C108" s="1"/>
      <c r="D108" s="1"/>
      <c r="E108" s="1"/>
      <c r="F108" s="1"/>
      <c r="G108" s="1489" t="s">
        <v>3391</v>
      </c>
      <c r="H108" s="4" t="str">
        <f>'BID 1 b'!B405</f>
        <v>Belanja perlengkapan barang konsumsi (makan/ minum) Belanja Barang konsumsi</v>
      </c>
      <c r="I108" s="1"/>
      <c r="J108" s="1"/>
      <c r="K108" s="73">
        <f>SUM('BID 1 b'!F406:F408)</f>
        <v>18120000</v>
      </c>
      <c r="L108" s="1" t="s">
        <v>1506</v>
      </c>
    </row>
    <row r="109" spans="1:13" x14ac:dyDescent="0.25">
      <c r="A109" s="1"/>
      <c r="B109" s="1"/>
      <c r="C109" s="1"/>
      <c r="D109" s="1"/>
      <c r="E109" s="1"/>
      <c r="F109" s="1"/>
      <c r="G109" s="1489" t="s">
        <v>3393</v>
      </c>
      <c r="H109" s="1" t="str">
        <f>'BID 1 b'!B409</f>
        <v>Belanja Sepanduk</v>
      </c>
      <c r="I109" s="1"/>
      <c r="J109" s="1"/>
      <c r="K109" s="73">
        <f>'BID 1 b'!F410</f>
        <v>90000</v>
      </c>
      <c r="L109" s="1" t="s">
        <v>1506</v>
      </c>
    </row>
    <row r="110" spans="1:13" ht="30" x14ac:dyDescent="0.25">
      <c r="A110" s="1"/>
      <c r="B110" s="1"/>
      <c r="C110" s="1"/>
      <c r="D110" s="1"/>
      <c r="E110" s="1"/>
      <c r="F110" s="1"/>
      <c r="G110" s="1489" t="s">
        <v>3394</v>
      </c>
      <c r="H110" s="4" t="str">
        <f>'BID 1 b'!B411</f>
        <v>Belanja Pakaian Dinas/ seragam/ atribut</v>
      </c>
      <c r="I110" s="1"/>
      <c r="J110" s="1"/>
      <c r="K110" s="73">
        <f>SUM('BID 1 b'!F412:F413)</f>
        <v>10062000</v>
      </c>
      <c r="L110" s="1" t="s">
        <v>1506</v>
      </c>
    </row>
    <row r="111" spans="1:13" ht="30" x14ac:dyDescent="0.25">
      <c r="A111" s="1"/>
      <c r="B111" s="1"/>
      <c r="C111" s="1"/>
      <c r="D111" s="1"/>
      <c r="E111" s="1"/>
      <c r="F111" s="1"/>
      <c r="G111" s="1">
        <v>90</v>
      </c>
      <c r="H111" s="4" t="str">
        <f>'BID 1 b'!B415</f>
        <v>Belanja Upakara, Upacara Dan Aci</v>
      </c>
      <c r="I111" s="1"/>
      <c r="J111" s="1"/>
      <c r="K111" s="73">
        <f>SUM('BID 1 b'!F416+'BID 1 b'!F417)</f>
        <v>780000</v>
      </c>
      <c r="L111" s="1" t="s">
        <v>1506</v>
      </c>
    </row>
    <row r="112" spans="1:13" ht="30" x14ac:dyDescent="0.25">
      <c r="A112" s="865">
        <v>1</v>
      </c>
      <c r="B112" s="865">
        <v>1</v>
      </c>
      <c r="C112" s="1490" t="s">
        <v>3391</v>
      </c>
      <c r="D112" s="865"/>
      <c r="E112" s="865"/>
      <c r="F112" s="865"/>
      <c r="G112" s="865"/>
      <c r="H112" s="1061" t="str">
        <f>'BID 1 b'!B433</f>
        <v>: Penyediaan Operasional BPD (Musyawarah BPD)</v>
      </c>
      <c r="I112" s="865"/>
      <c r="J112" s="865"/>
      <c r="K112" s="1063">
        <f>SUM(K113:K117)</f>
        <v>16400000</v>
      </c>
      <c r="L112" s="865" t="s">
        <v>1220</v>
      </c>
      <c r="M112" s="68">
        <f>'BID 1 b'!F455</f>
        <v>16400000</v>
      </c>
    </row>
    <row r="113" spans="1:13" x14ac:dyDescent="0.25">
      <c r="A113" s="1"/>
      <c r="B113" s="1"/>
      <c r="C113" s="1"/>
      <c r="D113" s="1">
        <v>5</v>
      </c>
      <c r="E113" s="1">
        <v>2</v>
      </c>
      <c r="F113" s="1"/>
      <c r="G113" s="1"/>
      <c r="H113" s="4" t="str">
        <f>'BID 1 b'!B439</f>
        <v>Belanja Barang Jasa</v>
      </c>
      <c r="I113" s="1"/>
      <c r="J113" s="1"/>
      <c r="K113" s="73"/>
      <c r="L113" s="1"/>
    </row>
    <row r="114" spans="1:13" ht="30" x14ac:dyDescent="0.25">
      <c r="A114" s="1"/>
      <c r="B114" s="1"/>
      <c r="C114" s="1"/>
      <c r="D114" s="1"/>
      <c r="E114" s="1"/>
      <c r="F114" s="1">
        <v>1</v>
      </c>
      <c r="G114" s="1"/>
      <c r="H114" s="4" t="str">
        <f>'BID 1 b'!B440</f>
        <v>Belanja Barang Perlengkapan</v>
      </c>
      <c r="I114" s="1"/>
      <c r="J114" s="1"/>
      <c r="K114" s="73"/>
      <c r="L114" s="1"/>
    </row>
    <row r="115" spans="1:13" ht="60" x14ac:dyDescent="0.25">
      <c r="A115" s="1"/>
      <c r="B115" s="1"/>
      <c r="C115" s="1"/>
      <c r="D115" s="1"/>
      <c r="E115" s="1"/>
      <c r="F115" s="1"/>
      <c r="G115" s="1489" t="s">
        <v>3390</v>
      </c>
      <c r="H115" s="4" t="str">
        <f>'BID 1 b'!B441</f>
        <v>Belanja perlengkapan cetak/pengadaan - belanja barang cetak dan pengadaan</v>
      </c>
      <c r="I115" s="1"/>
      <c r="J115" s="1"/>
      <c r="K115" s="73">
        <f>SUM('BID 1 b'!F442:F443)</f>
        <v>7720000</v>
      </c>
      <c r="L115" s="1" t="s">
        <v>1220</v>
      </c>
    </row>
    <row r="116" spans="1:13" ht="60" x14ac:dyDescent="0.25">
      <c r="A116" s="1"/>
      <c r="B116" s="1"/>
      <c r="C116" s="1"/>
      <c r="D116" s="1"/>
      <c r="E116" s="1"/>
      <c r="F116" s="1"/>
      <c r="G116" s="1489" t="s">
        <v>3391</v>
      </c>
      <c r="H116" s="4" t="str">
        <f>'BID 1 b'!B445</f>
        <v>Belanja perlengkapan barang konsumsi (makan/minum)- Belanja Barang Konsumsi</v>
      </c>
      <c r="I116" s="1"/>
      <c r="J116" s="1"/>
      <c r="K116" s="73">
        <f>SUM('BID 1 b'!F446)</f>
        <v>8000000</v>
      </c>
      <c r="L116" s="1" t="s">
        <v>1220</v>
      </c>
    </row>
    <row r="117" spans="1:13" ht="30" x14ac:dyDescent="0.25">
      <c r="A117" s="1"/>
      <c r="B117" s="1"/>
      <c r="C117" s="1"/>
      <c r="D117" s="1"/>
      <c r="E117" s="1"/>
      <c r="F117" s="1"/>
      <c r="G117" s="1">
        <v>90</v>
      </c>
      <c r="H117" s="4" t="str">
        <f>'BID 1 b'!B448</f>
        <v>Belanja Upakara, Upacara Dan Aci- Aci</v>
      </c>
      <c r="I117" s="1"/>
      <c r="J117" s="1"/>
      <c r="K117" s="73">
        <f>SUM('BID 1 b'!F449:F452)</f>
        <v>680000</v>
      </c>
      <c r="L117" s="1" t="s">
        <v>1220</v>
      </c>
    </row>
    <row r="118" spans="1:13" ht="30" x14ac:dyDescent="0.25">
      <c r="A118" s="865">
        <v>1</v>
      </c>
      <c r="B118" s="865">
        <v>1</v>
      </c>
      <c r="C118" s="1490" t="s">
        <v>3391</v>
      </c>
      <c r="D118" s="865"/>
      <c r="E118" s="865"/>
      <c r="F118" s="865"/>
      <c r="G118" s="865"/>
      <c r="H118" s="1061" t="str">
        <f>'BID 1 b'!B470</f>
        <v>: Penyediaan Operasional BPD (Rapat FKAKD)</v>
      </c>
      <c r="I118" s="865"/>
      <c r="J118" s="865"/>
      <c r="K118" s="1063">
        <f>SUM(K119:K123)</f>
        <v>8685000</v>
      </c>
      <c r="L118" s="865" t="s">
        <v>2177</v>
      </c>
      <c r="M118" s="68">
        <f>'BID 1 b'!F492</f>
        <v>8685000</v>
      </c>
    </row>
    <row r="119" spans="1:13" x14ac:dyDescent="0.25">
      <c r="A119" s="1"/>
      <c r="B119" s="1"/>
      <c r="C119" s="1"/>
      <c r="D119" s="1">
        <v>5</v>
      </c>
      <c r="E119" s="1">
        <v>2</v>
      </c>
      <c r="F119" s="1"/>
      <c r="G119" s="1"/>
      <c r="H119" s="4" t="str">
        <f>'BID 1 b'!B476</f>
        <v>Belanja Barang Jasa</v>
      </c>
      <c r="I119" s="1"/>
      <c r="J119" s="1"/>
      <c r="K119" s="73"/>
      <c r="L119" s="1"/>
    </row>
    <row r="120" spans="1:13" ht="30" x14ac:dyDescent="0.25">
      <c r="A120" s="1"/>
      <c r="B120" s="1"/>
      <c r="C120" s="1"/>
      <c r="D120" s="1"/>
      <c r="E120" s="1"/>
      <c r="F120" s="1">
        <v>1</v>
      </c>
      <c r="G120" s="1"/>
      <c r="H120" s="4" t="str">
        <f>'BID 1 b'!B477</f>
        <v>Belanja Barang Perlengkapan</v>
      </c>
      <c r="I120" s="1"/>
      <c r="J120" s="1"/>
      <c r="K120" s="73"/>
      <c r="L120" s="1"/>
    </row>
    <row r="121" spans="1:13" ht="60" x14ac:dyDescent="0.25">
      <c r="A121" s="1"/>
      <c r="B121" s="1"/>
      <c r="C121" s="1"/>
      <c r="D121" s="1"/>
      <c r="E121" s="1"/>
      <c r="F121" s="1"/>
      <c r="G121" s="1489" t="s">
        <v>3391</v>
      </c>
      <c r="H121" s="4" t="str">
        <f>'BID 1 b'!B479</f>
        <v>Belanja perlengkapan barang konsumsi (makan/minum)- Belanja Barang Konsumsi</v>
      </c>
      <c r="I121" s="1"/>
      <c r="J121" s="1"/>
      <c r="K121" s="73">
        <f>'BID 1 b'!F480</f>
        <v>8000000</v>
      </c>
      <c r="L121" s="1" t="s">
        <v>2177</v>
      </c>
    </row>
    <row r="122" spans="1:13" x14ac:dyDescent="0.25">
      <c r="A122" s="1"/>
      <c r="B122" s="1"/>
      <c r="C122" s="1"/>
      <c r="D122" s="1"/>
      <c r="E122" s="1"/>
      <c r="F122" s="1"/>
      <c r="G122" s="1489" t="s">
        <v>3393</v>
      </c>
      <c r="H122" s="1" t="str">
        <f>'BID 1 b'!B482</f>
        <v>Belanja Sepanduk</v>
      </c>
      <c r="I122" s="1"/>
      <c r="J122" s="1"/>
      <c r="K122" s="73">
        <f>'BID 1 b'!F483</f>
        <v>360000</v>
      </c>
      <c r="L122" s="1" t="s">
        <v>2177</v>
      </c>
    </row>
    <row r="123" spans="1:13" ht="30" x14ac:dyDescent="0.25">
      <c r="A123" s="1"/>
      <c r="B123" s="1"/>
      <c r="C123" s="1"/>
      <c r="D123" s="1"/>
      <c r="E123" s="1"/>
      <c r="F123" s="1"/>
      <c r="G123" s="1">
        <v>90</v>
      </c>
      <c r="H123" s="4" t="str">
        <f>'BID 1 b'!B485</f>
        <v>Belanja Upakara, Upacara Dan Aci- Aci</v>
      </c>
      <c r="I123" s="1"/>
      <c r="J123" s="1"/>
      <c r="K123" s="73">
        <f>SUM('BID 1 b'!F486:F489)</f>
        <v>325000</v>
      </c>
      <c r="L123" s="1" t="s">
        <v>2177</v>
      </c>
    </row>
    <row r="124" spans="1:13" ht="30" x14ac:dyDescent="0.25">
      <c r="A124" s="865">
        <v>1</v>
      </c>
      <c r="B124" s="865">
        <v>1</v>
      </c>
      <c r="C124" s="865">
        <v>91</v>
      </c>
      <c r="D124" s="865"/>
      <c r="E124" s="865"/>
      <c r="F124" s="865"/>
      <c r="G124" s="865"/>
      <c r="H124" s="1061" t="str">
        <f>'BID 1 b'!B508</f>
        <v xml:space="preserve">: Penyediaan Penghasilan Staf Desa </v>
      </c>
      <c r="I124" s="865"/>
      <c r="J124" s="865"/>
      <c r="K124" s="1063">
        <f>SUM('Penjabaran APBDesa'!K127:K128)</f>
        <v>579582544.32000005</v>
      </c>
      <c r="L124" s="865" t="s">
        <v>1506</v>
      </c>
      <c r="M124" s="68">
        <f>'BID 1 b'!F526</f>
        <v>579582544.31999993</v>
      </c>
    </row>
    <row r="125" spans="1:13" x14ac:dyDescent="0.25">
      <c r="A125" s="1"/>
      <c r="B125" s="1"/>
      <c r="C125" s="1"/>
      <c r="D125" s="1">
        <v>5</v>
      </c>
      <c r="E125" s="1">
        <v>2</v>
      </c>
      <c r="F125" s="1"/>
      <c r="G125" s="1"/>
      <c r="H125" s="4" t="str">
        <f>'BID 1 b'!B514</f>
        <v>Belanja Barang Jasa</v>
      </c>
      <c r="I125" s="1"/>
      <c r="J125" s="1"/>
      <c r="K125" s="73"/>
      <c r="L125" s="1"/>
    </row>
    <row r="126" spans="1:13" x14ac:dyDescent="0.25">
      <c r="A126" s="1"/>
      <c r="B126" s="1"/>
      <c r="C126" s="1"/>
      <c r="D126" s="1"/>
      <c r="E126" s="1"/>
      <c r="F126" s="1">
        <v>2</v>
      </c>
      <c r="G126" s="1"/>
      <c r="H126" s="4" t="str">
        <f>'BID 1 b'!B515</f>
        <v>Belanja Jasa Honorarium</v>
      </c>
      <c r="I126" s="1"/>
      <c r="J126" s="1"/>
      <c r="K126" s="73"/>
      <c r="L126" s="1"/>
    </row>
    <row r="127" spans="1:13" ht="30" x14ac:dyDescent="0.25">
      <c r="A127" s="1"/>
      <c r="B127" s="1"/>
      <c r="C127" s="1"/>
      <c r="D127" s="1"/>
      <c r="E127" s="1"/>
      <c r="F127" s="1"/>
      <c r="G127" s="1489" t="s">
        <v>3392</v>
      </c>
      <c r="H127" s="4" t="str">
        <f>'BID 1 b'!B516</f>
        <v>Penghasilan Staff Admin. BPD</v>
      </c>
      <c r="I127" s="1"/>
      <c r="J127" s="1"/>
      <c r="K127" s="73">
        <f>'BID 1 b'!F517</f>
        <v>41998545.359999999</v>
      </c>
      <c r="L127" s="1" t="s">
        <v>1506</v>
      </c>
    </row>
    <row r="128" spans="1:13" x14ac:dyDescent="0.25">
      <c r="A128" s="1"/>
      <c r="B128" s="1"/>
      <c r="C128" s="1"/>
      <c r="D128" s="1"/>
      <c r="E128" s="1"/>
      <c r="F128" s="1"/>
      <c r="G128" s="1">
        <v>90</v>
      </c>
      <c r="H128" s="1" t="str">
        <f>'BID 1 b'!B518</f>
        <v>Belanja Pengasilan Staf</v>
      </c>
      <c r="I128" s="1"/>
      <c r="J128" s="1"/>
      <c r="K128" s="73">
        <f>SUM('BID 1 b'!F519:F524)</f>
        <v>537583998.96000004</v>
      </c>
      <c r="L128" s="1" t="s">
        <v>1506</v>
      </c>
    </row>
    <row r="129" spans="1:13" ht="45" x14ac:dyDescent="0.25">
      <c r="A129" s="865">
        <v>1</v>
      </c>
      <c r="B129" s="865">
        <v>1</v>
      </c>
      <c r="C129" s="865">
        <v>93</v>
      </c>
      <c r="D129" s="865"/>
      <c r="E129" s="865"/>
      <c r="F129" s="865"/>
      <c r="G129" s="865"/>
      <c r="H129" s="1061" t="str">
        <f>'BID 1 b'!B541</f>
        <v>Penjaringan dan Penyaringan Perangkat Desa/Staf</v>
      </c>
      <c r="I129" s="865"/>
      <c r="J129" s="865"/>
      <c r="K129" s="1063">
        <f>SUM(K130:K136)</f>
        <v>17455000</v>
      </c>
      <c r="L129" s="1061" t="s">
        <v>1775</v>
      </c>
      <c r="M129" s="68">
        <f>'BID 1 b'!F567</f>
        <v>17455000</v>
      </c>
    </row>
    <row r="130" spans="1:13" x14ac:dyDescent="0.25">
      <c r="A130" s="1"/>
      <c r="B130" s="1"/>
      <c r="C130" s="1"/>
      <c r="D130" s="1">
        <v>5</v>
      </c>
      <c r="E130" s="1">
        <v>2</v>
      </c>
      <c r="F130" s="1"/>
      <c r="G130" s="1"/>
      <c r="H130" s="1533" t="str">
        <f>'BID 1 b'!B547</f>
        <v>Belanja Barang Jasa :</v>
      </c>
      <c r="I130" s="1"/>
      <c r="J130" s="1"/>
      <c r="K130" s="73"/>
      <c r="L130" s="1"/>
    </row>
    <row r="131" spans="1:13" ht="30" x14ac:dyDescent="0.25">
      <c r="A131" s="1"/>
      <c r="B131" s="1"/>
      <c r="C131" s="1"/>
      <c r="D131" s="1"/>
      <c r="E131" s="1"/>
      <c r="F131" s="1">
        <v>1</v>
      </c>
      <c r="G131" s="1"/>
      <c r="H131" s="1533" t="str">
        <f>'BID 1 b'!B548</f>
        <v>Belanja Barang Perlengkapan</v>
      </c>
      <c r="I131" s="1"/>
      <c r="J131" s="1"/>
      <c r="K131" s="73"/>
      <c r="L131" s="1"/>
    </row>
    <row r="132" spans="1:13" ht="30" x14ac:dyDescent="0.25">
      <c r="A132" s="1"/>
      <c r="B132" s="1"/>
      <c r="C132" s="1"/>
      <c r="D132" s="1"/>
      <c r="E132" s="1"/>
      <c r="F132" s="1"/>
      <c r="G132" s="1489" t="s">
        <v>3366</v>
      </c>
      <c r="H132" s="1533" t="str">
        <f>'BID 1 b'!B549</f>
        <v>Belanja alat tulis kantor dan benda pos</v>
      </c>
      <c r="I132" s="1"/>
      <c r="J132" s="1"/>
      <c r="K132" s="73">
        <f>SUM('BID 1 b'!F550:F551)</f>
        <v>495000</v>
      </c>
      <c r="L132" s="4" t="s">
        <v>1775</v>
      </c>
    </row>
    <row r="133" spans="1:13" ht="60" x14ac:dyDescent="0.25">
      <c r="A133" s="1"/>
      <c r="B133" s="1"/>
      <c r="C133" s="1"/>
      <c r="D133" s="1"/>
      <c r="E133" s="1"/>
      <c r="F133" s="1"/>
      <c r="G133" s="1489" t="s">
        <v>3391</v>
      </c>
      <c r="H133" s="4" t="str">
        <f>'BID 1 b'!B552</f>
        <v>Belanja perlengkapan barang konsumsi (makan/minum)- Belanja Barang Konsumsi</v>
      </c>
      <c r="I133" s="1"/>
      <c r="J133" s="1"/>
      <c r="K133" s="73">
        <f>SUM('BID 1 b'!F553:F555)</f>
        <v>8600000</v>
      </c>
      <c r="L133" s="4" t="s">
        <v>1775</v>
      </c>
    </row>
    <row r="134" spans="1:13" ht="30" x14ac:dyDescent="0.25">
      <c r="A134" s="1"/>
      <c r="B134" s="1"/>
      <c r="C134" s="1"/>
      <c r="D134" s="1"/>
      <c r="E134" s="1"/>
      <c r="F134" s="1"/>
      <c r="G134" s="1489" t="s">
        <v>3393</v>
      </c>
      <c r="H134" s="4" t="str">
        <f>'BID 1 b'!B556</f>
        <v>Belanja Bendera/Umbul - umbul/Spanduk</v>
      </c>
      <c r="I134" s="1"/>
      <c r="J134" s="1"/>
      <c r="K134" s="73">
        <f>'BID 1 b'!F557</f>
        <v>360000</v>
      </c>
      <c r="L134" s="4" t="s">
        <v>1775</v>
      </c>
    </row>
    <row r="135" spans="1:13" ht="45" x14ac:dyDescent="0.25">
      <c r="A135" s="1"/>
      <c r="B135" s="1"/>
      <c r="C135" s="1"/>
      <c r="D135" s="1">
        <v>5</v>
      </c>
      <c r="E135" s="1">
        <v>2</v>
      </c>
      <c r="F135" s="1">
        <v>2</v>
      </c>
      <c r="G135" s="1"/>
      <c r="H135" s="4" t="str">
        <f>'BID 1 b'!B559</f>
        <v>Belanja Jasa Honor Tim yang Melaksanakan Kegiatan</v>
      </c>
      <c r="I135" s="1"/>
      <c r="J135" s="1"/>
      <c r="K135" s="73">
        <f>SUM('BID 1 b'!F560:F562)</f>
        <v>2600000</v>
      </c>
      <c r="L135" s="4" t="s">
        <v>1775</v>
      </c>
    </row>
    <row r="136" spans="1:13" ht="30" x14ac:dyDescent="0.25">
      <c r="A136" s="1"/>
      <c r="B136" s="1"/>
      <c r="C136" s="1"/>
      <c r="D136" s="1"/>
      <c r="E136" s="1"/>
      <c r="F136" s="1"/>
      <c r="G136" s="1489" t="s">
        <v>3366</v>
      </c>
      <c r="H136" s="1" t="str">
        <f>'BID 1 b'!B563</f>
        <v>Belanja Jasa Honorarium</v>
      </c>
      <c r="I136" s="1"/>
      <c r="J136" s="1"/>
      <c r="K136" s="73">
        <f>'BID 1 b'!F564</f>
        <v>5400000</v>
      </c>
      <c r="L136" s="4" t="s">
        <v>1775</v>
      </c>
    </row>
    <row r="137" spans="1:13" ht="33" customHeight="1" x14ac:dyDescent="0.25">
      <c r="A137" s="865">
        <v>1</v>
      </c>
      <c r="B137" s="865">
        <v>1</v>
      </c>
      <c r="C137" s="865">
        <v>98</v>
      </c>
      <c r="D137" s="865"/>
      <c r="E137" s="865"/>
      <c r="F137" s="865"/>
      <c r="G137" s="865"/>
      <c r="H137" s="1061" t="str">
        <f>'BID 1 b'!B583</f>
        <v>Penyedian Jaminan Keshatan dan ketenagakerjaan BPD</v>
      </c>
      <c r="I137" s="865"/>
      <c r="J137" s="865"/>
      <c r="K137" s="1063">
        <f>K140+K141</f>
        <v>40757410.799999997</v>
      </c>
      <c r="L137" s="865" t="s">
        <v>1506</v>
      </c>
      <c r="M137" s="68">
        <f>'BID 1 b'!F601</f>
        <v>40757410.799999997</v>
      </c>
    </row>
    <row r="138" spans="1:13" x14ac:dyDescent="0.25">
      <c r="A138" s="1"/>
      <c r="B138" s="1"/>
      <c r="C138" s="1"/>
      <c r="D138" s="1">
        <v>5</v>
      </c>
      <c r="E138" s="1">
        <v>2</v>
      </c>
      <c r="F138" s="1"/>
      <c r="G138" s="1"/>
      <c r="H138" s="4" t="str">
        <f>'BID 1 b'!B589</f>
        <v>Belanja Barang Jasa</v>
      </c>
      <c r="I138" s="1"/>
      <c r="J138" s="1"/>
      <c r="K138" s="73"/>
      <c r="L138" s="1"/>
    </row>
    <row r="139" spans="1:13" ht="30" x14ac:dyDescent="0.25">
      <c r="A139" s="1"/>
      <c r="B139" s="1"/>
      <c r="C139" s="1"/>
      <c r="D139" s="1"/>
      <c r="E139" s="1"/>
      <c r="F139" s="1">
        <v>5</v>
      </c>
      <c r="G139" s="1"/>
      <c r="H139" s="4" t="str">
        <f>'BID 1 b'!B590</f>
        <v>Belanja Oprasional Perkantoran</v>
      </c>
      <c r="I139" s="1"/>
      <c r="J139" s="1"/>
      <c r="K139" s="73"/>
      <c r="L139" s="1"/>
    </row>
    <row r="140" spans="1:13" ht="30" x14ac:dyDescent="0.25">
      <c r="A140" s="1"/>
      <c r="B140" s="1"/>
      <c r="C140" s="1"/>
      <c r="D140" s="1"/>
      <c r="E140" s="1"/>
      <c r="F140" s="1"/>
      <c r="G140" s="1489">
        <v>91</v>
      </c>
      <c r="H140" s="4" t="str">
        <f>'BID 1 b'!B591</f>
        <v>Jaminan Kesehatan BPD dan Staf</v>
      </c>
      <c r="I140" s="1"/>
      <c r="J140" s="1"/>
      <c r="K140" s="73">
        <f>SUM('BID 1 b'!F592:F595)</f>
        <v>16271650.799999999</v>
      </c>
      <c r="L140" s="1" t="s">
        <v>1506</v>
      </c>
    </row>
    <row r="141" spans="1:13" ht="30" x14ac:dyDescent="0.25">
      <c r="A141" s="1"/>
      <c r="B141" s="1"/>
      <c r="C141" s="1"/>
      <c r="D141" s="1"/>
      <c r="E141" s="1"/>
      <c r="F141" s="1"/>
      <c r="G141" s="1">
        <v>92</v>
      </c>
      <c r="H141" s="4" t="str">
        <f>'BID 1 b'!B596</f>
        <v>Jaminan Ketenagakerjaan BPD dan Staf</v>
      </c>
      <c r="I141" s="1"/>
      <c r="J141" s="1"/>
      <c r="K141" s="73">
        <f>SUM('BID 1 b'!F597:F600)</f>
        <v>24485760</v>
      </c>
      <c r="L141" s="1" t="s">
        <v>1506</v>
      </c>
    </row>
    <row r="142" spans="1:13" ht="30.75" customHeight="1" x14ac:dyDescent="0.25">
      <c r="A142" s="865">
        <v>1</v>
      </c>
      <c r="B142" s="865">
        <v>1</v>
      </c>
      <c r="C142" s="865">
        <v>98</v>
      </c>
      <c r="D142" s="865"/>
      <c r="E142" s="865"/>
      <c r="F142" s="865"/>
      <c r="G142" s="865"/>
      <c r="H142" s="1061" t="str">
        <f>'BID 1 b'!B617</f>
        <v>Penyedian Jaminan Keshatan dan ketenagakerjaan Staf Desa</v>
      </c>
      <c r="I142" s="865"/>
      <c r="J142" s="865"/>
      <c r="K142" s="1063">
        <f>SUM(K143:K146)</f>
        <v>28601010</v>
      </c>
      <c r="L142" s="865" t="s">
        <v>1506</v>
      </c>
      <c r="M142" s="68">
        <f>'BID 1 b'!F639</f>
        <v>28601009.999999996</v>
      </c>
    </row>
    <row r="143" spans="1:13" x14ac:dyDescent="0.25">
      <c r="A143" s="1"/>
      <c r="B143" s="1"/>
      <c r="C143" s="1"/>
      <c r="D143" s="1">
        <v>5</v>
      </c>
      <c r="E143" s="1">
        <v>2</v>
      </c>
      <c r="F143" s="1"/>
      <c r="G143" s="1"/>
      <c r="H143" s="4" t="str">
        <f>'BID 1 b'!B623</f>
        <v>Belanja Barang Jasa</v>
      </c>
      <c r="I143" s="1"/>
      <c r="J143" s="1"/>
      <c r="K143" s="73"/>
      <c r="L143" s="1"/>
    </row>
    <row r="144" spans="1:13" ht="30" x14ac:dyDescent="0.25">
      <c r="A144" s="1"/>
      <c r="B144" s="1"/>
      <c r="C144" s="1"/>
      <c r="D144" s="1"/>
      <c r="E144" s="1"/>
      <c r="F144" s="1">
        <v>5</v>
      </c>
      <c r="G144" s="1"/>
      <c r="H144" s="4" t="str">
        <f>'BID 1 b'!B624</f>
        <v>Belanja Oprasional Perkantoran</v>
      </c>
      <c r="I144" s="1"/>
      <c r="J144" s="1"/>
      <c r="K144" s="73"/>
      <c r="L144" s="1"/>
    </row>
    <row r="145" spans="1:13" ht="30" x14ac:dyDescent="0.25">
      <c r="A145" s="1"/>
      <c r="B145" s="1"/>
      <c r="C145" s="1"/>
      <c r="D145" s="1"/>
      <c r="E145" s="1"/>
      <c r="F145" s="1"/>
      <c r="G145" s="1">
        <v>91</v>
      </c>
      <c r="H145" s="4" t="str">
        <f>'BID 1 b'!B625</f>
        <v>Jaminan Kesehatan BPD dan Staf</v>
      </c>
      <c r="I145" s="1"/>
      <c r="J145" s="1"/>
      <c r="K145" s="73">
        <f>SUM('BID 1 b'!F626:F631)</f>
        <v>25199127</v>
      </c>
      <c r="L145" s="1" t="s">
        <v>1506</v>
      </c>
    </row>
    <row r="146" spans="1:13" ht="30" x14ac:dyDescent="0.25">
      <c r="A146" s="1"/>
      <c r="B146" s="1"/>
      <c r="C146" s="1"/>
      <c r="D146" s="1"/>
      <c r="E146" s="1"/>
      <c r="F146" s="1"/>
      <c r="G146" s="1">
        <v>92</v>
      </c>
      <c r="H146" s="4" t="str">
        <f>'BID 1 b'!B632</f>
        <v>Jaminan Ketenagakerjaan BPD dan Staf</v>
      </c>
      <c r="I146" s="1"/>
      <c r="J146" s="1"/>
      <c r="K146" s="73">
        <f>SUM('BID 1 b'!F633:F638)</f>
        <v>3401883.0000000005</v>
      </c>
      <c r="L146" s="1" t="s">
        <v>1506</v>
      </c>
    </row>
    <row r="147" spans="1:13" ht="45" x14ac:dyDescent="0.25">
      <c r="A147" s="865">
        <v>1</v>
      </c>
      <c r="B147" s="865">
        <v>1</v>
      </c>
      <c r="C147" s="865">
        <v>98</v>
      </c>
      <c r="D147" s="865"/>
      <c r="E147" s="865"/>
      <c r="F147" s="865"/>
      <c r="G147" s="865"/>
      <c r="H147" s="1061" t="str">
        <f>'BID 1 b'!B655</f>
        <v>Penyedian Jaminan Ketenagakerjaan Ekosistem Desa</v>
      </c>
      <c r="I147" s="865"/>
      <c r="J147" s="865"/>
      <c r="K147" s="1063">
        <f>K150</f>
        <v>53215772.040000007</v>
      </c>
      <c r="L147" s="865" t="s">
        <v>1506</v>
      </c>
      <c r="M147" s="68">
        <f>'BID 1 b'!F676</f>
        <v>53215772.040000007</v>
      </c>
    </row>
    <row r="148" spans="1:13" x14ac:dyDescent="0.25">
      <c r="A148" s="1"/>
      <c r="B148" s="1"/>
      <c r="C148" s="1"/>
      <c r="D148" s="1">
        <v>5</v>
      </c>
      <c r="E148" s="1">
        <v>2</v>
      </c>
      <c r="F148" s="1"/>
      <c r="G148" s="1"/>
      <c r="H148" s="4" t="str">
        <f>'BID 1 b'!B661</f>
        <v>Belanja Barang Jasa</v>
      </c>
      <c r="I148" s="1"/>
      <c r="J148" s="1"/>
      <c r="K148" s="73"/>
      <c r="L148" s="1"/>
    </row>
    <row r="149" spans="1:13" ht="45" x14ac:dyDescent="0.25">
      <c r="A149" s="1"/>
      <c r="B149" s="1"/>
      <c r="C149" s="1"/>
      <c r="D149" s="1"/>
      <c r="E149" s="1"/>
      <c r="F149" s="1">
        <v>7</v>
      </c>
      <c r="G149" s="1"/>
      <c r="H149" s="4" t="str">
        <f>'BID 1 b'!B662</f>
        <v>Belanja Barang dan Jasa yang Diserahkan kepada Masyarakat</v>
      </c>
      <c r="I149" s="1"/>
      <c r="J149" s="1"/>
      <c r="K149" s="73"/>
      <c r="L149" s="1"/>
    </row>
    <row r="150" spans="1:13" ht="45" x14ac:dyDescent="0.25">
      <c r="A150" s="1"/>
      <c r="B150" s="1"/>
      <c r="C150" s="1"/>
      <c r="D150" s="1"/>
      <c r="E150" s="1"/>
      <c r="F150" s="1"/>
      <c r="G150" s="1">
        <v>93</v>
      </c>
      <c r="H150" s="4" t="str">
        <f>'BID 1 b'!B663</f>
        <v>Belanja Premi BPJS Ketenagakerjaan Bagi Ekosistem Desa</v>
      </c>
      <c r="I150" s="1"/>
      <c r="J150" s="1"/>
      <c r="K150" s="73">
        <f>SUM('BID 1 b'!F664)</f>
        <v>53215772.040000007</v>
      </c>
      <c r="L150" s="1" t="s">
        <v>1506</v>
      </c>
    </row>
    <row r="151" spans="1:13" ht="30" x14ac:dyDescent="0.25">
      <c r="A151" s="865">
        <v>1</v>
      </c>
      <c r="B151" s="865">
        <v>1</v>
      </c>
      <c r="C151" s="865">
        <v>95</v>
      </c>
      <c r="D151" s="865"/>
      <c r="E151" s="865"/>
      <c r="F151" s="865"/>
      <c r="G151" s="865"/>
      <c r="H151" s="1061" t="str">
        <f>'BID 1 b'!B691</f>
        <v>: Penyediaan Kegiatan Sosial Desa</v>
      </c>
      <c r="I151" s="865"/>
      <c r="J151" s="865"/>
      <c r="K151" s="1063">
        <f>K154</f>
        <v>39032000</v>
      </c>
      <c r="L151" s="865" t="s">
        <v>1223</v>
      </c>
      <c r="M151" s="68">
        <f>'BID 1 b'!F708</f>
        <v>39032000</v>
      </c>
    </row>
    <row r="152" spans="1:13" x14ac:dyDescent="0.25">
      <c r="A152" s="1"/>
      <c r="B152" s="1"/>
      <c r="C152" s="1"/>
      <c r="D152" s="1">
        <v>5</v>
      </c>
      <c r="E152" s="1">
        <v>2</v>
      </c>
      <c r="F152" s="1"/>
      <c r="G152" s="1"/>
      <c r="H152" s="4" t="str">
        <f>'BID 1 b'!B697</f>
        <v>Belanja Barang Jasa</v>
      </c>
      <c r="I152" s="1"/>
      <c r="J152" s="1"/>
      <c r="K152" s="73"/>
      <c r="L152" s="1"/>
    </row>
    <row r="153" spans="1:13" ht="45" x14ac:dyDescent="0.25">
      <c r="A153" s="1"/>
      <c r="B153" s="1"/>
      <c r="C153" s="1"/>
      <c r="D153" s="1"/>
      <c r="E153" s="1"/>
      <c r="F153" s="1">
        <v>7</v>
      </c>
      <c r="G153" s="1"/>
      <c r="H153" s="4" t="str">
        <f>'BID 1 b'!B698</f>
        <v>Belanja Barang dan Jasa yang Diserahkan Kepada Masyarakat</v>
      </c>
      <c r="I153" s="1"/>
      <c r="J153" s="1"/>
      <c r="K153" s="73"/>
      <c r="L153" s="1"/>
    </row>
    <row r="154" spans="1:13" ht="45" x14ac:dyDescent="0.25">
      <c r="A154" s="1"/>
      <c r="B154" s="1"/>
      <c r="C154" s="1"/>
      <c r="D154" s="1"/>
      <c r="E154" s="1"/>
      <c r="F154" s="1"/>
      <c r="G154" s="1489" t="s">
        <v>3366</v>
      </c>
      <c r="H154" s="4" t="str">
        <f>'BID 1 b'!B699</f>
        <v>Belanja Bahan Perlengkapan yang Diserahkan ke masyarakat</v>
      </c>
      <c r="I154" s="1"/>
      <c r="J154" s="1"/>
      <c r="K154" s="73">
        <f>SUM('BID 1 b'!F700:F706)</f>
        <v>39032000</v>
      </c>
      <c r="L154" s="1" t="s">
        <v>1223</v>
      </c>
    </row>
    <row r="155" spans="1:13" ht="30" x14ac:dyDescent="0.25">
      <c r="A155" s="865">
        <v>1</v>
      </c>
      <c r="B155" s="865">
        <v>1</v>
      </c>
      <c r="C155" s="865">
        <v>96</v>
      </c>
      <c r="D155" s="865"/>
      <c r="E155" s="865"/>
      <c r="F155" s="865"/>
      <c r="G155" s="865"/>
      <c r="H155" s="1061" t="str">
        <f>'BID 1 b'!B752</f>
        <v>: Tambahan  Penghasilan Perbekel dari BKK</v>
      </c>
      <c r="I155" s="865"/>
      <c r="J155" s="865"/>
      <c r="K155" s="1063">
        <f>K158</f>
        <v>18000000</v>
      </c>
      <c r="L155" s="1061" t="s">
        <v>1773</v>
      </c>
    </row>
    <row r="156" spans="1:13" x14ac:dyDescent="0.25">
      <c r="A156" s="1"/>
      <c r="B156" s="1"/>
      <c r="C156" s="1"/>
      <c r="D156" s="1">
        <v>5</v>
      </c>
      <c r="E156" s="1">
        <v>1</v>
      </c>
      <c r="F156" s="1"/>
      <c r="G156" s="1"/>
      <c r="H156" s="4" t="str">
        <f>'BID 1 b'!B758</f>
        <v xml:space="preserve">Belanja Pegawai </v>
      </c>
      <c r="I156" s="1"/>
      <c r="J156" s="1"/>
      <c r="K156" s="73"/>
      <c r="L156" s="1"/>
    </row>
    <row r="157" spans="1:13" ht="30" x14ac:dyDescent="0.25">
      <c r="A157" s="1"/>
      <c r="B157" s="1"/>
      <c r="C157" s="1"/>
      <c r="D157" s="1"/>
      <c r="E157" s="1"/>
      <c r="F157" s="1">
        <v>1</v>
      </c>
      <c r="G157" s="1"/>
      <c r="H157" s="4" t="str">
        <f>'BID 1 b'!B759</f>
        <v>Penghasilan tetap dan Tunjangan Perbekel</v>
      </c>
      <c r="I157" s="1"/>
      <c r="J157" s="1"/>
      <c r="K157" s="73"/>
      <c r="L157" s="1"/>
    </row>
    <row r="158" spans="1:13" ht="30" x14ac:dyDescent="0.25">
      <c r="A158" s="1"/>
      <c r="B158" s="1"/>
      <c r="C158" s="1"/>
      <c r="D158" s="1"/>
      <c r="E158" s="1"/>
      <c r="F158" s="1"/>
      <c r="G158" s="1489" t="s">
        <v>3366</v>
      </c>
      <c r="H158" s="4" t="str">
        <f>'BID 1 b'!B760</f>
        <v>Penghasilan Tetap Perbekel</v>
      </c>
      <c r="I158" s="1"/>
      <c r="J158" s="1"/>
      <c r="K158" s="73">
        <f>SUM('BID 1 b'!F760)</f>
        <v>18000000</v>
      </c>
      <c r="L158" s="4" t="s">
        <v>1773</v>
      </c>
    </row>
    <row r="159" spans="1:13" ht="28.5" customHeight="1" x14ac:dyDescent="0.25">
      <c r="A159" s="865">
        <v>1</v>
      </c>
      <c r="B159" s="865">
        <v>1</v>
      </c>
      <c r="C159" s="865">
        <v>97</v>
      </c>
      <c r="D159" s="865"/>
      <c r="E159" s="865"/>
      <c r="F159" s="865"/>
      <c r="G159" s="865"/>
      <c r="H159" s="1061" t="str">
        <f>'BID 1 b'!B779</f>
        <v>: Tambahan  Penghasilan Perangkat Desa dari BKK</v>
      </c>
      <c r="I159" s="865"/>
      <c r="J159" s="865"/>
      <c r="K159" s="1063">
        <f>K162</f>
        <v>56400000</v>
      </c>
      <c r="L159" s="1061" t="s">
        <v>1773</v>
      </c>
    </row>
    <row r="160" spans="1:13" x14ac:dyDescent="0.25">
      <c r="A160" s="1"/>
      <c r="B160" s="1"/>
      <c r="C160" s="1"/>
      <c r="D160" s="1">
        <v>5</v>
      </c>
      <c r="E160" s="1">
        <v>1</v>
      </c>
      <c r="F160" s="1"/>
      <c r="G160" s="1"/>
      <c r="H160" s="4" t="str">
        <f>'BID 1 b'!B785</f>
        <v xml:space="preserve">Belanja Pegawai </v>
      </c>
      <c r="I160" s="1"/>
      <c r="J160" s="1"/>
      <c r="K160" s="73"/>
      <c r="L160" s="1"/>
    </row>
    <row r="161" spans="1:14" ht="30" x14ac:dyDescent="0.25">
      <c r="A161" s="1"/>
      <c r="B161" s="1"/>
      <c r="C161" s="1"/>
      <c r="D161" s="1"/>
      <c r="E161" s="1"/>
      <c r="F161" s="1">
        <v>1</v>
      </c>
      <c r="G161" s="1"/>
      <c r="H161" s="4" t="str">
        <f>'BID 1 b'!B786</f>
        <v>Penghasilan tetap dan Tunjangan Perangkat</v>
      </c>
      <c r="I161" s="1"/>
      <c r="J161" s="1"/>
      <c r="K161" s="73"/>
      <c r="L161" s="1"/>
    </row>
    <row r="162" spans="1:14" ht="30" x14ac:dyDescent="0.25">
      <c r="A162" s="1"/>
      <c r="B162" s="1"/>
      <c r="C162" s="1"/>
      <c r="D162" s="1"/>
      <c r="E162" s="1"/>
      <c r="F162" s="1"/>
      <c r="G162" s="1489" t="s">
        <v>3366</v>
      </c>
      <c r="H162" s="4" t="str">
        <f>'BID 1 b'!B787</f>
        <v>Penghasilan tetap dan Tunjangan Perangkat</v>
      </c>
      <c r="I162" s="1"/>
      <c r="J162" s="1"/>
      <c r="K162" s="73">
        <f>SUM('BID 1 b'!F788:F791)</f>
        <v>56400000</v>
      </c>
      <c r="L162" s="4" t="s">
        <v>1773</v>
      </c>
    </row>
    <row r="163" spans="1:14" ht="30" x14ac:dyDescent="0.25">
      <c r="A163" s="865">
        <v>1</v>
      </c>
      <c r="B163" s="865">
        <v>2</v>
      </c>
      <c r="C163" s="865"/>
      <c r="D163" s="865"/>
      <c r="E163" s="865"/>
      <c r="F163" s="865"/>
      <c r="G163" s="1490"/>
      <c r="H163" s="1061" t="s">
        <v>1711</v>
      </c>
      <c r="I163" s="865"/>
      <c r="J163" s="865"/>
      <c r="K163" s="1063"/>
      <c r="L163" s="1061"/>
    </row>
    <row r="164" spans="1:14" ht="35.25" customHeight="1" x14ac:dyDescent="0.25">
      <c r="A164" s="865">
        <v>1</v>
      </c>
      <c r="B164" s="865">
        <v>2</v>
      </c>
      <c r="C164" s="1490" t="s">
        <v>3366</v>
      </c>
      <c r="D164" s="865"/>
      <c r="E164" s="865"/>
      <c r="F164" s="865"/>
      <c r="G164" s="865"/>
      <c r="H164" s="1061" t="str">
        <f>'BID 1 b'!B811</f>
        <v>: Penyediaan Aset Tetap (Prasarana Kantor Desa)</v>
      </c>
      <c r="I164" s="865"/>
      <c r="J164" s="865"/>
      <c r="K164" s="1063">
        <f>SUM(K165:K176)</f>
        <v>3243107999</v>
      </c>
      <c r="L164" s="865"/>
      <c r="M164" s="68">
        <f>'BID 1 b'!F848</f>
        <v>3243107999</v>
      </c>
      <c r="N164" s="23">
        <f>M164-K164</f>
        <v>0</v>
      </c>
    </row>
    <row r="165" spans="1:14" x14ac:dyDescent="0.25">
      <c r="A165" s="1"/>
      <c r="B165" s="1"/>
      <c r="C165" s="1"/>
      <c r="D165" s="1">
        <v>5</v>
      </c>
      <c r="E165" s="1">
        <v>3</v>
      </c>
      <c r="F165" s="1"/>
      <c r="G165" s="1"/>
      <c r="H165" s="4" t="str">
        <f>'BID 1 b'!B816</f>
        <v>Belanja Modal</v>
      </c>
      <c r="I165" s="1"/>
      <c r="J165" s="1"/>
      <c r="K165" s="73"/>
      <c r="L165" s="1"/>
    </row>
    <row r="166" spans="1:14" x14ac:dyDescent="0.25">
      <c r="A166" s="1"/>
      <c r="B166" s="1"/>
      <c r="C166" s="1"/>
      <c r="D166" s="1"/>
      <c r="E166" s="1"/>
      <c r="F166" s="1">
        <v>1</v>
      </c>
      <c r="G166" s="1"/>
      <c r="H166" s="4" t="str">
        <f>'BID 1 b'!B817</f>
        <v>Belanja Modal Tanah</v>
      </c>
      <c r="I166" s="1"/>
      <c r="J166" s="1"/>
      <c r="K166" s="73"/>
      <c r="L166" s="1"/>
    </row>
    <row r="167" spans="1:14" ht="30" x14ac:dyDescent="0.25">
      <c r="A167" s="1"/>
      <c r="B167" s="1"/>
      <c r="C167" s="1"/>
      <c r="D167" s="1"/>
      <c r="E167" s="1"/>
      <c r="F167" s="1"/>
      <c r="G167" s="1489" t="s">
        <v>3366</v>
      </c>
      <c r="H167" s="4" t="str">
        <f>'BID 1 b'!B818</f>
        <v>Belanja Modal Pembelian Tanah</v>
      </c>
      <c r="I167" s="1"/>
      <c r="J167" s="1"/>
      <c r="K167" s="73">
        <f>SUM('BID 1 b'!F819)</f>
        <v>2470000000</v>
      </c>
      <c r="L167" s="1" t="s">
        <v>1506</v>
      </c>
    </row>
    <row r="168" spans="1:14" ht="30" x14ac:dyDescent="0.25">
      <c r="A168" s="1"/>
      <c r="B168" s="1"/>
      <c r="C168" s="1"/>
      <c r="D168" s="1">
        <v>5</v>
      </c>
      <c r="E168" s="1">
        <v>3</v>
      </c>
      <c r="F168" s="1">
        <v>2</v>
      </c>
      <c r="G168" s="1"/>
      <c r="H168" s="4" t="str">
        <f>'BID 1 b'!B822</f>
        <v>Belanja Modal Peralatan, Mesin, dan Alat Berat</v>
      </c>
      <c r="I168" s="1"/>
      <c r="J168" s="1"/>
      <c r="K168" s="73"/>
      <c r="L168" s="1"/>
    </row>
    <row r="169" spans="1:14" ht="45" x14ac:dyDescent="0.25">
      <c r="A169" s="1"/>
      <c r="B169" s="1"/>
      <c r="C169" s="1"/>
      <c r="D169" s="1"/>
      <c r="E169" s="1"/>
      <c r="F169" s="1"/>
      <c r="G169" s="1489" t="s">
        <v>3366</v>
      </c>
      <c r="H169" s="4" t="str">
        <f>'BID 1 b'!B823</f>
        <v>Belanja modal honor tim yang melaksanakan kegiatan</v>
      </c>
      <c r="I169" s="1"/>
      <c r="J169" s="1"/>
      <c r="K169" s="73">
        <f>SUM('BID 1 b'!F824:F826)</f>
        <v>1150000</v>
      </c>
      <c r="L169" s="1" t="s">
        <v>1506</v>
      </c>
    </row>
    <row r="170" spans="1:14" ht="45" x14ac:dyDescent="0.25">
      <c r="A170" s="1"/>
      <c r="B170" s="1"/>
      <c r="C170" s="1"/>
      <c r="D170" s="1"/>
      <c r="E170" s="1"/>
      <c r="F170" s="1"/>
      <c r="G170" s="1489" t="s">
        <v>3386</v>
      </c>
      <c r="H170" s="4" t="str">
        <f>'BID 1 b'!B829</f>
        <v>Belanja Modal Peralatan elektronik dan Alat Studio</v>
      </c>
      <c r="I170" s="1"/>
      <c r="J170" s="1"/>
      <c r="K170" s="73">
        <f>'BID 1 b'!F830+'BID 1 b'!F832+'BID 1 b'!F834+'BID 1 b'!F835+'BID 1 b'!F837</f>
        <v>49527832</v>
      </c>
      <c r="L170" s="1" t="s">
        <v>1506</v>
      </c>
    </row>
    <row r="171" spans="1:14" ht="45" x14ac:dyDescent="0.25">
      <c r="A171" s="1"/>
      <c r="B171" s="1"/>
      <c r="C171" s="1"/>
      <c r="D171" s="1"/>
      <c r="E171" s="1"/>
      <c r="F171" s="1"/>
      <c r="G171" s="1489" t="s">
        <v>3386</v>
      </c>
      <c r="H171" s="4" t="str">
        <f>'BID 1 b'!B829</f>
        <v>Belanja Modal Peralatan elektronik dan Alat Studio</v>
      </c>
      <c r="I171" s="1"/>
      <c r="J171" s="1"/>
      <c r="K171" s="73">
        <f>'BID 1 b'!F831+'BID 1 b'!F836</f>
        <v>10105000</v>
      </c>
      <c r="L171" s="1" t="s">
        <v>1506</v>
      </c>
    </row>
    <row r="172" spans="1:14" ht="45" x14ac:dyDescent="0.25">
      <c r="A172" s="1"/>
      <c r="B172" s="1"/>
      <c r="C172" s="1"/>
      <c r="D172" s="1"/>
      <c r="E172" s="1"/>
      <c r="F172" s="1"/>
      <c r="G172" s="1489" t="s">
        <v>3386</v>
      </c>
      <c r="H172" s="4" t="str">
        <f>'BID 1 b'!B829</f>
        <v>Belanja Modal Peralatan elektronik dan Alat Studio</v>
      </c>
      <c r="I172" s="1"/>
      <c r="J172" s="1"/>
      <c r="K172" s="73">
        <f>'BID 1 b'!F833</f>
        <v>21250000</v>
      </c>
      <c r="L172" s="4" t="s">
        <v>3297</v>
      </c>
    </row>
    <row r="173" spans="1:14" ht="30" x14ac:dyDescent="0.25">
      <c r="A173" s="1"/>
      <c r="B173" s="1"/>
      <c r="C173" s="1"/>
      <c r="D173" s="1">
        <v>5</v>
      </c>
      <c r="E173" s="1">
        <v>3</v>
      </c>
      <c r="F173" s="1">
        <v>3</v>
      </c>
      <c r="G173" s="1"/>
      <c r="H173" s="4" t="str">
        <f>'BID 1 b'!B838</f>
        <v>Belanja Modal Kendaraan Bermotor</v>
      </c>
      <c r="I173" s="1"/>
      <c r="J173" s="1"/>
      <c r="K173" s="73"/>
      <c r="L173" s="4"/>
    </row>
    <row r="174" spans="1:14" ht="30" x14ac:dyDescent="0.25">
      <c r="A174" s="1"/>
      <c r="B174" s="1"/>
      <c r="C174" s="1"/>
      <c r="D174" s="1"/>
      <c r="E174" s="1"/>
      <c r="F174" s="1"/>
      <c r="G174" s="1489" t="s">
        <v>3386</v>
      </c>
      <c r="H174" s="4" t="str">
        <f>'BID 1 b'!B839</f>
        <v>Belanja Modal Kendaraan Darat Bermotor</v>
      </c>
      <c r="I174" s="1"/>
      <c r="J174" s="1"/>
      <c r="K174" s="73">
        <f>'BID 1 b'!F840</f>
        <v>658800000</v>
      </c>
      <c r="L174" s="4" t="s">
        <v>1506</v>
      </c>
    </row>
    <row r="175" spans="1:14" ht="34.5" customHeight="1" x14ac:dyDescent="0.25">
      <c r="A175" s="1"/>
      <c r="B175" s="1"/>
      <c r="C175" s="1"/>
      <c r="D175" s="1"/>
      <c r="E175" s="1"/>
      <c r="F175" s="1"/>
      <c r="G175" s="1489" t="s">
        <v>3389</v>
      </c>
      <c r="H175" s="4" t="str">
        <f>'BID 1 b'!B841</f>
        <v>Belanja Modal Peralatan mebeulair dan Aksesori ruangan</v>
      </c>
      <c r="I175" s="1"/>
      <c r="J175" s="1"/>
      <c r="K175" s="73">
        <f>'BID 1 b'!F842</f>
        <v>22775167</v>
      </c>
      <c r="L175" s="4" t="s">
        <v>1220</v>
      </c>
    </row>
    <row r="176" spans="1:14" ht="45" x14ac:dyDescent="0.25">
      <c r="A176" s="1"/>
      <c r="B176" s="1"/>
      <c r="C176" s="1"/>
      <c r="D176" s="1"/>
      <c r="E176" s="1"/>
      <c r="F176" s="1"/>
      <c r="G176" s="1489" t="s">
        <v>3389</v>
      </c>
      <c r="H176" s="4" t="str">
        <f>'BID 1 b'!B841</f>
        <v>Belanja Modal Peralatan mebeulair dan Aksesori ruangan</v>
      </c>
      <c r="I176" s="1"/>
      <c r="J176" s="1"/>
      <c r="K176" s="73">
        <f>SUM('BID 1 b'!F843:F846)</f>
        <v>9500000</v>
      </c>
      <c r="L176" s="4" t="s">
        <v>1506</v>
      </c>
    </row>
    <row r="177" spans="1:13" ht="47.25" customHeight="1" x14ac:dyDescent="0.25">
      <c r="A177" s="865">
        <v>1</v>
      </c>
      <c r="B177" s="865">
        <v>2</v>
      </c>
      <c r="C177" s="1490" t="s">
        <v>3386</v>
      </c>
      <c r="D177" s="865"/>
      <c r="E177" s="865"/>
      <c r="F177" s="865"/>
      <c r="G177" s="865"/>
      <c r="H177" s="1061" t="str">
        <f>'BID 1 b'!B862</f>
        <v>Pemeliharaan Gedung/Prasarana Kantor Desa (Ruang Perbekel)</v>
      </c>
      <c r="I177" s="865"/>
      <c r="J177" s="865"/>
      <c r="K177" s="1063">
        <f>SUM(K178:K182)</f>
        <v>27359000</v>
      </c>
      <c r="L177" s="1061" t="s">
        <v>1223</v>
      </c>
      <c r="M177" s="68" t="e">
        <f>'BID 1 b'!#REF!</f>
        <v>#REF!</v>
      </c>
    </row>
    <row r="178" spans="1:13" x14ac:dyDescent="0.25">
      <c r="A178" s="1"/>
      <c r="B178" s="1"/>
      <c r="C178" s="1"/>
      <c r="D178" s="1">
        <v>5</v>
      </c>
      <c r="E178" s="1">
        <v>3</v>
      </c>
      <c r="F178" s="1"/>
      <c r="G178" s="1"/>
      <c r="H178" s="4" t="str">
        <f>'BID 1 b'!B869</f>
        <v xml:space="preserve">Belanja Modal </v>
      </c>
      <c r="I178" s="1"/>
      <c r="J178" s="1"/>
      <c r="K178" s="73"/>
      <c r="L178" s="1"/>
    </row>
    <row r="179" spans="1:13" x14ac:dyDescent="0.25">
      <c r="A179" s="1"/>
      <c r="B179" s="1"/>
      <c r="C179" s="1"/>
      <c r="D179" s="1"/>
      <c r="E179" s="1"/>
      <c r="F179" s="1">
        <v>4</v>
      </c>
      <c r="G179" s="1"/>
      <c r="H179" s="4" t="str">
        <f>'BID 1 b'!B870</f>
        <v>Belanja Modal Gedung</v>
      </c>
      <c r="I179" s="1"/>
      <c r="J179" s="1"/>
      <c r="K179" s="73"/>
      <c r="L179" s="1"/>
    </row>
    <row r="180" spans="1:13" ht="30" x14ac:dyDescent="0.25">
      <c r="A180" s="1"/>
      <c r="B180" s="1"/>
      <c r="C180" s="1"/>
      <c r="D180" s="1"/>
      <c r="E180" s="1"/>
      <c r="F180" s="1"/>
      <c r="G180" s="1489" t="s">
        <v>3366</v>
      </c>
      <c r="H180" s="4" t="str">
        <f>'BID 1 b'!B871</f>
        <v>Honorarium Tim Yang Melaksanakan Kegiatan</v>
      </c>
      <c r="I180" s="1"/>
      <c r="J180" s="1"/>
      <c r="K180" s="73">
        <f>'BID 1 b'!F873</f>
        <v>536000</v>
      </c>
      <c r="L180" s="4" t="s">
        <v>1223</v>
      </c>
    </row>
    <row r="181" spans="1:13" x14ac:dyDescent="0.25">
      <c r="A181" s="1"/>
      <c r="B181" s="1"/>
      <c r="C181" s="1"/>
      <c r="D181" s="1"/>
      <c r="E181" s="1"/>
      <c r="F181" s="1"/>
      <c r="G181" s="1489" t="s">
        <v>3386</v>
      </c>
      <c r="H181" s="1" t="str">
        <f>'BID 1 b'!B874</f>
        <v>Belanja Upah</v>
      </c>
      <c r="I181" s="1"/>
      <c r="J181" s="1"/>
      <c r="K181" s="73">
        <f>'BID 1 b'!F877</f>
        <v>8160000</v>
      </c>
      <c r="L181" s="4" t="s">
        <v>1223</v>
      </c>
    </row>
    <row r="182" spans="1:13" x14ac:dyDescent="0.25">
      <c r="A182" s="1"/>
      <c r="B182" s="1"/>
      <c r="C182" s="1"/>
      <c r="D182" s="1"/>
      <c r="E182" s="1"/>
      <c r="F182" s="1"/>
      <c r="G182" s="1489" t="s">
        <v>3388</v>
      </c>
      <c r="H182" s="1" t="str">
        <f>'BID 1 b'!B878</f>
        <v>Bahan Baku</v>
      </c>
      <c r="I182" s="1"/>
      <c r="J182" s="1"/>
      <c r="K182" s="73">
        <f>'BID 1 b'!F892</f>
        <v>18663000</v>
      </c>
      <c r="L182" s="4" t="s">
        <v>1223</v>
      </c>
    </row>
    <row r="183" spans="1:13" ht="60" x14ac:dyDescent="0.25">
      <c r="A183" s="865">
        <v>1</v>
      </c>
      <c r="B183" s="865">
        <v>2</v>
      </c>
      <c r="C183" s="1490" t="s">
        <v>3386</v>
      </c>
      <c r="D183" s="865"/>
      <c r="E183" s="865"/>
      <c r="F183" s="865"/>
      <c r="G183" s="865"/>
      <c r="H183" s="1061" t="str">
        <f>'BID 1 b'!B911</f>
        <v>Pemeliharaan Gedung/Prasarana Kantor Desa (Ruang Pelayanan Umum)</v>
      </c>
      <c r="I183" s="865"/>
      <c r="J183" s="865"/>
      <c r="K183" s="1063">
        <f>SUM(K184:K188)</f>
        <v>4305420</v>
      </c>
      <c r="L183" s="1061" t="s">
        <v>1223</v>
      </c>
    </row>
    <row r="184" spans="1:13" x14ac:dyDescent="0.25">
      <c r="A184" s="1"/>
      <c r="B184" s="1"/>
      <c r="C184" s="1"/>
      <c r="D184" s="1">
        <v>5</v>
      </c>
      <c r="E184" s="1">
        <v>3</v>
      </c>
      <c r="F184" s="1"/>
      <c r="G184" s="1"/>
      <c r="H184" s="4" t="str">
        <f>'BID 1 b'!B918</f>
        <v xml:space="preserve">Belanja Modal </v>
      </c>
      <c r="I184" s="1"/>
      <c r="J184" s="1"/>
      <c r="K184" s="73"/>
      <c r="L184" s="1"/>
    </row>
    <row r="185" spans="1:13" x14ac:dyDescent="0.25">
      <c r="A185" s="1"/>
      <c r="B185" s="1"/>
      <c r="C185" s="1"/>
      <c r="D185" s="1"/>
      <c r="E185" s="1"/>
      <c r="F185" s="1">
        <v>4</v>
      </c>
      <c r="G185" s="1"/>
      <c r="H185" s="4" t="str">
        <f>'BID 1 b'!B919</f>
        <v>Belanja Modal Gedung</v>
      </c>
      <c r="I185" s="1"/>
      <c r="J185" s="1"/>
      <c r="K185" s="73"/>
      <c r="L185" s="1"/>
    </row>
    <row r="186" spans="1:13" ht="30" x14ac:dyDescent="0.25">
      <c r="A186" s="1"/>
      <c r="B186" s="1"/>
      <c r="C186" s="1"/>
      <c r="D186" s="1"/>
      <c r="E186" s="1"/>
      <c r="F186" s="1"/>
      <c r="G186" s="1489" t="s">
        <v>3366</v>
      </c>
      <c r="H186" s="4" t="str">
        <f>'BID 1 b'!B920</f>
        <v>Honorarium Tim Yang Melaksanakan Kegiatan</v>
      </c>
      <c r="I186" s="1"/>
      <c r="J186" s="1"/>
      <c r="K186" s="73">
        <f>'BID 1 b'!F922</f>
        <v>84420</v>
      </c>
      <c r="L186" s="4" t="s">
        <v>1223</v>
      </c>
    </row>
    <row r="187" spans="1:13" x14ac:dyDescent="0.25">
      <c r="A187" s="1"/>
      <c r="B187" s="1"/>
      <c r="C187" s="1"/>
      <c r="D187" s="1"/>
      <c r="E187" s="1"/>
      <c r="F187" s="1"/>
      <c r="G187" s="1489" t="s">
        <v>3386</v>
      </c>
      <c r="H187" s="1" t="str">
        <f>'BID 1 b'!B923</f>
        <v>Belanja Upah</v>
      </c>
      <c r="I187" s="1"/>
      <c r="J187" s="1"/>
      <c r="K187" s="73">
        <f>'BID 1 b'!F926</f>
        <v>1260000</v>
      </c>
      <c r="L187" s="4" t="s">
        <v>1223</v>
      </c>
    </row>
    <row r="188" spans="1:13" x14ac:dyDescent="0.25">
      <c r="A188" s="1"/>
      <c r="B188" s="1"/>
      <c r="C188" s="1"/>
      <c r="D188" s="1"/>
      <c r="E188" s="1"/>
      <c r="F188" s="1"/>
      <c r="G188" s="1489" t="s">
        <v>3388</v>
      </c>
      <c r="H188" s="1" t="str">
        <f>'BID 1 b'!B927</f>
        <v>Bahan Baku</v>
      </c>
      <c r="I188" s="1"/>
      <c r="J188" s="1"/>
      <c r="K188" s="73">
        <f>'BID 1 b'!F933</f>
        <v>2961000</v>
      </c>
      <c r="L188" s="4" t="s">
        <v>1223</v>
      </c>
    </row>
    <row r="189" spans="1:13" ht="46.5" customHeight="1" x14ac:dyDescent="0.25">
      <c r="A189" s="865">
        <v>1</v>
      </c>
      <c r="B189" s="865">
        <v>2</v>
      </c>
      <c r="C189" s="1490" t="s">
        <v>3386</v>
      </c>
      <c r="D189" s="865"/>
      <c r="E189" s="865"/>
      <c r="F189" s="865"/>
      <c r="G189" s="865"/>
      <c r="H189" s="1061" t="str">
        <f>'BID 1 b'!B948</f>
        <v>Pemeliharaan Gedung/Prasarana Kantor Desa Ruang (Kepala Dusun)</v>
      </c>
      <c r="I189" s="865"/>
      <c r="J189" s="865"/>
      <c r="K189" s="1063">
        <f>SUM(K190:K194)</f>
        <v>15798000</v>
      </c>
      <c r="L189" s="1061" t="s">
        <v>1223</v>
      </c>
    </row>
    <row r="190" spans="1:13" x14ac:dyDescent="0.25">
      <c r="A190" s="1"/>
      <c r="B190" s="1"/>
      <c r="C190" s="1"/>
      <c r="D190" s="1">
        <v>5</v>
      </c>
      <c r="E190" s="1">
        <v>3</v>
      </c>
      <c r="F190" s="1"/>
      <c r="G190" s="1"/>
      <c r="H190" s="4" t="str">
        <f>'BID 1 b'!B955</f>
        <v xml:space="preserve">Belanja Modal </v>
      </c>
      <c r="I190" s="1"/>
      <c r="J190" s="1"/>
      <c r="K190" s="73"/>
      <c r="L190" s="1"/>
    </row>
    <row r="191" spans="1:13" x14ac:dyDescent="0.25">
      <c r="A191" s="1"/>
      <c r="B191" s="1"/>
      <c r="C191" s="1"/>
      <c r="D191" s="1"/>
      <c r="E191" s="1"/>
      <c r="F191" s="1">
        <v>4</v>
      </c>
      <c r="G191" s="1"/>
      <c r="H191" s="4" t="str">
        <f>'BID 1 b'!B956</f>
        <v>Belanja Modal Gedung</v>
      </c>
      <c r="I191" s="1"/>
      <c r="J191" s="1"/>
      <c r="K191" s="73"/>
      <c r="L191" s="1"/>
    </row>
    <row r="192" spans="1:13" ht="30" x14ac:dyDescent="0.25">
      <c r="A192" s="1"/>
      <c r="B192" s="1"/>
      <c r="C192" s="1"/>
      <c r="D192" s="1"/>
      <c r="E192" s="1"/>
      <c r="F192" s="1"/>
      <c r="G192" s="1489" t="s">
        <v>3366</v>
      </c>
      <c r="H192" s="4" t="str">
        <f>'BID 1 b'!B957</f>
        <v>Honorarium Tim Yang Melaksanakan Kegiatan</v>
      </c>
      <c r="I192" s="1"/>
      <c r="J192" s="1"/>
      <c r="K192" s="73">
        <f>'BID 1 b'!F959</f>
        <v>309000</v>
      </c>
      <c r="L192" s="4" t="s">
        <v>1223</v>
      </c>
    </row>
    <row r="193" spans="1:13" x14ac:dyDescent="0.25">
      <c r="A193" s="1"/>
      <c r="B193" s="1"/>
      <c r="C193" s="1"/>
      <c r="D193" s="1"/>
      <c r="E193" s="1"/>
      <c r="F193" s="1"/>
      <c r="G193" s="1489" t="s">
        <v>3386</v>
      </c>
      <c r="H193" s="1" t="str">
        <f>'BID 1 b'!B960</f>
        <v>Belanja Upah</v>
      </c>
      <c r="I193" s="1"/>
      <c r="J193" s="1"/>
      <c r="K193" s="73">
        <f>'BID 1 b'!F963</f>
        <v>5310000</v>
      </c>
      <c r="L193" s="4" t="s">
        <v>1223</v>
      </c>
    </row>
    <row r="194" spans="1:13" x14ac:dyDescent="0.25">
      <c r="A194" s="1"/>
      <c r="B194" s="1"/>
      <c r="C194" s="1"/>
      <c r="D194" s="1"/>
      <c r="E194" s="1"/>
      <c r="F194" s="1"/>
      <c r="G194" s="1489" t="s">
        <v>3388</v>
      </c>
      <c r="H194" s="1" t="str">
        <f>'BID 1 b'!B964</f>
        <v>Bahan Baku</v>
      </c>
      <c r="I194" s="1"/>
      <c r="J194" s="1"/>
      <c r="K194" s="73">
        <f>'BID 1 b'!F980</f>
        <v>10179000</v>
      </c>
      <c r="L194" s="4" t="s">
        <v>1223</v>
      </c>
    </row>
    <row r="195" spans="1:13" ht="46.5" customHeight="1" x14ac:dyDescent="0.25">
      <c r="A195" s="865">
        <v>1</v>
      </c>
      <c r="B195" s="865">
        <v>2</v>
      </c>
      <c r="C195" s="1490" t="s">
        <v>3386</v>
      </c>
      <c r="D195" s="865"/>
      <c r="E195" s="865"/>
      <c r="F195" s="865"/>
      <c r="G195" s="865"/>
      <c r="H195" s="1061" t="str">
        <f>'BID 1 b'!B995</f>
        <v>Pemeliharaan Gedung/Prasarana Kantor Desa Ruang Kasi Kaur</v>
      </c>
      <c r="I195" s="865"/>
      <c r="J195" s="865"/>
      <c r="K195" s="1063">
        <f>SUM(K196:K200)</f>
        <v>20497000</v>
      </c>
      <c r="L195" s="1061" t="s">
        <v>1223</v>
      </c>
      <c r="M195" s="68">
        <f>'BID 1 b'!F1028</f>
        <v>20497000</v>
      </c>
    </row>
    <row r="196" spans="1:13" x14ac:dyDescent="0.25">
      <c r="A196" s="1"/>
      <c r="B196" s="1"/>
      <c r="C196" s="1"/>
      <c r="D196" s="1">
        <v>5</v>
      </c>
      <c r="E196" s="1">
        <v>3</v>
      </c>
      <c r="F196" s="1"/>
      <c r="G196" s="1"/>
      <c r="H196" s="4" t="str">
        <f>'BID 1 b'!B1002</f>
        <v xml:space="preserve">Belanja Modal </v>
      </c>
      <c r="I196" s="1"/>
      <c r="J196" s="1"/>
      <c r="K196" s="73"/>
      <c r="L196" s="1"/>
    </row>
    <row r="197" spans="1:13" x14ac:dyDescent="0.25">
      <c r="A197" s="1"/>
      <c r="B197" s="1"/>
      <c r="C197" s="1"/>
      <c r="D197" s="1"/>
      <c r="E197" s="1"/>
      <c r="F197" s="1">
        <v>4</v>
      </c>
      <c r="G197" s="1"/>
      <c r="H197" s="4" t="str">
        <f>'BID 1 b'!B1003</f>
        <v>Belanja Modal Gedung</v>
      </c>
      <c r="I197" s="1"/>
      <c r="J197" s="1"/>
      <c r="K197" s="73"/>
      <c r="L197" s="1"/>
    </row>
    <row r="198" spans="1:13" ht="30" x14ac:dyDescent="0.25">
      <c r="A198" s="1"/>
      <c r="B198" s="1"/>
      <c r="C198" s="1"/>
      <c r="D198" s="1"/>
      <c r="E198" s="1"/>
      <c r="F198" s="1"/>
      <c r="G198" s="1489" t="s">
        <v>3366</v>
      </c>
      <c r="H198" s="4" t="str">
        <f>'BID 1 b'!B1004</f>
        <v>Honorarium Tim Yang Melaksanakan Kegiatan</v>
      </c>
      <c r="I198" s="1"/>
      <c r="J198" s="1"/>
      <c r="K198" s="73">
        <f>'BID 1 b'!F1006</f>
        <v>401000</v>
      </c>
      <c r="L198" s="4" t="s">
        <v>1223</v>
      </c>
    </row>
    <row r="199" spans="1:13" x14ac:dyDescent="0.25">
      <c r="A199" s="1"/>
      <c r="B199" s="1"/>
      <c r="C199" s="1"/>
      <c r="D199" s="1"/>
      <c r="E199" s="1"/>
      <c r="F199" s="1"/>
      <c r="G199" s="1489" t="s">
        <v>3386</v>
      </c>
      <c r="H199" s="1" t="str">
        <f>'BID 1 b'!B1007</f>
        <v>Belanja Upah</v>
      </c>
      <c r="I199" s="1"/>
      <c r="J199" s="1"/>
      <c r="K199" s="73">
        <f>'BID 1 b'!F1010</f>
        <v>7950000</v>
      </c>
      <c r="L199" s="4" t="s">
        <v>1223</v>
      </c>
    </row>
    <row r="200" spans="1:13" x14ac:dyDescent="0.25">
      <c r="A200" s="1"/>
      <c r="B200" s="1"/>
      <c r="C200" s="1"/>
      <c r="D200" s="1"/>
      <c r="E200" s="1"/>
      <c r="F200" s="1"/>
      <c r="G200" s="1489" t="s">
        <v>3388</v>
      </c>
      <c r="H200" s="1" t="str">
        <f>'BID 1 b'!B1011</f>
        <v>Bahan Baku</v>
      </c>
      <c r="I200" s="1"/>
      <c r="J200" s="1"/>
      <c r="K200" s="73">
        <f>'BID 1 b'!F1027</f>
        <v>12146000</v>
      </c>
      <c r="L200" s="4" t="s">
        <v>1223</v>
      </c>
    </row>
    <row r="201" spans="1:13" ht="45" x14ac:dyDescent="0.25">
      <c r="A201" s="865">
        <v>1</v>
      </c>
      <c r="B201" s="865">
        <v>2</v>
      </c>
      <c r="C201" s="1490" t="s">
        <v>3386</v>
      </c>
      <c r="D201" s="865"/>
      <c r="E201" s="865"/>
      <c r="F201" s="865"/>
      <c r="G201" s="865"/>
      <c r="H201" s="1061" t="str">
        <f>'BID 1 b'!B1042</f>
        <v>Pemeliharaan Gedung/Prasarana Gudang</v>
      </c>
      <c r="I201" s="865"/>
      <c r="J201" s="865"/>
      <c r="K201" s="1063">
        <f>SUM(K202:K206)</f>
        <v>81599000</v>
      </c>
      <c r="L201" s="1061" t="s">
        <v>1506</v>
      </c>
    </row>
    <row r="202" spans="1:13" x14ac:dyDescent="0.25">
      <c r="A202" s="1"/>
      <c r="B202" s="1"/>
      <c r="C202" s="1"/>
      <c r="D202" s="1">
        <v>5</v>
      </c>
      <c r="E202" s="1">
        <v>3</v>
      </c>
      <c r="F202" s="1"/>
      <c r="G202" s="1"/>
      <c r="H202" s="4" t="str">
        <f>'BID 1 b'!B1049</f>
        <v xml:space="preserve">Belanja Modal </v>
      </c>
      <c r="I202" s="1"/>
      <c r="J202" s="1"/>
      <c r="K202" s="73"/>
      <c r="L202" s="4"/>
    </row>
    <row r="203" spans="1:13" x14ac:dyDescent="0.25">
      <c r="A203" s="1"/>
      <c r="B203" s="1"/>
      <c r="C203" s="1"/>
      <c r="D203" s="1"/>
      <c r="E203" s="1"/>
      <c r="F203" s="1">
        <v>4</v>
      </c>
      <c r="G203" s="1"/>
      <c r="H203" s="4" t="str">
        <f>'BID 1 b'!B1050</f>
        <v>Belanja Modal Gedung</v>
      </c>
      <c r="I203" s="1"/>
      <c r="J203" s="1"/>
      <c r="K203" s="73"/>
      <c r="L203" s="4"/>
    </row>
    <row r="204" spans="1:13" ht="30" x14ac:dyDescent="0.25">
      <c r="A204" s="1"/>
      <c r="B204" s="1"/>
      <c r="C204" s="1"/>
      <c r="D204" s="1"/>
      <c r="E204" s="1"/>
      <c r="F204" s="1"/>
      <c r="G204" s="1489" t="s">
        <v>3366</v>
      </c>
      <c r="H204" s="4" t="str">
        <f>'BID 1 b'!B1051</f>
        <v>Honorarium Tim Yang Melaksanakan Kegiatan</v>
      </c>
      <c r="I204" s="1"/>
      <c r="J204" s="1"/>
      <c r="K204" s="73">
        <f>'BID 1 b'!F1053</f>
        <v>1567000</v>
      </c>
      <c r="L204" s="4" t="s">
        <v>1506</v>
      </c>
    </row>
    <row r="205" spans="1:13" x14ac:dyDescent="0.25">
      <c r="A205" s="1"/>
      <c r="B205" s="1"/>
      <c r="C205" s="1"/>
      <c r="D205" s="1"/>
      <c r="E205" s="1"/>
      <c r="F205" s="1"/>
      <c r="G205" s="1489" t="s">
        <v>3386</v>
      </c>
      <c r="H205" s="1" t="str">
        <f>'BID 1 b'!B1054</f>
        <v>Belanja Upah</v>
      </c>
      <c r="I205" s="1"/>
      <c r="J205" s="1"/>
      <c r="K205" s="73">
        <f>'BID 1 b'!F1057</f>
        <v>8130000</v>
      </c>
      <c r="L205" s="4" t="s">
        <v>1506</v>
      </c>
    </row>
    <row r="206" spans="1:13" x14ac:dyDescent="0.25">
      <c r="A206" s="1"/>
      <c r="B206" s="1"/>
      <c r="C206" s="1"/>
      <c r="D206" s="1"/>
      <c r="E206" s="1"/>
      <c r="F206" s="1"/>
      <c r="G206" s="1489" t="s">
        <v>3388</v>
      </c>
      <c r="H206" s="1" t="str">
        <f>'BID 1 b'!B1058</f>
        <v>Bahan Baku</v>
      </c>
      <c r="I206" s="1"/>
      <c r="J206" s="1"/>
      <c r="K206" s="73">
        <f>'BID 1 b'!F1063</f>
        <v>71902000</v>
      </c>
      <c r="L206" s="4" t="s">
        <v>1506</v>
      </c>
    </row>
    <row r="207" spans="1:13" ht="90" x14ac:dyDescent="0.25">
      <c r="A207" s="865">
        <v>1</v>
      </c>
      <c r="B207" s="865">
        <v>2</v>
      </c>
      <c r="C207" s="1490" t="s">
        <v>3386</v>
      </c>
      <c r="D207" s="865"/>
      <c r="E207" s="865"/>
      <c r="F207" s="865"/>
      <c r="G207" s="865"/>
      <c r="H207" s="1061" t="str">
        <f>'BID 1 b'!B1080</f>
        <v>Pemeliharaan/ Rehabilitasi/ Peningkatan Gedung/ Prasarana Kantor Desa (Penataan Kebun dan Vertical Garden)</v>
      </c>
      <c r="I207" s="865"/>
      <c r="J207" s="865"/>
      <c r="K207" s="1063">
        <f>SUM(K208:K212)</f>
        <v>8177600</v>
      </c>
      <c r="L207" s="1061" t="s">
        <v>1223</v>
      </c>
    </row>
    <row r="208" spans="1:13" x14ac:dyDescent="0.25">
      <c r="A208" s="1"/>
      <c r="B208" s="1"/>
      <c r="C208" s="1"/>
      <c r="D208" s="1">
        <v>5</v>
      </c>
      <c r="E208" s="1">
        <v>3</v>
      </c>
      <c r="F208" s="1"/>
      <c r="G208" s="1"/>
      <c r="H208" s="4" t="str">
        <f>'BID 1 b'!B1087</f>
        <v>Belanja Modal</v>
      </c>
      <c r="I208" s="1"/>
      <c r="J208" s="1"/>
      <c r="K208" s="73"/>
      <c r="L208" s="4"/>
    </row>
    <row r="209" spans="1:13" ht="30" x14ac:dyDescent="0.25">
      <c r="A209" s="1"/>
      <c r="B209" s="1"/>
      <c r="C209" s="1"/>
      <c r="D209" s="1"/>
      <c r="E209" s="1"/>
      <c r="F209" s="1">
        <v>4</v>
      </c>
      <c r="G209" s="1"/>
      <c r="H209" s="4" t="str">
        <f>'BID 1 b'!B1088</f>
        <v>Belanja modal Gedung, Bangunan, Tanaman</v>
      </c>
      <c r="I209" s="1"/>
      <c r="J209" s="1"/>
      <c r="K209" s="73"/>
      <c r="L209" s="4"/>
    </row>
    <row r="210" spans="1:13" ht="45" x14ac:dyDescent="0.25">
      <c r="A210" s="1"/>
      <c r="B210" s="1"/>
      <c r="C210" s="1"/>
      <c r="D210" s="1"/>
      <c r="E210" s="1"/>
      <c r="F210" s="1"/>
      <c r="G210" s="1489" t="s">
        <v>3366</v>
      </c>
      <c r="H210" s="4" t="str">
        <f>'BID 1 b'!B1089</f>
        <v>Belanja modal oprasional tim yang melaksanakan kegiatan</v>
      </c>
      <c r="I210" s="1"/>
      <c r="J210" s="1"/>
      <c r="K210" s="73">
        <f>'BID 1 b'!F1091</f>
        <v>727600</v>
      </c>
      <c r="L210" s="4" t="s">
        <v>1223</v>
      </c>
    </row>
    <row r="211" spans="1:13" ht="30" x14ac:dyDescent="0.25">
      <c r="A211" s="1"/>
      <c r="B211" s="1"/>
      <c r="C211" s="1"/>
      <c r="D211" s="1"/>
      <c r="E211" s="1"/>
      <c r="F211" s="1"/>
      <c r="G211" s="1489" t="s">
        <v>3386</v>
      </c>
      <c r="H211" s="4" t="str">
        <f>'BID 1 b'!B1092</f>
        <v>Belanja modal upah tenaga kerja</v>
      </c>
      <c r="I211" s="1"/>
      <c r="J211" s="1"/>
      <c r="K211" s="73">
        <f>'BID 1 b'!F1095</f>
        <v>1300000</v>
      </c>
      <c r="L211" s="4" t="s">
        <v>1223</v>
      </c>
    </row>
    <row r="212" spans="1:13" x14ac:dyDescent="0.25">
      <c r="A212" s="1"/>
      <c r="B212" s="1"/>
      <c r="C212" s="1"/>
      <c r="D212" s="1"/>
      <c r="E212" s="1"/>
      <c r="F212" s="1"/>
      <c r="G212" s="1489" t="s">
        <v>3388</v>
      </c>
      <c r="H212" s="1" t="str">
        <f>'BID 1 b'!B1096</f>
        <v>Belanja modal bahan baku</v>
      </c>
      <c r="I212" s="1"/>
      <c r="J212" s="1"/>
      <c r="K212" s="73">
        <f>SUM('BID 1 b'!F1097:F1098)</f>
        <v>6150000</v>
      </c>
      <c r="L212" s="4" t="s">
        <v>1223</v>
      </c>
    </row>
    <row r="213" spans="1:13" ht="105" x14ac:dyDescent="0.25">
      <c r="A213" s="865">
        <v>1</v>
      </c>
      <c r="B213" s="865">
        <v>2</v>
      </c>
      <c r="C213" s="865">
        <v>90</v>
      </c>
      <c r="D213" s="865"/>
      <c r="E213" s="865"/>
      <c r="F213" s="865"/>
      <c r="G213" s="865"/>
      <c r="H213" s="1061" t="str">
        <f>'BID 1 b'!B1116</f>
        <v>Perencanaan Pembangunan Geduk/Prasarana Kantor Desa (Perencanaan/ Penggkajian Pembangunan Desa Wisata)</v>
      </c>
      <c r="I213" s="865"/>
      <c r="J213" s="865"/>
      <c r="K213" s="1063">
        <f>SUM(K214:K217)</f>
        <v>50750000</v>
      </c>
      <c r="L213" s="1061" t="s">
        <v>1223</v>
      </c>
      <c r="M213" s="1575" t="s">
        <v>3530</v>
      </c>
    </row>
    <row r="214" spans="1:13" x14ac:dyDescent="0.25">
      <c r="A214" s="1"/>
      <c r="B214" s="1"/>
      <c r="C214" s="1"/>
      <c r="D214" s="1">
        <v>5</v>
      </c>
      <c r="E214" s="1">
        <v>2</v>
      </c>
      <c r="F214" s="1"/>
      <c r="G214" s="1"/>
      <c r="H214" s="4" t="str">
        <f>'BID 1 b'!B1123</f>
        <v>Belanja Barang Jasa</v>
      </c>
      <c r="I214" s="1"/>
      <c r="J214" s="1"/>
      <c r="K214" s="73"/>
      <c r="L214" s="4"/>
    </row>
    <row r="215" spans="1:13" x14ac:dyDescent="0.25">
      <c r="A215" s="1"/>
      <c r="B215" s="1"/>
      <c r="C215" s="1"/>
      <c r="D215" s="1"/>
      <c r="E215" s="1"/>
      <c r="F215" s="1">
        <v>2</v>
      </c>
      <c r="G215" s="1"/>
      <c r="H215" s="4" t="str">
        <f>'BID 1 b'!B1124</f>
        <v>Belanja Honorarium</v>
      </c>
      <c r="I215" s="1"/>
      <c r="J215" s="1"/>
      <c r="K215" s="73"/>
      <c r="L215" s="4"/>
    </row>
    <row r="216" spans="1:13" ht="45" x14ac:dyDescent="0.25">
      <c r="A216" s="1"/>
      <c r="B216" s="1"/>
      <c r="C216" s="1"/>
      <c r="D216" s="1"/>
      <c r="E216" s="1"/>
      <c r="F216" s="1"/>
      <c r="G216" s="1489" t="s">
        <v>3366</v>
      </c>
      <c r="H216" s="4" t="str">
        <f>'BID 1 b'!B1125</f>
        <v>Belanja Honoraium Tim Yang Melaksanakan Kegiatan</v>
      </c>
      <c r="I216" s="1"/>
      <c r="J216" s="1"/>
      <c r="K216" s="73">
        <f>SUM('BID 1 b'!F1126:F1128)</f>
        <v>750000</v>
      </c>
      <c r="L216" s="4" t="s">
        <v>1223</v>
      </c>
    </row>
    <row r="217" spans="1:13" x14ac:dyDescent="0.25">
      <c r="A217" s="1"/>
      <c r="B217" s="1"/>
      <c r="C217" s="1"/>
      <c r="D217" s="1"/>
      <c r="E217" s="1"/>
      <c r="F217" s="1"/>
      <c r="G217" s="1489" t="s">
        <v>3389</v>
      </c>
      <c r="H217" s="1" t="str">
        <f>'BID 1 b'!B1129</f>
        <v>Belanja Honoraium Ahli</v>
      </c>
      <c r="I217" s="1"/>
      <c r="J217" s="1"/>
      <c r="K217" s="73">
        <f>'BID 1 b'!F1130</f>
        <v>50000000</v>
      </c>
      <c r="L217" s="4" t="s">
        <v>1223</v>
      </c>
    </row>
    <row r="218" spans="1:13" ht="60" x14ac:dyDescent="0.25">
      <c r="A218" s="865">
        <v>1</v>
      </c>
      <c r="B218" s="865">
        <v>3</v>
      </c>
      <c r="C218" s="865"/>
      <c r="D218" s="865"/>
      <c r="E218" s="865"/>
      <c r="F218" s="865"/>
      <c r="G218" s="865"/>
      <c r="H218" s="1061" t="str">
        <f>'BID 1 b'!B1149</f>
        <v>: Administrasi Kependudukan, Pencatatan Sipil, Statistik Dan Kearsipan</v>
      </c>
      <c r="I218" s="865"/>
      <c r="J218" s="865"/>
      <c r="K218" s="1063"/>
      <c r="L218" s="1061"/>
    </row>
    <row r="219" spans="1:13" ht="45" x14ac:dyDescent="0.25">
      <c r="A219" s="865">
        <v>1</v>
      </c>
      <c r="B219" s="865">
        <v>3</v>
      </c>
      <c r="C219" s="865">
        <v>92</v>
      </c>
      <c r="D219" s="865"/>
      <c r="E219" s="865"/>
      <c r="F219" s="865"/>
      <c r="G219" s="865"/>
      <c r="H219" s="1061" t="str">
        <f>'BID 1 b'!B1150</f>
        <v>: Penyusunan/ Pendataan/PemuktahiranSDGS</v>
      </c>
      <c r="I219" s="865"/>
      <c r="J219" s="865"/>
      <c r="K219" s="1063">
        <f>K223+K225</f>
        <v>5800000</v>
      </c>
      <c r="L219" s="1061" t="s">
        <v>1220</v>
      </c>
    </row>
    <row r="220" spans="1:13" x14ac:dyDescent="0.25">
      <c r="A220" s="1"/>
      <c r="B220" s="1"/>
      <c r="C220" s="1"/>
      <c r="D220" s="1"/>
      <c r="E220" s="1"/>
      <c r="F220" s="1"/>
      <c r="G220" s="1"/>
      <c r="H220" s="4" t="str">
        <f>'BID 1 b'!B1155</f>
        <v>Pelatihan</v>
      </c>
      <c r="I220" s="1"/>
      <c r="J220" s="1"/>
      <c r="K220" s="73"/>
      <c r="L220" s="4"/>
    </row>
    <row r="221" spans="1:13" x14ac:dyDescent="0.25">
      <c r="A221" s="1"/>
      <c r="B221" s="1"/>
      <c r="C221" s="1"/>
      <c r="D221" s="1">
        <v>5</v>
      </c>
      <c r="E221" s="1">
        <v>2</v>
      </c>
      <c r="F221" s="1"/>
      <c r="G221" s="1"/>
      <c r="H221" s="4" t="str">
        <f>'BID 1 b'!B1156</f>
        <v>Belanja Barang Jasa</v>
      </c>
      <c r="I221" s="1"/>
      <c r="J221" s="1"/>
      <c r="K221" s="73"/>
      <c r="L221" s="4"/>
    </row>
    <row r="222" spans="1:13" ht="30" x14ac:dyDescent="0.25">
      <c r="A222" s="1"/>
      <c r="B222" s="1"/>
      <c r="C222" s="1"/>
      <c r="D222" s="1"/>
      <c r="E222" s="1"/>
      <c r="F222" s="1">
        <v>1</v>
      </c>
      <c r="G222" s="1"/>
      <c r="H222" s="4" t="str">
        <f>'BID 1 b'!B1157</f>
        <v>Belanja Barang Perlengkapan</v>
      </c>
      <c r="I222" s="1"/>
      <c r="J222" s="1"/>
      <c r="K222" s="73"/>
      <c r="L222" s="4"/>
    </row>
    <row r="223" spans="1:13" ht="30" x14ac:dyDescent="0.25">
      <c r="A223" s="1"/>
      <c r="B223" s="1"/>
      <c r="C223" s="1"/>
      <c r="D223" s="1"/>
      <c r="E223" s="1"/>
      <c r="F223" s="1"/>
      <c r="G223" s="1489" t="s">
        <v>3391</v>
      </c>
      <c r="H223" s="4" t="str">
        <f>'BID 1 b'!B1158</f>
        <v>Belanja Perlengkapan Barang Konsumsi</v>
      </c>
      <c r="I223" s="1"/>
      <c r="J223" s="1"/>
      <c r="K223" s="73">
        <f>'BID 1 b'!F1159</f>
        <v>400000</v>
      </c>
      <c r="L223" s="4" t="s">
        <v>1220</v>
      </c>
    </row>
    <row r="224" spans="1:13" x14ac:dyDescent="0.25">
      <c r="A224" s="1"/>
      <c r="B224" s="1"/>
      <c r="C224" s="1"/>
      <c r="D224" s="1">
        <v>5</v>
      </c>
      <c r="E224" s="1">
        <v>2</v>
      </c>
      <c r="F224" s="1">
        <v>2</v>
      </c>
      <c r="G224" s="1"/>
      <c r="H224" s="4" t="str">
        <f>'BID 1 b'!B1161</f>
        <v xml:space="preserve">Belanja Jasa Honorarium </v>
      </c>
      <c r="I224" s="1"/>
      <c r="J224" s="1"/>
      <c r="K224" s="73"/>
      <c r="L224" s="4"/>
    </row>
    <row r="225" spans="1:13" ht="30" x14ac:dyDescent="0.25">
      <c r="A225" s="1"/>
      <c r="B225" s="1"/>
      <c r="C225" s="1"/>
      <c r="D225" s="1"/>
      <c r="E225" s="1"/>
      <c r="F225" s="1"/>
      <c r="G225" s="1489" t="s">
        <v>3390</v>
      </c>
      <c r="H225" s="4" t="str">
        <f>'BID 1 b'!B1162</f>
        <v>Belanja Jasa Honorarium Petugas</v>
      </c>
      <c r="I225" s="1"/>
      <c r="J225" s="1"/>
      <c r="K225" s="73">
        <f>'BID 1 b'!F1163</f>
        <v>5400000</v>
      </c>
      <c r="L225" s="4" t="s">
        <v>1220</v>
      </c>
    </row>
    <row r="226" spans="1:13" ht="49.5" customHeight="1" x14ac:dyDescent="0.25">
      <c r="A226" s="865">
        <v>1</v>
      </c>
      <c r="B226" s="865">
        <v>3</v>
      </c>
      <c r="C226" s="1490" t="s">
        <v>3386</v>
      </c>
      <c r="D226" s="865"/>
      <c r="E226" s="865"/>
      <c r="F226" s="865"/>
      <c r="G226" s="865"/>
      <c r="H226" s="1061" t="str">
        <f>'BID 1 b'!B1182</f>
        <v>: Penyusunan/ Pendataan/Pemuktahiran Profil Desa (Indek Desa)</v>
      </c>
      <c r="I226" s="865"/>
      <c r="J226" s="865"/>
      <c r="K226" s="1063">
        <f>K229+K231</f>
        <v>1900000</v>
      </c>
      <c r="L226" s="1061" t="s">
        <v>1220</v>
      </c>
    </row>
    <row r="227" spans="1:13" x14ac:dyDescent="0.25">
      <c r="A227" s="1"/>
      <c r="B227" s="1"/>
      <c r="C227" s="1"/>
      <c r="D227" s="1">
        <v>5</v>
      </c>
      <c r="E227" s="1">
        <v>2</v>
      </c>
      <c r="F227" s="1"/>
      <c r="G227" s="1"/>
      <c r="H227" s="4" t="str">
        <f>'BID 1 b'!B1188</f>
        <v>Belanja Barang Jasa</v>
      </c>
      <c r="I227" s="1"/>
      <c r="J227" s="1"/>
      <c r="K227" s="73"/>
      <c r="L227" s="1"/>
    </row>
    <row r="228" spans="1:13" ht="30" x14ac:dyDescent="0.25">
      <c r="A228" s="1"/>
      <c r="B228" s="1"/>
      <c r="C228" s="1"/>
      <c r="D228" s="1"/>
      <c r="E228" s="1"/>
      <c r="F228" s="1">
        <v>1</v>
      </c>
      <c r="G228" s="1"/>
      <c r="H228" s="4" t="str">
        <f>'BID 1 b'!B1189</f>
        <v>Belanja Barang Perlengkapan</v>
      </c>
      <c r="I228" s="1"/>
      <c r="J228" s="1"/>
      <c r="K228" s="73"/>
      <c r="L228" s="1"/>
    </row>
    <row r="229" spans="1:13" ht="30" x14ac:dyDescent="0.25">
      <c r="A229" s="1"/>
      <c r="B229" s="1"/>
      <c r="C229" s="1"/>
      <c r="D229" s="1"/>
      <c r="E229" s="1"/>
      <c r="F229" s="1"/>
      <c r="G229" s="1489" t="s">
        <v>3391</v>
      </c>
      <c r="H229" s="4" t="str">
        <f>'BID 1 b'!B1190</f>
        <v>Belanja Perlengkapan Barang Konsumsi</v>
      </c>
      <c r="I229" s="1"/>
      <c r="J229" s="1"/>
      <c r="K229" s="73">
        <f>'BID 1 b'!F1191</f>
        <v>400000</v>
      </c>
      <c r="L229" s="4" t="s">
        <v>1220</v>
      </c>
    </row>
    <row r="230" spans="1:13" x14ac:dyDescent="0.25">
      <c r="A230" s="1"/>
      <c r="B230" s="1"/>
      <c r="C230" s="1"/>
      <c r="D230" s="1">
        <v>5</v>
      </c>
      <c r="E230" s="1">
        <v>2</v>
      </c>
      <c r="F230" s="1">
        <v>2</v>
      </c>
      <c r="G230" s="1"/>
      <c r="H230" s="4" t="str">
        <f>'BID 1 b'!B1193</f>
        <v xml:space="preserve">Belanja Jasa Honorarium </v>
      </c>
      <c r="I230" s="1"/>
      <c r="J230" s="1"/>
      <c r="K230" s="73"/>
      <c r="L230" s="4"/>
    </row>
    <row r="231" spans="1:13" ht="30" x14ac:dyDescent="0.25">
      <c r="A231" s="1"/>
      <c r="B231" s="1"/>
      <c r="C231" s="1"/>
      <c r="D231" s="1"/>
      <c r="E231" s="1"/>
      <c r="F231" s="1"/>
      <c r="G231" s="1489" t="s">
        <v>3390</v>
      </c>
      <c r="H231" s="4" t="str">
        <f>'BID 1 b'!B1194</f>
        <v>Belanja Jasa Honorarium Petugas</v>
      </c>
      <c r="I231" s="1"/>
      <c r="J231" s="1"/>
      <c r="K231" s="73">
        <f>'BID 1 b'!F1195</f>
        <v>1500000</v>
      </c>
      <c r="L231" s="4" t="s">
        <v>1220</v>
      </c>
    </row>
    <row r="232" spans="1:13" ht="75" x14ac:dyDescent="0.25">
      <c r="A232" s="865">
        <v>1</v>
      </c>
      <c r="B232" s="865">
        <v>3</v>
      </c>
      <c r="C232" s="865">
        <v>90</v>
      </c>
      <c r="D232" s="865"/>
      <c r="E232" s="865"/>
      <c r="F232" s="865"/>
      <c r="G232" s="865"/>
      <c r="H232" s="1061" t="str">
        <f>'BID 1 b'!B1251</f>
        <v>: Pendataan Administrasi Penduduk Non Permanen (Penertiban Penduduk Pendatang dan Sidak Dialogis)</v>
      </c>
      <c r="I232" s="865"/>
      <c r="J232" s="865"/>
      <c r="K232" s="1063">
        <f>SUM(K233:K238)</f>
        <v>40260000</v>
      </c>
      <c r="L232" s="865" t="s">
        <v>1506</v>
      </c>
      <c r="M232" s="68">
        <f>'BID 1 b'!F1273</f>
        <v>40260000</v>
      </c>
    </row>
    <row r="233" spans="1:13" x14ac:dyDescent="0.25">
      <c r="A233" s="1"/>
      <c r="B233" s="1"/>
      <c r="C233" s="1"/>
      <c r="D233" s="1">
        <v>5</v>
      </c>
      <c r="E233" s="1">
        <v>2</v>
      </c>
      <c r="F233" s="1"/>
      <c r="G233" s="1"/>
      <c r="H233" s="4" t="str">
        <f>'BID 1 b'!B1257</f>
        <v>Belanja Barang dan Jasa</v>
      </c>
      <c r="I233" s="1"/>
      <c r="J233" s="1"/>
      <c r="K233" s="73"/>
      <c r="L233" s="1"/>
    </row>
    <row r="234" spans="1:13" ht="30" x14ac:dyDescent="0.25">
      <c r="A234" s="1"/>
      <c r="B234" s="1"/>
      <c r="C234" s="1"/>
      <c r="D234" s="1"/>
      <c r="E234" s="1"/>
      <c r="F234" s="1">
        <v>1</v>
      </c>
      <c r="G234" s="1"/>
      <c r="H234" s="4" t="str">
        <f>'BID 1 b'!B1258</f>
        <v>Belanja Barang Perlengkapan</v>
      </c>
      <c r="I234" s="1"/>
      <c r="J234" s="1"/>
      <c r="K234" s="73"/>
      <c r="L234" s="1"/>
    </row>
    <row r="235" spans="1:13" ht="60" x14ac:dyDescent="0.25">
      <c r="A235" s="1"/>
      <c r="B235" s="1"/>
      <c r="C235" s="1"/>
      <c r="D235" s="1"/>
      <c r="E235" s="1"/>
      <c r="F235" s="1"/>
      <c r="G235" s="1489" t="s">
        <v>3390</v>
      </c>
      <c r="H235" s="4" t="str">
        <f>'BID 1 b'!B1259</f>
        <v>Belanja perlengkapan cetak/pengadaan - belanja barang cetak dan pengadaan</v>
      </c>
      <c r="I235" s="1"/>
      <c r="J235" s="1"/>
      <c r="K235" s="73">
        <f>SUM('BID 1 b'!F1260)</f>
        <v>700000</v>
      </c>
      <c r="L235" s="1" t="s">
        <v>1506</v>
      </c>
    </row>
    <row r="236" spans="1:13" ht="30" x14ac:dyDescent="0.25">
      <c r="A236" s="1"/>
      <c r="B236" s="1"/>
      <c r="C236" s="1"/>
      <c r="D236" s="1"/>
      <c r="E236" s="1"/>
      <c r="F236" s="1"/>
      <c r="G236" s="1489" t="s">
        <v>3391</v>
      </c>
      <c r="H236" s="4" t="str">
        <f>'BID 1 b'!B1262</f>
        <v>Belanja Perlengkapan Barang Konsumsi</v>
      </c>
      <c r="I236" s="1"/>
      <c r="J236" s="1"/>
      <c r="K236" s="73">
        <f>SUM('BID 1 b'!F1263:F1265)</f>
        <v>12360000</v>
      </c>
      <c r="L236" s="1" t="s">
        <v>1506</v>
      </c>
    </row>
    <row r="237" spans="1:13" x14ac:dyDescent="0.25">
      <c r="A237" s="1"/>
      <c r="B237" s="1"/>
      <c r="C237" s="1"/>
      <c r="D237" s="1">
        <v>5</v>
      </c>
      <c r="E237" s="1">
        <v>2</v>
      </c>
      <c r="F237" s="1">
        <v>2</v>
      </c>
      <c r="G237" s="1"/>
      <c r="H237" s="1" t="str">
        <f>'BID 1 b'!B1268</f>
        <v>Belanja Jasa Honorarium</v>
      </c>
      <c r="I237" s="1"/>
      <c r="J237" s="1"/>
      <c r="K237" s="73"/>
      <c r="L237" s="1"/>
    </row>
    <row r="238" spans="1:13" ht="30" x14ac:dyDescent="0.25">
      <c r="A238" s="1"/>
      <c r="B238" s="1"/>
      <c r="C238" s="1"/>
      <c r="D238" s="1"/>
      <c r="E238" s="1"/>
      <c r="F238" s="1"/>
      <c r="G238" s="1489" t="s">
        <v>3390</v>
      </c>
      <c r="H238" s="4" t="str">
        <f>'BID 1 b'!B1269</f>
        <v>Belanja Jasa Honorium Petugas</v>
      </c>
      <c r="I238" s="1"/>
      <c r="J238" s="1"/>
      <c r="K238" s="73">
        <f>'BID 1 b'!F1270</f>
        <v>27200000</v>
      </c>
      <c r="L238" s="1" t="s">
        <v>1506</v>
      </c>
    </row>
    <row r="239" spans="1:13" ht="32.25" customHeight="1" x14ac:dyDescent="0.25">
      <c r="A239" s="865">
        <v>1</v>
      </c>
      <c r="B239" s="865">
        <v>4</v>
      </c>
      <c r="C239" s="865"/>
      <c r="D239" s="865"/>
      <c r="E239" s="865"/>
      <c r="F239" s="865"/>
      <c r="G239" s="865"/>
      <c r="H239" s="1061" t="str">
        <f>'BID 1 b'!B1289</f>
        <v>Tata Praja Pemerintahan, Perencanaan, Keuangan, dan Pelaporan</v>
      </c>
      <c r="I239" s="865"/>
      <c r="J239" s="865"/>
      <c r="K239" s="1063"/>
      <c r="L239" s="865"/>
    </row>
    <row r="240" spans="1:13" ht="60" x14ac:dyDescent="0.25">
      <c r="A240" s="865">
        <v>1</v>
      </c>
      <c r="B240" s="865">
        <v>4</v>
      </c>
      <c r="C240" s="1490" t="s">
        <v>3366</v>
      </c>
      <c r="D240" s="865"/>
      <c r="E240" s="865"/>
      <c r="F240" s="865"/>
      <c r="G240" s="865"/>
      <c r="H240" s="1061" t="str">
        <f>'BID 1 b'!B1290</f>
        <v>Penyelenggaraan Musyawarah Desa/ Pembahasan APBDes (Musrenbangdes)</v>
      </c>
      <c r="I240" s="865"/>
      <c r="J240" s="865"/>
      <c r="K240" s="1063">
        <f>SUM(K241:K249)</f>
        <v>35400000</v>
      </c>
      <c r="L240" s="1061" t="s">
        <v>1506</v>
      </c>
      <c r="M240" s="68">
        <f>'BID 1 b'!F1317</f>
        <v>35400000</v>
      </c>
    </row>
    <row r="241" spans="1:13" x14ac:dyDescent="0.25">
      <c r="A241" s="1"/>
      <c r="B241" s="1"/>
      <c r="C241" s="1"/>
      <c r="D241" s="1">
        <v>5</v>
      </c>
      <c r="E241" s="1">
        <v>2</v>
      </c>
      <c r="F241" s="1"/>
      <c r="G241" s="1"/>
      <c r="H241" s="4" t="str">
        <f>'BID 1 b'!B1296</f>
        <v>Belanja Barang Jasa</v>
      </c>
      <c r="I241" s="1"/>
      <c r="J241" s="1"/>
      <c r="K241" s="73"/>
      <c r="L241" s="1"/>
    </row>
    <row r="242" spans="1:13" ht="30" x14ac:dyDescent="0.25">
      <c r="A242" s="1"/>
      <c r="B242" s="1"/>
      <c r="C242" s="1"/>
      <c r="D242" s="1"/>
      <c r="E242" s="1"/>
      <c r="F242" s="1">
        <v>1</v>
      </c>
      <c r="G242" s="1"/>
      <c r="H242" s="4" t="str">
        <f>'BID 1 b'!B1297</f>
        <v>Belanja Barang Perlengkapan</v>
      </c>
      <c r="I242" s="1"/>
      <c r="J242" s="1"/>
      <c r="K242" s="73"/>
      <c r="L242" s="1"/>
    </row>
    <row r="243" spans="1:13" ht="60" x14ac:dyDescent="0.25">
      <c r="A243" s="1"/>
      <c r="B243" s="1"/>
      <c r="C243" s="1"/>
      <c r="D243" s="1"/>
      <c r="E243" s="1"/>
      <c r="F243" s="1"/>
      <c r="G243" s="1489" t="s">
        <v>3391</v>
      </c>
      <c r="H243" s="4" t="str">
        <f>'BID 1 b'!B1298</f>
        <v>Belanja perlengkapan barang konsumsi (makan/minum)- Belanja Barang Konsumsi</v>
      </c>
      <c r="I243" s="1"/>
      <c r="J243" s="1"/>
      <c r="K243" s="73">
        <f>SUM('BID 1 b'!F1299)</f>
        <v>30000000</v>
      </c>
      <c r="L243" s="4" t="s">
        <v>1506</v>
      </c>
    </row>
    <row r="244" spans="1:13" x14ac:dyDescent="0.25">
      <c r="A244" s="1"/>
      <c r="B244" s="1"/>
      <c r="C244" s="1"/>
      <c r="D244" s="1"/>
      <c r="E244" s="1"/>
      <c r="F244" s="1"/>
      <c r="G244" s="1489" t="s">
        <v>3393</v>
      </c>
      <c r="H244" s="1" t="str">
        <f>'BID 1 b'!B1301</f>
        <v>Belanja Sepanduk</v>
      </c>
      <c r="I244" s="1"/>
      <c r="J244" s="1"/>
      <c r="K244" s="73">
        <f>'BID 1 b'!F1302</f>
        <v>360000</v>
      </c>
      <c r="L244" s="4" t="s">
        <v>1506</v>
      </c>
    </row>
    <row r="245" spans="1:13" ht="30" x14ac:dyDescent="0.25">
      <c r="A245" s="1"/>
      <c r="B245" s="1"/>
      <c r="C245" s="1"/>
      <c r="D245" s="1"/>
      <c r="E245" s="1"/>
      <c r="F245" s="1"/>
      <c r="G245" s="1">
        <v>90</v>
      </c>
      <c r="H245" s="4" t="str">
        <f>'BID 1 b'!B1304</f>
        <v>Belanja Upakara, Upacara Dan Aci- Aci</v>
      </c>
      <c r="I245" s="1"/>
      <c r="J245" s="1"/>
      <c r="K245" s="73">
        <f>SUM('BID 1 b'!F1305:F1307)</f>
        <v>640000</v>
      </c>
      <c r="L245" s="4" t="s">
        <v>1506</v>
      </c>
    </row>
    <row r="246" spans="1:13" x14ac:dyDescent="0.25">
      <c r="A246" s="1"/>
      <c r="B246" s="1"/>
      <c r="C246" s="1"/>
      <c r="D246" s="1">
        <v>5</v>
      </c>
      <c r="E246" s="1">
        <v>2</v>
      </c>
      <c r="F246" s="1">
        <v>2</v>
      </c>
      <c r="G246" s="1"/>
      <c r="H246" s="1" t="str">
        <f>'BID 1 b'!B1309</f>
        <v>Belanja  Jasa Honorarium</v>
      </c>
      <c r="I246" s="1"/>
      <c r="J246" s="1"/>
      <c r="K246" s="73"/>
      <c r="L246" s="1"/>
    </row>
    <row r="247" spans="1:13" ht="30" x14ac:dyDescent="0.25">
      <c r="A247" s="1"/>
      <c r="B247" s="1"/>
      <c r="C247" s="1"/>
      <c r="D247" s="1"/>
      <c r="E247" s="1"/>
      <c r="F247" s="1"/>
      <c r="G247" s="1489" t="s">
        <v>3391</v>
      </c>
      <c r="H247" s="4" t="str">
        <f>'BID 1 b'!B1310</f>
        <v>Belanja Jasa Honorarium Petugas</v>
      </c>
      <c r="I247" s="1"/>
      <c r="J247" s="1"/>
      <c r="K247" s="73">
        <f>'BID 1 b'!F1311</f>
        <v>400000</v>
      </c>
      <c r="L247" s="4" t="s">
        <v>1506</v>
      </c>
    </row>
    <row r="248" spans="1:13" ht="45" x14ac:dyDescent="0.25">
      <c r="A248" s="1"/>
      <c r="B248" s="1"/>
      <c r="C248" s="1"/>
      <c r="D248" s="1">
        <v>5</v>
      </c>
      <c r="E248" s="1">
        <v>2</v>
      </c>
      <c r="F248" s="1">
        <v>7</v>
      </c>
      <c r="G248" s="1"/>
      <c r="H248" s="4" t="str">
        <f>'BID 1 b'!B1312</f>
        <v>Belanja Barang Jasa yang diserahkan kepada masyarakat</v>
      </c>
      <c r="I248" s="1"/>
      <c r="J248" s="1"/>
      <c r="K248" s="73"/>
      <c r="L248" s="1"/>
    </row>
    <row r="249" spans="1:13" x14ac:dyDescent="0.25">
      <c r="A249" s="1"/>
      <c r="B249" s="1"/>
      <c r="C249" s="1"/>
      <c r="D249" s="1"/>
      <c r="E249" s="1"/>
      <c r="F249" s="1"/>
      <c r="G249" s="1">
        <v>91</v>
      </c>
      <c r="H249" s="4" t="str">
        <f>'BID 1 b'!B1313</f>
        <v>Belanja uang Saku</v>
      </c>
      <c r="I249" s="1"/>
      <c r="J249" s="1"/>
      <c r="K249" s="73">
        <f>'BID 1 b'!F1314</f>
        <v>4000000</v>
      </c>
      <c r="L249" s="4" t="s">
        <v>1506</v>
      </c>
    </row>
    <row r="250" spans="1:13" ht="105" x14ac:dyDescent="0.25">
      <c r="A250" s="865">
        <v>1</v>
      </c>
      <c r="B250" s="865">
        <v>4</v>
      </c>
      <c r="C250" s="1490" t="s">
        <v>3366</v>
      </c>
      <c r="D250" s="865"/>
      <c r="E250" s="865"/>
      <c r="F250" s="865"/>
      <c r="G250" s="865"/>
      <c r="H250" s="1061" t="str">
        <f>'BID 1 b'!B1333</f>
        <v>Penyelenggaraan Musyawarah Desa/ Pembahasan APBDes (Musdes, Musrenbangdes/pra musrenbangdes, dll yang bersifat reguler )</v>
      </c>
      <c r="I250" s="865"/>
      <c r="J250" s="865"/>
      <c r="K250" s="1063">
        <f>SUM(K251:K259)</f>
        <v>33176000</v>
      </c>
      <c r="L250" s="865" t="s">
        <v>1506</v>
      </c>
      <c r="M250" s="68">
        <f>'BID 1 b'!F1359</f>
        <v>33176000</v>
      </c>
    </row>
    <row r="251" spans="1:13" x14ac:dyDescent="0.25">
      <c r="A251" s="1"/>
      <c r="B251" s="1"/>
      <c r="C251" s="1"/>
      <c r="D251" s="1">
        <v>5</v>
      </c>
      <c r="E251" s="1">
        <v>2</v>
      </c>
      <c r="F251" s="1"/>
      <c r="G251" s="1"/>
      <c r="H251" s="4" t="str">
        <f>'BID 1 b'!B1339</f>
        <v>Belanja Barang Jasa</v>
      </c>
      <c r="I251" s="1"/>
      <c r="J251" s="1"/>
      <c r="K251" s="73"/>
      <c r="L251" s="1"/>
    </row>
    <row r="252" spans="1:13" ht="30" x14ac:dyDescent="0.25">
      <c r="A252" s="1"/>
      <c r="B252" s="1"/>
      <c r="C252" s="1"/>
      <c r="D252" s="1"/>
      <c r="E252" s="1"/>
      <c r="F252" s="1">
        <v>1</v>
      </c>
      <c r="G252" s="1"/>
      <c r="H252" s="4" t="str">
        <f>'BID 1 b'!B1340</f>
        <v>Belanja Barang Perlengkapan</v>
      </c>
      <c r="I252" s="1"/>
      <c r="J252" s="1"/>
      <c r="K252" s="73"/>
      <c r="L252" s="1"/>
    </row>
    <row r="253" spans="1:13" ht="60" x14ac:dyDescent="0.25">
      <c r="A253" s="1"/>
      <c r="B253" s="1"/>
      <c r="C253" s="1"/>
      <c r="D253" s="1"/>
      <c r="E253" s="1"/>
      <c r="F253" s="1"/>
      <c r="G253" s="1489" t="s">
        <v>3391</v>
      </c>
      <c r="H253" s="4" t="str">
        <f>'BID 1 b'!B1341</f>
        <v>Belanja perlengkapan barang konsumsi (makan/minum)- Belanja Barang Konsumsi</v>
      </c>
      <c r="I253" s="1"/>
      <c r="J253" s="1"/>
      <c r="K253" s="73">
        <f>SUM('BID 1 b'!F1342)</f>
        <v>24000000</v>
      </c>
      <c r="L253" s="1" t="s">
        <v>1506</v>
      </c>
    </row>
    <row r="254" spans="1:13" x14ac:dyDescent="0.25">
      <c r="A254" s="1"/>
      <c r="B254" s="1"/>
      <c r="C254" s="1"/>
      <c r="D254" s="1"/>
      <c r="E254" s="1"/>
      <c r="F254" s="1"/>
      <c r="G254" s="1489" t="s">
        <v>3393</v>
      </c>
      <c r="H254" s="1" t="str">
        <f>'BID 1 b'!B1343</f>
        <v>Belanja Sepanduk</v>
      </c>
      <c r="I254" s="1"/>
      <c r="J254" s="1"/>
      <c r="K254" s="73">
        <f>'BID 1 b'!F1344</f>
        <v>360000</v>
      </c>
      <c r="L254" s="1" t="s">
        <v>1506</v>
      </c>
    </row>
    <row r="255" spans="1:13" ht="30" x14ac:dyDescent="0.25">
      <c r="A255" s="1"/>
      <c r="B255" s="1"/>
      <c r="C255" s="1"/>
      <c r="D255" s="1"/>
      <c r="E255" s="1"/>
      <c r="F255" s="1"/>
      <c r="G255" s="1">
        <v>90</v>
      </c>
      <c r="H255" s="4" t="str">
        <f>'BID 1 b'!B1345</f>
        <v>Belanja Upakara, Upacara Dan Aci- Aci</v>
      </c>
      <c r="I255" s="1"/>
      <c r="J255" s="1"/>
      <c r="K255" s="73">
        <f>SUM('BID 1 b'!F1346:F1349)</f>
        <v>416000</v>
      </c>
      <c r="L255" s="1" t="s">
        <v>1506</v>
      </c>
    </row>
    <row r="256" spans="1:13" x14ac:dyDescent="0.25">
      <c r="A256" s="1"/>
      <c r="B256" s="1"/>
      <c r="C256" s="1"/>
      <c r="D256" s="1">
        <v>5</v>
      </c>
      <c r="E256" s="1">
        <v>2</v>
      </c>
      <c r="F256" s="1">
        <v>2</v>
      </c>
      <c r="G256" s="1"/>
      <c r="H256" s="1" t="str">
        <f>'BID 1 b'!B1351</f>
        <v>Belanja  Jasa Honorarium</v>
      </c>
      <c r="I256" s="1"/>
      <c r="J256" s="1"/>
      <c r="K256" s="73"/>
      <c r="L256" s="1"/>
    </row>
    <row r="257" spans="1:13" ht="30" x14ac:dyDescent="0.25">
      <c r="A257" s="1"/>
      <c r="B257" s="1"/>
      <c r="C257" s="1"/>
      <c r="D257" s="1"/>
      <c r="E257" s="1"/>
      <c r="F257" s="1"/>
      <c r="G257" s="1489" t="s">
        <v>3390</v>
      </c>
      <c r="H257" s="4" t="str">
        <f>'BID 1 b'!B1352</f>
        <v>Belanja Jasa Honorarium Petugas</v>
      </c>
      <c r="I257" s="1"/>
      <c r="J257" s="1"/>
      <c r="K257" s="73">
        <f>'BID 1 b'!F1353</f>
        <v>400000</v>
      </c>
      <c r="L257" s="1" t="s">
        <v>1506</v>
      </c>
    </row>
    <row r="258" spans="1:13" ht="45" x14ac:dyDescent="0.25">
      <c r="A258" s="1"/>
      <c r="B258" s="1"/>
      <c r="C258" s="1"/>
      <c r="D258" s="1">
        <v>5</v>
      </c>
      <c r="E258" s="1">
        <v>2</v>
      </c>
      <c r="F258" s="1">
        <v>7</v>
      </c>
      <c r="G258" s="1"/>
      <c r="H258" s="4" t="str">
        <f>'BID 1 b'!B1355</f>
        <v>Belanja Barang Jasa yang diserahkan kepada masyarakat</v>
      </c>
      <c r="I258" s="1"/>
      <c r="J258" s="1"/>
      <c r="K258" s="73"/>
      <c r="L258" s="1"/>
    </row>
    <row r="259" spans="1:13" x14ac:dyDescent="0.25">
      <c r="A259" s="1"/>
      <c r="B259" s="1"/>
      <c r="C259" s="1"/>
      <c r="D259" s="1"/>
      <c r="E259" s="1"/>
      <c r="F259" s="1"/>
      <c r="G259" s="1">
        <v>91</v>
      </c>
      <c r="H259" s="1" t="str">
        <f>'BID 1 b'!B1356</f>
        <v>Belanja Uang Saku</v>
      </c>
      <c r="I259" s="1"/>
      <c r="J259" s="1"/>
      <c r="K259" s="73">
        <f>'BID 1 b'!F1357</f>
        <v>8000000</v>
      </c>
      <c r="L259" s="1" t="s">
        <v>1506</v>
      </c>
    </row>
    <row r="260" spans="1:13" ht="60" x14ac:dyDescent="0.25">
      <c r="A260" s="865">
        <v>1</v>
      </c>
      <c r="B260" s="865">
        <v>4</v>
      </c>
      <c r="C260" s="1490" t="s">
        <v>3386</v>
      </c>
      <c r="D260" s="865"/>
      <c r="E260" s="865"/>
      <c r="F260" s="865"/>
      <c r="G260" s="865"/>
      <c r="H260" s="1061" t="str">
        <f>'BID 1 b'!B1376</f>
        <v>: Penyelenggaraan Musyawarah Desa lainya (yang bersifat non reguler )</v>
      </c>
      <c r="I260" s="865"/>
      <c r="J260" s="865"/>
      <c r="K260" s="1063">
        <f>SUM(K261:K269)</f>
        <v>24160000</v>
      </c>
      <c r="L260" s="865" t="s">
        <v>1220</v>
      </c>
      <c r="M260" s="68">
        <f>'BID 1 b'!F1402</f>
        <v>24160000</v>
      </c>
    </row>
    <row r="261" spans="1:13" x14ac:dyDescent="0.25">
      <c r="A261" s="1"/>
      <c r="B261" s="1"/>
      <c r="C261" s="1"/>
      <c r="D261" s="1">
        <v>5</v>
      </c>
      <c r="E261" s="1">
        <v>2</v>
      </c>
      <c r="F261" s="1"/>
      <c r="G261" s="1"/>
      <c r="H261" s="4" t="str">
        <f>'BID 1 b'!B1382</f>
        <v>Belanja Barang Jasa</v>
      </c>
      <c r="I261" s="1"/>
      <c r="J261" s="1"/>
      <c r="K261" s="73"/>
      <c r="L261" s="1"/>
    </row>
    <row r="262" spans="1:13" ht="30" x14ac:dyDescent="0.25">
      <c r="A262" s="1"/>
      <c r="B262" s="1"/>
      <c r="C262" s="1"/>
      <c r="D262" s="1"/>
      <c r="E262" s="1"/>
      <c r="F262" s="1">
        <v>1</v>
      </c>
      <c r="G262" s="1"/>
      <c r="H262" s="4" t="str">
        <f>'BID 1 b'!B1383</f>
        <v>Belanja Barang Perlengkapan</v>
      </c>
      <c r="I262" s="1"/>
      <c r="J262" s="1"/>
      <c r="K262" s="73"/>
      <c r="L262" s="1"/>
    </row>
    <row r="263" spans="1:13" ht="60" x14ac:dyDescent="0.25">
      <c r="A263" s="1"/>
      <c r="B263" s="1"/>
      <c r="C263" s="1"/>
      <c r="D263" s="1"/>
      <c r="E263" s="1"/>
      <c r="F263" s="1"/>
      <c r="G263" s="1489" t="s">
        <v>3391</v>
      </c>
      <c r="H263" s="4" t="str">
        <f>'BID 1 b'!B1384</f>
        <v>Belanja perlengkapan barang konsumsi (makan/minum)- Belanja Barang Konsumsi</v>
      </c>
      <c r="I263" s="1"/>
      <c r="J263" s="1"/>
      <c r="K263" s="73">
        <f>'BID 1 b'!F1385</f>
        <v>15000000</v>
      </c>
      <c r="L263" s="1" t="s">
        <v>1220</v>
      </c>
    </row>
    <row r="264" spans="1:13" x14ac:dyDescent="0.25">
      <c r="A264" s="1"/>
      <c r="B264" s="1"/>
      <c r="C264" s="1"/>
      <c r="D264" s="1"/>
      <c r="E264" s="1"/>
      <c r="F264" s="1"/>
      <c r="G264" s="1489" t="s">
        <v>3393</v>
      </c>
      <c r="H264" s="1" t="str">
        <f>'BID 1 b'!B1387</f>
        <v>Belanja Sepanduk</v>
      </c>
      <c r="I264" s="1"/>
      <c r="J264" s="1"/>
      <c r="K264" s="73">
        <f>'BID 1 b'!F1388</f>
        <v>360000</v>
      </c>
      <c r="L264" s="1" t="s">
        <v>1220</v>
      </c>
    </row>
    <row r="265" spans="1:13" ht="30" x14ac:dyDescent="0.25">
      <c r="A265" s="1"/>
      <c r="B265" s="1"/>
      <c r="C265" s="1"/>
      <c r="D265" s="1"/>
      <c r="E265" s="1"/>
      <c r="F265" s="1"/>
      <c r="G265" s="1">
        <v>90</v>
      </c>
      <c r="H265" s="4" t="str">
        <f>'BID 1 b'!B1389</f>
        <v>Belanja Upakara, Upacara Dan Aci- Aci</v>
      </c>
      <c r="I265" s="1"/>
      <c r="J265" s="1"/>
      <c r="K265" s="73">
        <f>SUM('BID 1 b'!F1390:F1392)</f>
        <v>400000</v>
      </c>
      <c r="L265" s="1" t="s">
        <v>1220</v>
      </c>
    </row>
    <row r="266" spans="1:13" x14ac:dyDescent="0.25">
      <c r="A266" s="1"/>
      <c r="B266" s="1"/>
      <c r="C266" s="1"/>
      <c r="D266" s="1">
        <v>5</v>
      </c>
      <c r="E266" s="1">
        <v>2</v>
      </c>
      <c r="F266" s="1">
        <v>2</v>
      </c>
      <c r="G266" s="1"/>
      <c r="H266" s="4" t="str">
        <f>'BID 1 b'!B1394</f>
        <v>Belanja  Jasa Honorarium</v>
      </c>
      <c r="I266" s="1"/>
      <c r="J266" s="1"/>
      <c r="K266" s="73"/>
      <c r="L266" s="1"/>
    </row>
    <row r="267" spans="1:13" ht="30" x14ac:dyDescent="0.25">
      <c r="A267" s="1"/>
      <c r="B267" s="1"/>
      <c r="C267" s="1"/>
      <c r="D267" s="1"/>
      <c r="E267" s="1"/>
      <c r="F267" s="1"/>
      <c r="G267" s="1489" t="s">
        <v>3390</v>
      </c>
      <c r="H267" s="4" t="str">
        <f>'BID 1 b'!B1395</f>
        <v>Belanja Jasa Honorarium Petugas</v>
      </c>
      <c r="I267" s="1"/>
      <c r="J267" s="1"/>
      <c r="K267" s="73">
        <f>'BID 1 b'!F1396</f>
        <v>400000</v>
      </c>
      <c r="L267" s="1" t="s">
        <v>1220</v>
      </c>
    </row>
    <row r="268" spans="1:13" ht="45" x14ac:dyDescent="0.25">
      <c r="A268" s="1"/>
      <c r="B268" s="1"/>
      <c r="C268" s="1"/>
      <c r="D268" s="1">
        <v>5</v>
      </c>
      <c r="E268" s="1">
        <v>2</v>
      </c>
      <c r="F268" s="1">
        <v>7</v>
      </c>
      <c r="G268" s="1"/>
      <c r="H268" s="4" t="str">
        <f>'BID 1 b'!B1398</f>
        <v>Belanja Barang Jasa yang diserahkan kepada masyarakat</v>
      </c>
      <c r="I268" s="1"/>
      <c r="J268" s="1"/>
      <c r="K268" s="73"/>
      <c r="L268" s="1"/>
    </row>
    <row r="269" spans="1:13" x14ac:dyDescent="0.25">
      <c r="A269" s="1"/>
      <c r="B269" s="1"/>
      <c r="C269" s="1"/>
      <c r="D269" s="1"/>
      <c r="E269" s="1"/>
      <c r="F269" s="1"/>
      <c r="G269" s="1">
        <v>91</v>
      </c>
      <c r="H269" s="4" t="str">
        <f>'BID 1 b'!B1399</f>
        <v>Belanja Uang Saku</v>
      </c>
      <c r="I269" s="1"/>
      <c r="J269" s="1"/>
      <c r="K269" s="73">
        <f>'BID 1 b'!F1400</f>
        <v>8000000</v>
      </c>
      <c r="L269" s="1" t="s">
        <v>1220</v>
      </c>
    </row>
    <row r="270" spans="1:13" ht="45" x14ac:dyDescent="0.25">
      <c r="A270" s="865">
        <v>1</v>
      </c>
      <c r="B270" s="865">
        <v>4</v>
      </c>
      <c r="C270" s="1490" t="s">
        <v>3388</v>
      </c>
      <c r="D270" s="865"/>
      <c r="E270" s="865"/>
      <c r="F270" s="865"/>
      <c r="G270" s="865"/>
      <c r="H270" s="1061" t="str">
        <f>'BID 1 b'!B1416</f>
        <v>Penyusunan Dokumen Perencanaan Desa (RKP Desa 2027)</v>
      </c>
      <c r="I270" s="865"/>
      <c r="J270" s="865"/>
      <c r="K270" s="1063">
        <f>SUM(K271:K276)</f>
        <v>34540000</v>
      </c>
      <c r="L270" s="1061" t="s">
        <v>1220</v>
      </c>
      <c r="M270" s="68">
        <f>'BID 1 b'!F1442</f>
        <v>34540000</v>
      </c>
    </row>
    <row r="271" spans="1:13" x14ac:dyDescent="0.25">
      <c r="A271" s="1"/>
      <c r="B271" s="1"/>
      <c r="C271" s="1"/>
      <c r="D271" s="1">
        <v>5</v>
      </c>
      <c r="E271" s="1">
        <v>2</v>
      </c>
      <c r="F271" s="1"/>
      <c r="G271" s="1"/>
      <c r="H271" s="4" t="str">
        <f>'BID 1 b'!B1421</f>
        <v>Belanja Barang Jasa</v>
      </c>
      <c r="I271" s="1"/>
      <c r="J271" s="1"/>
      <c r="K271" s="73"/>
      <c r="L271" s="1"/>
    </row>
    <row r="272" spans="1:13" ht="30" x14ac:dyDescent="0.25">
      <c r="A272" s="1"/>
      <c r="B272" s="1"/>
      <c r="C272" s="1"/>
      <c r="D272" s="1"/>
      <c r="E272" s="1"/>
      <c r="F272" s="1">
        <v>1</v>
      </c>
      <c r="G272" s="1"/>
      <c r="H272" s="4" t="str">
        <f>'BID 1 b'!B1422</f>
        <v>Belanja Barang Perlengkapan</v>
      </c>
      <c r="I272" s="1"/>
      <c r="J272" s="1"/>
      <c r="K272" s="73"/>
      <c r="L272" s="1"/>
    </row>
    <row r="273" spans="1:12" ht="60" x14ac:dyDescent="0.25">
      <c r="A273" s="1"/>
      <c r="B273" s="1"/>
      <c r="C273" s="1"/>
      <c r="D273" s="1"/>
      <c r="E273" s="1"/>
      <c r="F273" s="1"/>
      <c r="G273" s="1489" t="s">
        <v>3390</v>
      </c>
      <c r="H273" s="4" t="str">
        <f>'BID 1 b'!B1423</f>
        <v>Belanja perlengkapan cetak/pengadaan - belanja barang cetak dan pengadaan</v>
      </c>
      <c r="I273" s="1"/>
      <c r="J273" s="1"/>
      <c r="K273" s="73">
        <f>'BID 1 b'!F1424</f>
        <v>1800000</v>
      </c>
      <c r="L273" s="4" t="s">
        <v>1220</v>
      </c>
    </row>
    <row r="274" spans="1:12" ht="60" x14ac:dyDescent="0.25">
      <c r="A274" s="1"/>
      <c r="B274" s="1"/>
      <c r="C274" s="1"/>
      <c r="D274" s="1"/>
      <c r="E274" s="1"/>
      <c r="F274" s="1"/>
      <c r="G274" s="1489" t="s">
        <v>3391</v>
      </c>
      <c r="H274" s="4" t="str">
        <f>'BID 1 b'!B1426</f>
        <v>Belanja perlengkapan barang konsumsi (makan/minum)- Belanja Barang Konsumsi</v>
      </c>
      <c r="I274" s="1"/>
      <c r="J274" s="1"/>
      <c r="K274" s="73">
        <f>'BID 1 b'!F1427</f>
        <v>2640000</v>
      </c>
      <c r="L274" s="4" t="s">
        <v>1220</v>
      </c>
    </row>
    <row r="275" spans="1:12" x14ac:dyDescent="0.25">
      <c r="A275" s="1"/>
      <c r="B275" s="1"/>
      <c r="C275" s="1"/>
      <c r="D275" s="1">
        <v>5</v>
      </c>
      <c r="E275" s="1">
        <v>2</v>
      </c>
      <c r="F275" s="1">
        <v>2</v>
      </c>
      <c r="G275" s="1"/>
      <c r="H275" s="4" t="str">
        <f>'BID 1 b'!B1429</f>
        <v>Belanja Jasa Honorarium</v>
      </c>
      <c r="I275" s="1"/>
      <c r="J275" s="1"/>
      <c r="K275" s="73"/>
      <c r="L275" s="1"/>
    </row>
    <row r="276" spans="1:12" ht="45" x14ac:dyDescent="0.25">
      <c r="A276" s="1"/>
      <c r="B276" s="1"/>
      <c r="C276" s="1"/>
      <c r="D276" s="1"/>
      <c r="E276" s="1"/>
      <c r="F276" s="1"/>
      <c r="G276" s="1489" t="s">
        <v>3366</v>
      </c>
      <c r="H276" s="4" t="str">
        <f>'BID 1 b'!B1430</f>
        <v>Belanja Jasa Honorarium Tim yang melaksanakan kegiatan</v>
      </c>
      <c r="I276" s="1"/>
      <c r="J276" s="1"/>
      <c r="K276" s="73">
        <f>'BID 1 b'!F1432+'BID 1 b'!F1433+'BID 1 b'!F1434+'BID 1 b'!F1436+'BID 1 b'!F1437+'BID 1 b'!F1438+'BID 1 b'!F1439+'BID 1 b'!F1440</f>
        <v>30100000</v>
      </c>
      <c r="L276" s="4" t="s">
        <v>1220</v>
      </c>
    </row>
    <row r="277" spans="1:12" ht="45" x14ac:dyDescent="0.25">
      <c r="A277" s="865">
        <v>1</v>
      </c>
      <c r="B277" s="865">
        <v>4</v>
      </c>
      <c r="C277" s="1490" t="s">
        <v>3389</v>
      </c>
      <c r="D277" s="865"/>
      <c r="E277" s="865"/>
      <c r="F277" s="865"/>
      <c r="G277" s="865"/>
      <c r="H277" s="1061" t="str">
        <f>'BID 1 b'!B1457</f>
        <v>: Penyusunan dokumen keuangan Desa (APBDesa 2027 )</v>
      </c>
      <c r="I277" s="865"/>
      <c r="J277" s="865"/>
      <c r="K277" s="1063">
        <f>SUM(K278:K281)</f>
        <v>6105000</v>
      </c>
      <c r="L277" s="865" t="s">
        <v>1220</v>
      </c>
    </row>
    <row r="278" spans="1:12" x14ac:dyDescent="0.25">
      <c r="A278" s="1"/>
      <c r="B278" s="1"/>
      <c r="C278" s="1"/>
      <c r="D278" s="1">
        <v>5</v>
      </c>
      <c r="E278" s="1">
        <v>2</v>
      </c>
      <c r="F278" s="1"/>
      <c r="G278" s="1"/>
      <c r="H278" s="4" t="str">
        <f>'BID 1 b'!B1463</f>
        <v>Belanja Barang Jasa :</v>
      </c>
      <c r="I278" s="1"/>
      <c r="J278" s="1"/>
      <c r="K278" s="73"/>
      <c r="L278" s="1"/>
    </row>
    <row r="279" spans="1:12" ht="30" x14ac:dyDescent="0.25">
      <c r="A279" s="1"/>
      <c r="B279" s="1"/>
      <c r="C279" s="1"/>
      <c r="D279" s="1"/>
      <c r="E279" s="1"/>
      <c r="F279" s="1">
        <v>1</v>
      </c>
      <c r="G279" s="1"/>
      <c r="H279" s="4" t="str">
        <f>'BID 1 b'!B1464</f>
        <v>Belanja Barang Perlengkapan</v>
      </c>
      <c r="I279" s="1"/>
      <c r="J279" s="1"/>
      <c r="K279" s="73"/>
      <c r="L279" s="1"/>
    </row>
    <row r="280" spans="1:12" ht="60" x14ac:dyDescent="0.25">
      <c r="A280" s="1"/>
      <c r="B280" s="1"/>
      <c r="C280" s="1"/>
      <c r="D280" s="1"/>
      <c r="E280" s="1"/>
      <c r="F280" s="1"/>
      <c r="G280" s="1489" t="s">
        <v>3390</v>
      </c>
      <c r="H280" s="4" t="str">
        <f>'BID 1 b'!B1465</f>
        <v>Belanja perlengkapan cetak/pengadaan - belanja barang cetak dan pengadaan</v>
      </c>
      <c r="I280" s="1"/>
      <c r="J280" s="1"/>
      <c r="K280" s="73">
        <f>SUM('BID 1 b'!F1466:F1467)</f>
        <v>2505000</v>
      </c>
      <c r="L280" s="1" t="s">
        <v>1220</v>
      </c>
    </row>
    <row r="281" spans="1:12" ht="60" x14ac:dyDescent="0.25">
      <c r="A281" s="1"/>
      <c r="B281" s="1"/>
      <c r="C281" s="1"/>
      <c r="D281" s="1"/>
      <c r="E281" s="1"/>
      <c r="F281" s="1"/>
      <c r="G281" s="1489" t="s">
        <v>3391</v>
      </c>
      <c r="H281" s="4" t="str">
        <f>'BID 1 b'!B1469</f>
        <v>Belanja Perlengkapan barang konsumsi (makan/minum) - Belanja barang konsumsi</v>
      </c>
      <c r="I281" s="1"/>
      <c r="J281" s="1"/>
      <c r="K281" s="73">
        <f>'BID 1 b'!F1470</f>
        <v>3600000</v>
      </c>
      <c r="L281" s="1" t="s">
        <v>1220</v>
      </c>
    </row>
    <row r="282" spans="1:12" ht="45" x14ac:dyDescent="0.25">
      <c r="A282" s="865">
        <v>1</v>
      </c>
      <c r="B282" s="865">
        <v>4</v>
      </c>
      <c r="C282" s="1490" t="s">
        <v>3389</v>
      </c>
      <c r="D282" s="865"/>
      <c r="E282" s="865"/>
      <c r="F282" s="865"/>
      <c r="G282" s="865"/>
      <c r="H282" s="1061" t="str">
        <f>'BID 1 b'!B1488</f>
        <v>: Penyusunan dokumen keuangan Desa (APBDesa Perubahan 2026)</v>
      </c>
      <c r="I282" s="865"/>
      <c r="J282" s="865"/>
      <c r="K282" s="1063">
        <f>SUM(K283:K286)</f>
        <v>7615000</v>
      </c>
      <c r="L282" s="1061" t="s">
        <v>3295</v>
      </c>
    </row>
    <row r="283" spans="1:12" x14ac:dyDescent="0.25">
      <c r="A283" s="1"/>
      <c r="B283" s="1"/>
      <c r="C283" s="1"/>
      <c r="D283" s="1">
        <v>5</v>
      </c>
      <c r="E283" s="1">
        <v>2</v>
      </c>
      <c r="F283" s="1"/>
      <c r="G283" s="1"/>
      <c r="H283" s="4" t="str">
        <f>'BID 1 b'!B1494</f>
        <v>Belanja Barang Jasa :</v>
      </c>
      <c r="I283" s="1"/>
      <c r="J283" s="1"/>
      <c r="K283" s="73"/>
      <c r="L283" s="4"/>
    </row>
    <row r="284" spans="1:12" ht="30" x14ac:dyDescent="0.25">
      <c r="A284" s="1"/>
      <c r="B284" s="1"/>
      <c r="C284" s="1"/>
      <c r="D284" s="1"/>
      <c r="E284" s="1"/>
      <c r="F284" s="1">
        <v>1</v>
      </c>
      <c r="G284" s="1"/>
      <c r="H284" s="4" t="str">
        <f>'BID 1 b'!B1495</f>
        <v>Belanja Barang Perlengkapan</v>
      </c>
      <c r="I284" s="1"/>
      <c r="J284" s="1"/>
      <c r="K284" s="73"/>
      <c r="L284" s="4"/>
    </row>
    <row r="285" spans="1:12" ht="60" x14ac:dyDescent="0.25">
      <c r="A285" s="1"/>
      <c r="B285" s="1"/>
      <c r="C285" s="1"/>
      <c r="D285" s="1"/>
      <c r="E285" s="1"/>
      <c r="F285" s="1"/>
      <c r="G285" s="1489" t="s">
        <v>3390</v>
      </c>
      <c r="H285" s="4" t="str">
        <f>'BID 1 b'!B1496</f>
        <v>Belanja perlengkapan cetak/pengadaan - belanja barang cetak dan pengadaan</v>
      </c>
      <c r="I285" s="1"/>
      <c r="J285" s="1"/>
      <c r="K285" s="73">
        <f>'BID 1 b'!F1497+'BID 1 b'!F1498</f>
        <v>6175000</v>
      </c>
      <c r="L285" s="4" t="s">
        <v>3295</v>
      </c>
    </row>
    <row r="286" spans="1:12" ht="60" x14ac:dyDescent="0.25">
      <c r="A286" s="1"/>
      <c r="B286" s="1"/>
      <c r="C286" s="1"/>
      <c r="D286" s="1"/>
      <c r="E286" s="1"/>
      <c r="F286" s="1"/>
      <c r="G286" s="1489" t="s">
        <v>3391</v>
      </c>
      <c r="H286" s="4" t="str">
        <f>'BID 1 b'!B1500</f>
        <v>Belanja Perlengkapan barang konsumsi (makan/minum) - Belanja barang konsumsi</v>
      </c>
      <c r="I286" s="1"/>
      <c r="J286" s="1"/>
      <c r="K286" s="73">
        <f>'BID 1 b'!F1501</f>
        <v>1440000</v>
      </c>
      <c r="L286" s="4" t="s">
        <v>3295</v>
      </c>
    </row>
    <row r="287" spans="1:12" ht="45" x14ac:dyDescent="0.25">
      <c r="A287" s="865">
        <v>1</v>
      </c>
      <c r="B287" s="865">
        <v>4</v>
      </c>
      <c r="C287" s="1490" t="s">
        <v>3389</v>
      </c>
      <c r="D287" s="865"/>
      <c r="E287" s="865"/>
      <c r="F287" s="865"/>
      <c r="G287" s="865"/>
      <c r="H287" s="1061" t="str">
        <f>'BID 1 b'!B1518</f>
        <v>: Penyusunan dokumen keuangan Desa ( LPJ APBDesa 2025).</v>
      </c>
      <c r="I287" s="865"/>
      <c r="J287" s="865"/>
      <c r="K287" s="1063">
        <f>K290</f>
        <v>1660750</v>
      </c>
      <c r="L287" s="1061" t="s">
        <v>1775</v>
      </c>
    </row>
    <row r="288" spans="1:12" x14ac:dyDescent="0.25">
      <c r="A288" s="1"/>
      <c r="B288" s="1"/>
      <c r="C288" s="1"/>
      <c r="D288" s="1">
        <v>5</v>
      </c>
      <c r="E288" s="1">
        <v>2</v>
      </c>
      <c r="F288" s="1"/>
      <c r="G288" s="1"/>
      <c r="H288" s="4" t="str">
        <f>'BID 1 b'!B1524</f>
        <v>Belanja Barang Jasa :</v>
      </c>
      <c r="I288" s="1"/>
      <c r="J288" s="1"/>
      <c r="K288" s="73"/>
      <c r="L288" s="1"/>
    </row>
    <row r="289" spans="1:14" ht="30" x14ac:dyDescent="0.25">
      <c r="A289" s="1"/>
      <c r="B289" s="1"/>
      <c r="C289" s="1"/>
      <c r="D289" s="1"/>
      <c r="E289" s="1"/>
      <c r="F289" s="1">
        <v>1</v>
      </c>
      <c r="G289" s="1"/>
      <c r="H289" s="4" t="str">
        <f>'BID 1 b'!B1525</f>
        <v>Belanja Barang Perlengkapan</v>
      </c>
      <c r="I289" s="1"/>
      <c r="J289" s="1"/>
      <c r="K289" s="73"/>
      <c r="L289" s="1"/>
    </row>
    <row r="290" spans="1:14" ht="60" x14ac:dyDescent="0.25">
      <c r="A290" s="1"/>
      <c r="B290" s="1"/>
      <c r="C290" s="1"/>
      <c r="D290" s="1"/>
      <c r="E290" s="1"/>
      <c r="F290" s="1"/>
      <c r="G290" s="1489" t="s">
        <v>3390</v>
      </c>
      <c r="H290" s="4" t="str">
        <f>'BID 1 b'!B1526</f>
        <v>Belanja perlengkapan cetak/pengadaan - belanja barang cetak dan pengadaan</v>
      </c>
      <c r="I290" s="1"/>
      <c r="J290" s="1"/>
      <c r="K290" s="73">
        <f>SUM('BID 1 b'!F1527:F1528)</f>
        <v>1660750</v>
      </c>
      <c r="L290" s="4" t="s">
        <v>1775</v>
      </c>
    </row>
    <row r="291" spans="1:14" ht="90" x14ac:dyDescent="0.25">
      <c r="A291" s="865">
        <v>1</v>
      </c>
      <c r="B291" s="865">
        <v>4</v>
      </c>
      <c r="C291" s="1490" t="s">
        <v>3392</v>
      </c>
      <c r="D291" s="865"/>
      <c r="E291" s="865"/>
      <c r="F291" s="865"/>
      <c r="G291" s="865"/>
      <c r="H291" s="1061" t="str">
        <f>'BID 1 b'!B1546</f>
        <v>: Penyusunan laporan Kepala Desa/ Penyelenggaraan Pemerintah Desa (Laporan akhir tahun anggaran )</v>
      </c>
      <c r="I291" s="865"/>
      <c r="J291" s="865"/>
      <c r="K291" s="1063">
        <f>K294</f>
        <v>1500000</v>
      </c>
      <c r="L291" s="865" t="s">
        <v>1506</v>
      </c>
    </row>
    <row r="292" spans="1:14" x14ac:dyDescent="0.25">
      <c r="A292" s="1"/>
      <c r="B292" s="1"/>
      <c r="C292" s="1"/>
      <c r="D292" s="1">
        <v>5</v>
      </c>
      <c r="E292" s="1">
        <v>2</v>
      </c>
      <c r="F292" s="1"/>
      <c r="G292" s="1"/>
      <c r="H292" s="4" t="str">
        <f>'BID 1 b'!B1552</f>
        <v>Belanja Barang Jasa :</v>
      </c>
      <c r="I292" s="1"/>
      <c r="J292" s="1"/>
      <c r="K292" s="73"/>
      <c r="L292" s="1"/>
    </row>
    <row r="293" spans="1:14" ht="30" x14ac:dyDescent="0.25">
      <c r="A293" s="1"/>
      <c r="B293" s="1"/>
      <c r="C293" s="1"/>
      <c r="D293" s="1"/>
      <c r="E293" s="1"/>
      <c r="F293" s="1">
        <v>1</v>
      </c>
      <c r="G293" s="1"/>
      <c r="H293" s="4" t="str">
        <f>'BID 1 b'!B1553</f>
        <v>Belanja Barang Perlengkapan</v>
      </c>
      <c r="I293" s="1"/>
      <c r="J293" s="1"/>
      <c r="K293" s="73"/>
      <c r="L293" s="1"/>
    </row>
    <row r="294" spans="1:14" ht="60" x14ac:dyDescent="0.25">
      <c r="A294" s="1"/>
      <c r="B294" s="1"/>
      <c r="C294" s="1"/>
      <c r="D294" s="1"/>
      <c r="E294" s="1"/>
      <c r="F294" s="1"/>
      <c r="G294" s="1489" t="s">
        <v>3390</v>
      </c>
      <c r="H294" s="4" t="str">
        <f>'BID 1 b'!B1554</f>
        <v>Belanja perlengkapan cetak/pengadaan - belanja barang cetak dan pengadaan</v>
      </c>
      <c r="I294" s="1"/>
      <c r="J294" s="1"/>
      <c r="K294" s="73">
        <f>'BID 1 b'!F1555</f>
        <v>1500000</v>
      </c>
      <c r="L294" s="1" t="s">
        <v>1506</v>
      </c>
    </row>
    <row r="295" spans="1:14" ht="30" x14ac:dyDescent="0.25">
      <c r="A295" s="1537">
        <v>2</v>
      </c>
      <c r="B295" s="1537"/>
      <c r="C295" s="1537"/>
      <c r="D295" s="1537"/>
      <c r="E295" s="1537"/>
      <c r="F295" s="1537"/>
      <c r="G295" s="1537"/>
      <c r="H295" s="1538" t="str">
        <f>'Bid 2b'!B5</f>
        <v>Pelaksanaan Pembangunan Desa</v>
      </c>
      <c r="I295" s="1537"/>
      <c r="J295" s="1537"/>
      <c r="K295" s="1539">
        <f>K297+K322+K332+K339+K350+K358+K365+K374+K383+K395+K405+K417+K433+K447+K455+K463+K467+K476+K484+K501+K511+K527+K534+K543+K549+K555+K560+K577+K597+K606+K617+K624+K630+K644+K649</f>
        <v>3312223224.1999998</v>
      </c>
      <c r="L295" s="1537"/>
      <c r="M295" s="68">
        <f>' Hitungan 2026'!X9</f>
        <v>3312223224.1999998</v>
      </c>
      <c r="N295" s="23">
        <f>K295-M295</f>
        <v>0</v>
      </c>
    </row>
    <row r="296" spans="1:14" x14ac:dyDescent="0.25">
      <c r="A296" s="865">
        <v>2</v>
      </c>
      <c r="B296" s="865">
        <v>1</v>
      </c>
      <c r="C296" s="865"/>
      <c r="D296" s="865"/>
      <c r="E296" s="865"/>
      <c r="F296" s="865"/>
      <c r="G296" s="865"/>
      <c r="H296" s="865" t="str">
        <f>'Bid 2b'!B6</f>
        <v>Pendidikan</v>
      </c>
      <c r="I296" s="865"/>
      <c r="J296" s="865"/>
      <c r="K296" s="1063"/>
      <c r="L296" s="865"/>
    </row>
    <row r="297" spans="1:14" ht="90" x14ac:dyDescent="0.25">
      <c r="A297" s="865">
        <v>2</v>
      </c>
      <c r="B297" s="865">
        <v>1</v>
      </c>
      <c r="C297" s="1490" t="s">
        <v>3366</v>
      </c>
      <c r="D297" s="865"/>
      <c r="E297" s="865"/>
      <c r="F297" s="865"/>
      <c r="G297" s="865"/>
      <c r="H297" s="1061" t="str">
        <f>'Bid 2b'!B7</f>
        <v>Penyelenggaraan PAUD/TK/TKA/ Madrasah Non Formal Milik Desa (Pengelolaan Taman Kanak - kanak  TK Kumara Sari VI )</v>
      </c>
      <c r="I297" s="865"/>
      <c r="J297" s="865"/>
      <c r="K297" s="1063">
        <f>SUM(K298:K321)</f>
        <v>276660000</v>
      </c>
      <c r="L297" s="865"/>
      <c r="M297" s="68">
        <f>'Bid 2b'!F147</f>
        <v>276660000</v>
      </c>
    </row>
    <row r="298" spans="1:14" x14ac:dyDescent="0.25">
      <c r="A298" s="1"/>
      <c r="B298" s="1"/>
      <c r="C298" s="1"/>
      <c r="D298" s="1">
        <v>5</v>
      </c>
      <c r="E298" s="1">
        <v>2</v>
      </c>
      <c r="F298" s="1"/>
      <c r="G298" s="1"/>
      <c r="H298" s="4" t="str">
        <f>'Bid 2b'!B12</f>
        <v>Belanja Barang Jasa :</v>
      </c>
      <c r="I298" s="1"/>
      <c r="J298" s="1"/>
      <c r="K298" s="73"/>
      <c r="L298" s="1"/>
    </row>
    <row r="299" spans="1:14" ht="30" x14ac:dyDescent="0.25">
      <c r="A299" s="1"/>
      <c r="B299" s="1"/>
      <c r="C299" s="1"/>
      <c r="D299" s="1"/>
      <c r="E299" s="1"/>
      <c r="F299" s="1">
        <v>1</v>
      </c>
      <c r="G299" s="1"/>
      <c r="H299" s="4" t="str">
        <f>'Bid 2b'!B13</f>
        <v>Belanja Barang Perlengkapan</v>
      </c>
      <c r="I299" s="1"/>
      <c r="J299" s="1"/>
      <c r="K299" s="73"/>
      <c r="L299" s="1"/>
    </row>
    <row r="300" spans="1:14" ht="45" x14ac:dyDescent="0.25">
      <c r="A300" s="1"/>
      <c r="B300" s="1"/>
      <c r="C300" s="1"/>
      <c r="D300" s="1"/>
      <c r="E300" s="1"/>
      <c r="F300" s="1"/>
      <c r="G300" s="1489" t="s">
        <v>3366</v>
      </c>
      <c r="H300" s="4" t="str">
        <f>'Bid 2b'!B14</f>
        <v>Belanja perlengkapan alat tulis kantor dan Benda Pos</v>
      </c>
      <c r="I300" s="1"/>
      <c r="J300" s="1"/>
      <c r="K300" s="73">
        <f>SUM('Bid 2b'!F16:F61)</f>
        <v>47515000</v>
      </c>
      <c r="L300" s="4" t="s">
        <v>2178</v>
      </c>
    </row>
    <row r="301" spans="1:14" ht="45" x14ac:dyDescent="0.25">
      <c r="A301" s="1"/>
      <c r="B301" s="1"/>
      <c r="C301" s="1"/>
      <c r="D301" s="1"/>
      <c r="E301" s="1"/>
      <c r="F301" s="1"/>
      <c r="G301" s="1489" t="s">
        <v>3390</v>
      </c>
      <c r="H301" s="1" t="str">
        <f>'Bid 2b'!B62</f>
        <v>Belanja Cetak</v>
      </c>
      <c r="I301" s="1"/>
      <c r="J301" s="1"/>
      <c r="K301" s="73">
        <f>SUM('Bid 2b'!F63:F68)</f>
        <v>8319000</v>
      </c>
      <c r="L301" s="4" t="s">
        <v>2178</v>
      </c>
    </row>
    <row r="302" spans="1:14" ht="45" x14ac:dyDescent="0.25">
      <c r="A302" s="1"/>
      <c r="B302" s="1"/>
      <c r="C302" s="1"/>
      <c r="D302" s="1"/>
      <c r="E302" s="1"/>
      <c r="F302" s="1"/>
      <c r="G302" s="1489" t="s">
        <v>3386</v>
      </c>
      <c r="H302" s="4" t="str">
        <f>'Bid 2b'!B69</f>
        <v xml:space="preserve">Belanja Perlengkapan Alat Listrik </v>
      </c>
      <c r="I302" s="1"/>
      <c r="J302" s="1"/>
      <c r="K302" s="73">
        <f>'Bid 2b'!F70</f>
        <v>1630000</v>
      </c>
      <c r="L302" s="4" t="s">
        <v>2178</v>
      </c>
    </row>
    <row r="303" spans="1:14" ht="60" x14ac:dyDescent="0.25">
      <c r="A303" s="1"/>
      <c r="B303" s="1"/>
      <c r="C303" s="1"/>
      <c r="D303" s="1"/>
      <c r="E303" s="1"/>
      <c r="F303" s="1"/>
      <c r="G303" s="1489" t="s">
        <v>3388</v>
      </c>
      <c r="H303" s="4" t="str">
        <f>'Bid 2b'!B72</f>
        <v xml:space="preserve">Belanja perlengkapan alat alat rumah tangga/peralatan dan Bahan kebersihan </v>
      </c>
      <c r="I303" s="1"/>
      <c r="J303" s="1"/>
      <c r="K303" s="73">
        <f>SUM('Bid 2b'!F73:F89)</f>
        <v>4326000</v>
      </c>
      <c r="L303" s="4" t="s">
        <v>2178</v>
      </c>
    </row>
    <row r="304" spans="1:14" ht="60" x14ac:dyDescent="0.25">
      <c r="A304" s="1"/>
      <c r="B304" s="1"/>
      <c r="C304" s="1"/>
      <c r="D304" s="1"/>
      <c r="E304" s="1"/>
      <c r="F304" s="1"/>
      <c r="G304" s="1489" t="s">
        <v>3391</v>
      </c>
      <c r="H304" s="4" t="str">
        <f>'Bid 2b'!B90</f>
        <v>Belanja perlengkapan barang konsumsi (makan/ minum) Belanja Barang konsumsi</v>
      </c>
      <c r="I304" s="1"/>
      <c r="J304" s="1"/>
      <c r="K304" s="73">
        <f>'Bid 2b'!F91</f>
        <v>180000</v>
      </c>
      <c r="L304" s="4" t="s">
        <v>2178</v>
      </c>
    </row>
    <row r="305" spans="1:12" ht="45" x14ac:dyDescent="0.25">
      <c r="A305" s="1"/>
      <c r="B305" s="1"/>
      <c r="C305" s="1"/>
      <c r="D305" s="1"/>
      <c r="E305" s="1"/>
      <c r="F305" s="1"/>
      <c r="G305" s="1489" t="s">
        <v>3392</v>
      </c>
      <c r="H305" s="1" t="str">
        <f>'Bid 2b'!B93</f>
        <v>Belanja Bahan / Material</v>
      </c>
      <c r="I305" s="1"/>
      <c r="J305" s="1"/>
      <c r="K305" s="73">
        <f>SUM('Bid 2b'!F94:F95)</f>
        <v>4250000</v>
      </c>
      <c r="L305" s="4" t="s">
        <v>2178</v>
      </c>
    </row>
    <row r="306" spans="1:12" ht="45" x14ac:dyDescent="0.25">
      <c r="A306" s="1"/>
      <c r="B306" s="1"/>
      <c r="C306" s="1"/>
      <c r="D306" s="1"/>
      <c r="E306" s="1"/>
      <c r="F306" s="1"/>
      <c r="G306" s="1489" t="s">
        <v>3393</v>
      </c>
      <c r="H306" s="4" t="str">
        <f>'Bid 2b'!B97</f>
        <v>Belanja bendera/ umbul umbul/ spanduk</v>
      </c>
      <c r="I306" s="1"/>
      <c r="J306" s="1"/>
      <c r="K306" s="73">
        <f>'Bid 2b'!F98</f>
        <v>300000</v>
      </c>
      <c r="L306" s="4" t="s">
        <v>2178</v>
      </c>
    </row>
    <row r="307" spans="1:12" ht="45" x14ac:dyDescent="0.25">
      <c r="A307" s="1"/>
      <c r="B307" s="1"/>
      <c r="C307" s="1"/>
      <c r="D307" s="1"/>
      <c r="E307" s="1"/>
      <c r="F307" s="1"/>
      <c r="G307" s="1">
        <v>10</v>
      </c>
      <c r="H307" s="1" t="str">
        <f>'Bid 2b'!B100</f>
        <v>Belanja Obat</v>
      </c>
      <c r="I307" s="1"/>
      <c r="J307" s="1"/>
      <c r="K307" s="73">
        <f>'Bid 2b'!E101</f>
        <v>309000</v>
      </c>
      <c r="L307" s="4" t="s">
        <v>2178</v>
      </c>
    </row>
    <row r="308" spans="1:12" ht="30" x14ac:dyDescent="0.25">
      <c r="A308" s="1"/>
      <c r="B308" s="1"/>
      <c r="C308" s="1"/>
      <c r="D308" s="1"/>
      <c r="E308" s="1"/>
      <c r="F308" s="1"/>
      <c r="G308" s="1489" t="s">
        <v>3394</v>
      </c>
      <c r="H308" s="4" t="str">
        <f>'Bid 2b'!B103</f>
        <v>Belanja Pakaian Dinas/ Seragam/ Atribut</v>
      </c>
      <c r="I308" s="1"/>
      <c r="J308" s="1"/>
      <c r="K308" s="73">
        <f>'Bid 2b'!F104</f>
        <v>4500000</v>
      </c>
      <c r="L308" s="1" t="s">
        <v>1223</v>
      </c>
    </row>
    <row r="309" spans="1:12" ht="45" x14ac:dyDescent="0.25">
      <c r="A309" s="1"/>
      <c r="B309" s="1"/>
      <c r="C309" s="1"/>
      <c r="D309" s="1"/>
      <c r="E309" s="1"/>
      <c r="F309" s="1"/>
      <c r="G309" s="1">
        <v>90</v>
      </c>
      <c r="H309" s="4" t="str">
        <f>'Bid 2b'!B106</f>
        <v>Belanja Upakara, Upacara Dan Aci</v>
      </c>
      <c r="I309" s="1"/>
      <c r="J309" s="1"/>
      <c r="K309" s="73">
        <f>SUM('Bid 2b'!F107:F116)</f>
        <v>14972000</v>
      </c>
      <c r="L309" s="4" t="s">
        <v>2178</v>
      </c>
    </row>
    <row r="310" spans="1:12" x14ac:dyDescent="0.25">
      <c r="A310" s="1"/>
      <c r="B310" s="1"/>
      <c r="C310" s="1"/>
      <c r="D310" s="1">
        <v>5</v>
      </c>
      <c r="E310" s="1">
        <v>2</v>
      </c>
      <c r="F310" s="1">
        <v>2</v>
      </c>
      <c r="G310" s="1"/>
      <c r="H310" s="4" t="str">
        <f>'Bid 2b'!B118</f>
        <v>Belanja jasa honorarium</v>
      </c>
      <c r="I310" s="1"/>
      <c r="J310" s="1"/>
      <c r="K310" s="73"/>
      <c r="L310" s="1"/>
    </row>
    <row r="311" spans="1:12" ht="45" x14ac:dyDescent="0.25">
      <c r="A311" s="1"/>
      <c r="B311" s="1"/>
      <c r="C311" s="1"/>
      <c r="D311" s="1"/>
      <c r="E311" s="1"/>
      <c r="F311" s="1"/>
      <c r="G311" s="1489" t="s">
        <v>3389</v>
      </c>
      <c r="H311" s="4" t="str">
        <f>'Bid 2b'!B119</f>
        <v>Belanja jasa honorarium Ahli/Profesi/Konsultan/Narasumber</v>
      </c>
      <c r="I311" s="1"/>
      <c r="J311" s="1"/>
      <c r="K311" s="73">
        <f>SUM('Bid 2b'!F120:F129)</f>
        <v>142800000</v>
      </c>
      <c r="L311" s="4" t="s">
        <v>1777</v>
      </c>
    </row>
    <row r="312" spans="1:12" ht="30" x14ac:dyDescent="0.25">
      <c r="A312" s="1"/>
      <c r="B312" s="1"/>
      <c r="C312" s="1"/>
      <c r="D312" s="1">
        <v>5</v>
      </c>
      <c r="E312" s="1">
        <v>2</v>
      </c>
      <c r="F312" s="1">
        <v>5</v>
      </c>
      <c r="G312" s="1"/>
      <c r="H312" s="4" t="str">
        <f>'Bid 2b'!B131</f>
        <v>Belanja Operasional perkantoran</v>
      </c>
      <c r="I312" s="1"/>
      <c r="J312" s="1"/>
      <c r="K312" s="73"/>
      <c r="L312" s="1"/>
    </row>
    <row r="313" spans="1:12" ht="30" x14ac:dyDescent="0.25">
      <c r="A313" s="1"/>
      <c r="B313" s="1"/>
      <c r="C313" s="1"/>
      <c r="D313" s="1"/>
      <c r="E313" s="1"/>
      <c r="F313" s="1"/>
      <c r="G313" s="1489" t="s">
        <v>3366</v>
      </c>
      <c r="H313" s="4" t="str">
        <f>'Bid 2b'!B132</f>
        <v xml:space="preserve">Belanja jasa Langganan listrik </v>
      </c>
      <c r="I313" s="1"/>
      <c r="J313" s="1"/>
      <c r="K313" s="73">
        <f>'Bid 2b'!F132</f>
        <v>24000000</v>
      </c>
      <c r="L313" s="1" t="s">
        <v>1506</v>
      </c>
    </row>
    <row r="314" spans="1:12" x14ac:dyDescent="0.25">
      <c r="A314" s="1"/>
      <c r="B314" s="1"/>
      <c r="C314" s="1"/>
      <c r="D314" s="1"/>
      <c r="E314" s="1"/>
      <c r="F314" s="1"/>
      <c r="G314" s="1489" t="s">
        <v>3386</v>
      </c>
      <c r="H314" s="4" t="str">
        <f>'Bid 2b'!B133</f>
        <v>Belanja jasa langganan Air</v>
      </c>
      <c r="I314" s="1"/>
      <c r="J314" s="1"/>
      <c r="K314" s="73">
        <f>'Bid 2b'!F133</f>
        <v>3000000</v>
      </c>
      <c r="L314" s="1" t="s">
        <v>1506</v>
      </c>
    </row>
    <row r="315" spans="1:12" ht="30" x14ac:dyDescent="0.25">
      <c r="A315" s="1"/>
      <c r="B315" s="1"/>
      <c r="C315" s="1"/>
      <c r="D315" s="1"/>
      <c r="E315" s="1"/>
      <c r="F315" s="1"/>
      <c r="G315" s="1489" t="s">
        <v>3390</v>
      </c>
      <c r="H315" s="4" t="str">
        <f>'Bid 2b'!B134</f>
        <v>Belanja jasa langganan internet</v>
      </c>
      <c r="I315" s="1"/>
      <c r="J315" s="1"/>
      <c r="K315" s="73">
        <f>'Bid 2b'!F134</f>
        <v>3600000</v>
      </c>
      <c r="L315" s="1" t="s">
        <v>1506</v>
      </c>
    </row>
    <row r="316" spans="1:12" x14ac:dyDescent="0.25">
      <c r="A316" s="1"/>
      <c r="B316" s="1"/>
      <c r="C316" s="1"/>
      <c r="D316" s="1">
        <v>5</v>
      </c>
      <c r="E316" s="1">
        <v>2</v>
      </c>
      <c r="F316" s="1">
        <v>6</v>
      </c>
      <c r="G316" s="1"/>
      <c r="H316" s="4" t="str">
        <f>'Bid 2b'!B135</f>
        <v>Belanja Pemeliharaan</v>
      </c>
      <c r="I316" s="1"/>
      <c r="J316" s="1"/>
      <c r="K316" s="73"/>
      <c r="L316" s="1"/>
    </row>
    <row r="317" spans="1:12" x14ac:dyDescent="0.25">
      <c r="A317" s="1"/>
      <c r="B317" s="1"/>
      <c r="C317" s="1"/>
      <c r="D317" s="1"/>
      <c r="E317" s="1"/>
      <c r="F317" s="1"/>
      <c r="G317" s="1489" t="s">
        <v>3388</v>
      </c>
      <c r="H317" s="4" t="str">
        <f>'Bid 2b'!B136</f>
        <v>Pemeliharaan Peralatan</v>
      </c>
      <c r="I317" s="1"/>
      <c r="J317" s="1"/>
      <c r="K317" s="73">
        <f>'Bid 2b'!F137+'Bid 2b'!F138+'Bid 2b'!F139</f>
        <v>10000000</v>
      </c>
      <c r="L317" s="1" t="s">
        <v>1223</v>
      </c>
    </row>
    <row r="318" spans="1:12" ht="45" x14ac:dyDescent="0.25">
      <c r="A318" s="1"/>
      <c r="B318" s="1"/>
      <c r="C318" s="1"/>
      <c r="D318" s="1"/>
      <c r="E318" s="1"/>
      <c r="F318" s="1"/>
      <c r="G318" s="1489" t="s">
        <v>3389</v>
      </c>
      <c r="H318" s="1" t="str">
        <f>'Bid 2b'!B140</f>
        <v>Pemeliharaan Bangunan</v>
      </c>
      <c r="I318" s="1"/>
      <c r="J318" s="1"/>
      <c r="K318" s="73">
        <f>'Bid 2b'!F141</f>
        <v>1959000</v>
      </c>
      <c r="L318" s="4" t="s">
        <v>2178</v>
      </c>
    </row>
    <row r="319" spans="1:12" x14ac:dyDescent="0.25">
      <c r="A319" s="1"/>
      <c r="B319" s="1"/>
      <c r="C319" s="1"/>
      <c r="D319" s="1">
        <v>5</v>
      </c>
      <c r="E319" s="1">
        <v>3</v>
      </c>
      <c r="F319" s="1"/>
      <c r="G319" s="1"/>
      <c r="H319" s="4" t="str">
        <f>'Bid 2b'!B142</f>
        <v>Belanja Modal</v>
      </c>
      <c r="I319" s="1"/>
      <c r="J319" s="1"/>
      <c r="K319" s="73"/>
      <c r="L319" s="1"/>
    </row>
    <row r="320" spans="1:12" x14ac:dyDescent="0.25">
      <c r="A320" s="1"/>
      <c r="B320" s="1"/>
      <c r="C320" s="1"/>
      <c r="D320" s="1"/>
      <c r="E320" s="1"/>
      <c r="F320" s="1">
        <v>2</v>
      </c>
      <c r="G320" s="1"/>
      <c r="H320" s="4" t="str">
        <f>'Bid 2b'!B143</f>
        <v>Belanja Modal Peralatan</v>
      </c>
      <c r="I320" s="1"/>
      <c r="J320" s="1"/>
      <c r="K320" s="73"/>
      <c r="L320" s="1"/>
    </row>
    <row r="321" spans="1:13" ht="45" x14ac:dyDescent="0.25">
      <c r="A321" s="1"/>
      <c r="B321" s="1"/>
      <c r="C321" s="1"/>
      <c r="D321" s="1"/>
      <c r="E321" s="1"/>
      <c r="F321" s="1"/>
      <c r="G321" s="1489" t="s">
        <v>3389</v>
      </c>
      <c r="H321" s="4" t="str">
        <f>'Bid 2b'!B144</f>
        <v>Belanja Modal Peralatan Mebeulair dan Aksesori Ruangan</v>
      </c>
      <c r="I321" s="1"/>
      <c r="J321" s="1"/>
      <c r="K321" s="73">
        <f>'Bid 2b'!F145</f>
        <v>5000000</v>
      </c>
      <c r="L321" s="4" t="s">
        <v>1223</v>
      </c>
    </row>
    <row r="322" spans="1:13" ht="90" x14ac:dyDescent="0.25">
      <c r="A322" s="865">
        <v>2</v>
      </c>
      <c r="B322" s="865">
        <v>1</v>
      </c>
      <c r="C322" s="1490" t="s">
        <v>3388</v>
      </c>
      <c r="D322" s="865"/>
      <c r="E322" s="865"/>
      <c r="F322" s="865"/>
      <c r="G322" s="865"/>
      <c r="H322" s="1061" t="str">
        <f>'Bid 2b'!B160</f>
        <v>: Pembinaan atau Pelatihan Kelompok Belajar Widya Kumara Bhuwana ( Pelatihan Bahasa dan Aksara Bali Untuk Anak-Anak )</v>
      </c>
      <c r="I322" s="865"/>
      <c r="J322" s="865"/>
      <c r="K322" s="1063">
        <f>SUM(K323:K331)</f>
        <v>18008000</v>
      </c>
      <c r="L322" s="865" t="s">
        <v>1506</v>
      </c>
      <c r="M322" s="68">
        <f>'Bid 2b'!F191</f>
        <v>18008000</v>
      </c>
    </row>
    <row r="323" spans="1:13" x14ac:dyDescent="0.25">
      <c r="A323" s="1"/>
      <c r="B323" s="1"/>
      <c r="C323" s="1"/>
      <c r="D323" s="1">
        <v>5</v>
      </c>
      <c r="E323" s="1">
        <v>2</v>
      </c>
      <c r="F323" s="1"/>
      <c r="G323" s="1"/>
      <c r="H323" s="4" t="str">
        <f>'Bid 2b'!B167</f>
        <v>Belanja Barang Jasa</v>
      </c>
      <c r="I323" s="1"/>
      <c r="J323" s="1"/>
      <c r="K323" s="73"/>
      <c r="L323" s="1"/>
    </row>
    <row r="324" spans="1:13" ht="30" x14ac:dyDescent="0.25">
      <c r="A324" s="1"/>
      <c r="B324" s="1"/>
      <c r="C324" s="1"/>
      <c r="D324" s="1"/>
      <c r="E324" s="1"/>
      <c r="F324" s="1">
        <v>1</v>
      </c>
      <c r="G324" s="1"/>
      <c r="H324" s="4" t="str">
        <f>'Bid 2b'!B168</f>
        <v>Belanja Barang Perlengkapan</v>
      </c>
      <c r="I324" s="1"/>
      <c r="J324" s="1"/>
      <c r="K324" s="73"/>
      <c r="L324" s="1"/>
    </row>
    <row r="325" spans="1:13" ht="30" x14ac:dyDescent="0.25">
      <c r="A325" s="1"/>
      <c r="B325" s="1"/>
      <c r="C325" s="1"/>
      <c r="D325" s="1"/>
      <c r="E325" s="1"/>
      <c r="F325" s="1"/>
      <c r="G325" s="1489" t="s">
        <v>3366</v>
      </c>
      <c r="H325" s="4" t="str">
        <f>'Bid 2b'!B169</f>
        <v>Belanja Alat Tulis Kantor dan Benda Pos</v>
      </c>
      <c r="I325" s="1"/>
      <c r="J325" s="1"/>
      <c r="K325" s="73">
        <f>SUM('Bid 2b'!F170:F175)</f>
        <v>2390000</v>
      </c>
      <c r="L325" s="1" t="s">
        <v>1506</v>
      </c>
    </row>
    <row r="326" spans="1:13" ht="30" x14ac:dyDescent="0.25">
      <c r="A326" s="1"/>
      <c r="B326" s="1"/>
      <c r="C326" s="1"/>
      <c r="D326" s="1"/>
      <c r="E326" s="1"/>
      <c r="F326" s="1"/>
      <c r="G326" s="1489" t="s">
        <v>3391</v>
      </c>
      <c r="H326" s="4" t="str">
        <f>'Bid 2b'!B176</f>
        <v>Belanja Barang Perlengkapan Konsumsi</v>
      </c>
      <c r="I326" s="1"/>
      <c r="J326" s="1"/>
      <c r="K326" s="73">
        <f>SUM('Bid 2b'!F177)</f>
        <v>9240000</v>
      </c>
      <c r="L326" s="1" t="s">
        <v>1506</v>
      </c>
    </row>
    <row r="327" spans="1:13" ht="30" x14ac:dyDescent="0.25">
      <c r="A327" s="1"/>
      <c r="B327" s="1"/>
      <c r="C327" s="1"/>
      <c r="D327" s="1"/>
      <c r="E327" s="1"/>
      <c r="F327" s="1"/>
      <c r="G327" s="1489" t="s">
        <v>3393</v>
      </c>
      <c r="H327" s="4" t="str">
        <f>'Bid 2b'!B178</f>
        <v>Belanja Bendera/ Umbul-umbul/ Spanduk</v>
      </c>
      <c r="I327" s="1"/>
      <c r="J327" s="1"/>
      <c r="K327" s="73">
        <f>'Bid 2b'!F179</f>
        <v>90000</v>
      </c>
      <c r="L327" s="1" t="s">
        <v>1506</v>
      </c>
    </row>
    <row r="328" spans="1:13" x14ac:dyDescent="0.25">
      <c r="A328" s="1"/>
      <c r="B328" s="1"/>
      <c r="C328" s="1"/>
      <c r="D328" s="1">
        <v>5</v>
      </c>
      <c r="E328" s="1">
        <v>2</v>
      </c>
      <c r="F328" s="1">
        <v>2</v>
      </c>
      <c r="G328" s="1"/>
      <c r="H328" s="4" t="str">
        <f>'Bid 2b'!B180</f>
        <v>Belanja Honorarium</v>
      </c>
      <c r="I328" s="1"/>
      <c r="J328" s="1"/>
      <c r="K328" s="73"/>
      <c r="L328" s="1"/>
    </row>
    <row r="329" spans="1:13" ht="45" x14ac:dyDescent="0.25">
      <c r="A329" s="1"/>
      <c r="B329" s="1"/>
      <c r="C329" s="1"/>
      <c r="D329" s="1"/>
      <c r="E329" s="1"/>
      <c r="F329" s="1"/>
      <c r="G329" s="1489" t="s">
        <v>3366</v>
      </c>
      <c r="H329" s="4" t="str">
        <f>'Bid 2b'!B181</f>
        <v>Belanja Jasa Honorarium Tim Yang Melaksanakan Kegiatan</v>
      </c>
      <c r="I329" s="1"/>
      <c r="J329" s="1"/>
      <c r="K329" s="73">
        <f>'Bid 2b'!F182</f>
        <v>4200000</v>
      </c>
      <c r="L329" s="1" t="s">
        <v>1506</v>
      </c>
    </row>
    <row r="330" spans="1:13" ht="45" x14ac:dyDescent="0.25">
      <c r="A330" s="1"/>
      <c r="B330" s="1"/>
      <c r="C330" s="1"/>
      <c r="D330" s="1">
        <v>5</v>
      </c>
      <c r="E330" s="1">
        <v>2</v>
      </c>
      <c r="F330" s="1">
        <v>7</v>
      </c>
      <c r="G330" s="1"/>
      <c r="H330" s="4" t="str">
        <f>'Bid 2b'!B184</f>
        <v>Belanaja Barang dan Jasa yang Diserahkan kepada masyarakat</v>
      </c>
      <c r="I330" s="1"/>
      <c r="J330" s="1"/>
      <c r="K330" s="73"/>
      <c r="L330" s="1"/>
    </row>
    <row r="331" spans="1:13" ht="45" x14ac:dyDescent="0.25">
      <c r="A331" s="1"/>
      <c r="B331" s="1"/>
      <c r="C331" s="1"/>
      <c r="D331" s="1"/>
      <c r="E331" s="1"/>
      <c r="F331" s="1"/>
      <c r="G331" s="1489" t="s">
        <v>3366</v>
      </c>
      <c r="H331" s="4" t="str">
        <f>'Bid 2b'!B185</f>
        <v>Belanaja Barang Perlengkapan yang Diserahkan ke Masyarakat</v>
      </c>
      <c r="I331" s="1"/>
      <c r="J331" s="1"/>
      <c r="K331" s="73">
        <f>SUM('Bid 2b'!F186:F188)</f>
        <v>2088000</v>
      </c>
      <c r="L331" s="1" t="s">
        <v>1506</v>
      </c>
    </row>
    <row r="332" spans="1:13" ht="105" x14ac:dyDescent="0.25">
      <c r="A332" s="865">
        <v>2</v>
      </c>
      <c r="B332" s="865">
        <v>1</v>
      </c>
      <c r="C332" s="1490" t="s">
        <v>3392</v>
      </c>
      <c r="D332" s="865"/>
      <c r="E332" s="865"/>
      <c r="F332" s="865"/>
      <c r="G332" s="865"/>
      <c r="H332" s="1061" t="str">
        <f>'Bid 2b'!B204</f>
        <v>:Peningkatan Sarana Prasarana Perpustakaan/Taman Bacaan Desa/ Sanggar Belajar Milik Desa (Perpustakaan Digital dan keliling)</v>
      </c>
      <c r="I332" s="865"/>
      <c r="J332" s="865"/>
      <c r="K332" s="1063">
        <f>SUM(K333:K337)</f>
        <v>6979246</v>
      </c>
      <c r="L332" s="1061" t="s">
        <v>2177</v>
      </c>
      <c r="M332" s="68">
        <f>'Bid 2b'!F218</f>
        <v>6979246</v>
      </c>
    </row>
    <row r="333" spans="1:13" x14ac:dyDescent="0.25">
      <c r="A333" s="1"/>
      <c r="B333" s="1"/>
      <c r="C333" s="1"/>
      <c r="D333" s="1">
        <v>5</v>
      </c>
      <c r="E333" s="1">
        <v>2</v>
      </c>
      <c r="F333" s="1"/>
      <c r="G333" s="1"/>
      <c r="H333" s="4" t="str">
        <f>'Bid 2b'!B211</f>
        <v>Belanja Barang Jasa</v>
      </c>
      <c r="I333" s="1"/>
      <c r="J333" s="1"/>
      <c r="K333" s="73"/>
      <c r="L333" s="4"/>
    </row>
    <row r="334" spans="1:13" ht="30" x14ac:dyDescent="0.25">
      <c r="A334" s="1"/>
      <c r="B334" s="1"/>
      <c r="C334" s="1"/>
      <c r="D334" s="1"/>
      <c r="E334" s="1"/>
      <c r="F334" s="1">
        <v>1</v>
      </c>
      <c r="G334" s="1"/>
      <c r="H334" s="4" t="str">
        <f>'Bid 2b'!B212</f>
        <v>Belanja Barang Perlengkapan</v>
      </c>
      <c r="I334" s="1"/>
      <c r="J334" s="1"/>
      <c r="K334" s="73"/>
      <c r="L334" s="4"/>
    </row>
    <row r="335" spans="1:13" ht="30" x14ac:dyDescent="0.25">
      <c r="A335" s="1"/>
      <c r="B335" s="1"/>
      <c r="C335" s="1"/>
      <c r="D335" s="1"/>
      <c r="E335" s="1"/>
      <c r="F335" s="1"/>
      <c r="G335" s="1489" t="s">
        <v>3389</v>
      </c>
      <c r="H335" s="4" t="str">
        <f>'Bid 2b'!B213</f>
        <v>Belanja Bahan Bakar Kendaraan Bermotor</v>
      </c>
      <c r="I335" s="1"/>
      <c r="J335" s="1"/>
      <c r="K335" s="73">
        <f>'Bid 2b'!F214</f>
        <v>4000000</v>
      </c>
      <c r="L335" s="4" t="s">
        <v>2177</v>
      </c>
    </row>
    <row r="336" spans="1:13" x14ac:dyDescent="0.25">
      <c r="A336" s="1"/>
      <c r="B336" s="1"/>
      <c r="C336" s="1"/>
      <c r="D336" s="1">
        <v>5</v>
      </c>
      <c r="E336" s="1">
        <v>2</v>
      </c>
      <c r="F336" s="1">
        <v>6</v>
      </c>
      <c r="G336" s="1"/>
      <c r="H336" s="4" t="str">
        <f>'Bid 2b'!B215</f>
        <v>Belanja Pemeliharaan</v>
      </c>
      <c r="I336" s="1"/>
      <c r="J336" s="1"/>
      <c r="K336" s="73"/>
      <c r="L336" s="4"/>
    </row>
    <row r="337" spans="1:13" ht="30" x14ac:dyDescent="0.25">
      <c r="A337" s="1"/>
      <c r="B337" s="1"/>
      <c r="C337" s="1"/>
      <c r="D337" s="1"/>
      <c r="E337" s="1"/>
      <c r="F337" s="1"/>
      <c r="G337" s="1489" t="s">
        <v>3386</v>
      </c>
      <c r="H337" s="4" t="str">
        <f>'Bid 2b'!B216</f>
        <v>Belanja Pemeliharaan Kendaraan Bermotor</v>
      </c>
      <c r="I337" s="1"/>
      <c r="J337" s="1"/>
      <c r="K337" s="73">
        <f>'Bid 2b'!F217</f>
        <v>2979246</v>
      </c>
      <c r="L337" s="4" t="s">
        <v>2177</v>
      </c>
    </row>
    <row r="338" spans="1:13" x14ac:dyDescent="0.25">
      <c r="A338" s="865">
        <v>2</v>
      </c>
      <c r="B338" s="865">
        <v>2</v>
      </c>
      <c r="C338" s="865"/>
      <c r="D338" s="865"/>
      <c r="E338" s="865"/>
      <c r="F338" s="865"/>
      <c r="G338" s="865"/>
      <c r="H338" s="865" t="str">
        <f>'Bid 2b'!B229</f>
        <v>: Kesehatan</v>
      </c>
      <c r="I338" s="865"/>
      <c r="J338" s="865"/>
      <c r="K338" s="1063"/>
      <c r="L338" s="1061"/>
    </row>
    <row r="339" spans="1:13" ht="60" x14ac:dyDescent="0.25">
      <c r="A339" s="865">
        <v>2</v>
      </c>
      <c r="B339" s="865">
        <v>2</v>
      </c>
      <c r="C339" s="1490" t="s">
        <v>3386</v>
      </c>
      <c r="D339" s="865"/>
      <c r="E339" s="865"/>
      <c r="F339" s="865"/>
      <c r="G339" s="865"/>
      <c r="H339" s="1061" t="str">
        <f>'Bid 2b'!B230</f>
        <v>: Penyelenggaraan Posyandu (Penyelenggaraan Posyandu ILP)</v>
      </c>
      <c r="I339" s="865"/>
      <c r="J339" s="865"/>
      <c r="K339" s="1063">
        <f>SUM(K340:K349)</f>
        <v>883933100</v>
      </c>
      <c r="L339" s="865"/>
      <c r="M339" s="68">
        <f>'Bid 2b'!F267</f>
        <v>883933100</v>
      </c>
    </row>
    <row r="340" spans="1:13" x14ac:dyDescent="0.25">
      <c r="A340" s="1"/>
      <c r="B340" s="1"/>
      <c r="C340" s="1"/>
      <c r="D340" s="1">
        <v>5</v>
      </c>
      <c r="E340" s="1">
        <v>2</v>
      </c>
      <c r="F340" s="1"/>
      <c r="G340" s="1"/>
      <c r="H340" s="4" t="str">
        <f>'Bid 2b'!B235</f>
        <v>Belanja Barang dan Jasa</v>
      </c>
      <c r="I340" s="1"/>
      <c r="J340" s="1"/>
      <c r="K340" s="73"/>
      <c r="L340" s="1"/>
    </row>
    <row r="341" spans="1:13" ht="30" x14ac:dyDescent="0.25">
      <c r="A341" s="1"/>
      <c r="B341" s="1"/>
      <c r="C341" s="1"/>
      <c r="D341" s="1"/>
      <c r="E341" s="1"/>
      <c r="F341" s="1">
        <v>1</v>
      </c>
      <c r="G341" s="1"/>
      <c r="H341" s="4" t="str">
        <f>'Bid 2b'!B236</f>
        <v>Belanaja Barang Pelengkapan</v>
      </c>
      <c r="I341" s="1"/>
      <c r="J341" s="1"/>
      <c r="K341" s="73"/>
      <c r="L341" s="1"/>
    </row>
    <row r="342" spans="1:13" ht="30" x14ac:dyDescent="0.25">
      <c r="A342" s="1"/>
      <c r="B342" s="1"/>
      <c r="C342" s="1"/>
      <c r="D342" s="1"/>
      <c r="E342" s="1"/>
      <c r="F342" s="1"/>
      <c r="G342" s="1489" t="s">
        <v>3366</v>
      </c>
      <c r="H342" s="4" t="str">
        <f>'Bid 2b'!B237</f>
        <v>Perlangakapan Alat Tulis Kantor dan Benda POS</v>
      </c>
      <c r="I342" s="1"/>
      <c r="J342" s="1"/>
      <c r="K342" s="73">
        <f>SUM('Bid 2b'!F238:F241)</f>
        <v>4553000</v>
      </c>
      <c r="L342" s="4" t="s">
        <v>2179</v>
      </c>
    </row>
    <row r="343" spans="1:13" ht="30" x14ac:dyDescent="0.25">
      <c r="A343" s="1"/>
      <c r="B343" s="1"/>
      <c r="C343" s="1"/>
      <c r="D343" s="1"/>
      <c r="E343" s="1"/>
      <c r="F343" s="1"/>
      <c r="G343" s="1489" t="s">
        <v>3391</v>
      </c>
      <c r="H343" s="4" t="str">
        <f>'Bid 2b'!B242</f>
        <v>Belanja Perlengkapan Barang Konsumsi</v>
      </c>
      <c r="I343" s="1"/>
      <c r="J343" s="1"/>
      <c r="K343" s="73">
        <f>'Bid 2b'!F244+'Bid 2b'!F246+'Bid 2b'!F248</f>
        <v>288180000</v>
      </c>
      <c r="L343" s="1" t="s">
        <v>1410</v>
      </c>
    </row>
    <row r="344" spans="1:13" ht="32.25" customHeight="1" x14ac:dyDescent="0.25">
      <c r="A344" s="1"/>
      <c r="B344" s="1"/>
      <c r="C344" s="1"/>
      <c r="D344" s="1"/>
      <c r="E344" s="1"/>
      <c r="F344" s="1"/>
      <c r="G344" s="1489" t="s">
        <v>3391</v>
      </c>
      <c r="H344" s="4" t="str">
        <f>'Bid 2b'!B242</f>
        <v>Belanja Perlengkapan Barang Konsumsi</v>
      </c>
      <c r="I344" s="1"/>
      <c r="J344" s="1"/>
      <c r="K344" s="73">
        <f>'Bid 2b'!F247+'Bid 2b'!F249</f>
        <v>175500000</v>
      </c>
      <c r="L344" s="4" t="s">
        <v>1777</v>
      </c>
    </row>
    <row r="345" spans="1:13" x14ac:dyDescent="0.25">
      <c r="A345" s="1"/>
      <c r="B345" s="1"/>
      <c r="C345" s="1"/>
      <c r="D345" s="1"/>
      <c r="E345" s="1"/>
      <c r="F345" s="1"/>
      <c r="G345" s="1489" t="s">
        <v>3392</v>
      </c>
      <c r="H345" s="1" t="str">
        <f>'Bid 2b'!B251</f>
        <v>Belanja Bahan/Material</v>
      </c>
      <c r="I345" s="1"/>
      <c r="J345" s="1"/>
      <c r="K345" s="73">
        <f>SUM('Bid 2b'!F252:F258)</f>
        <v>75460100</v>
      </c>
      <c r="L345" s="1" t="s">
        <v>1506</v>
      </c>
    </row>
    <row r="346" spans="1:13" x14ac:dyDescent="0.25">
      <c r="A346" s="1"/>
      <c r="B346" s="1"/>
      <c r="C346" s="1"/>
      <c r="D346" s="1"/>
      <c r="E346" s="1"/>
      <c r="F346" s="1"/>
      <c r="G346" s="1489" t="s">
        <v>3394</v>
      </c>
      <c r="H346" s="1" t="str">
        <f>'Bid 2b'!B259</f>
        <v xml:space="preserve">Belanja Seragam </v>
      </c>
      <c r="I346" s="1"/>
      <c r="J346" s="1"/>
      <c r="K346" s="73">
        <f>'Bid 2b'!F260</f>
        <v>0</v>
      </c>
      <c r="L346" s="1" t="s">
        <v>1506</v>
      </c>
    </row>
    <row r="347" spans="1:13" x14ac:dyDescent="0.25">
      <c r="A347" s="1"/>
      <c r="B347" s="1"/>
      <c r="C347" s="1"/>
      <c r="D347" s="1"/>
      <c r="E347" s="1"/>
      <c r="F347" s="1"/>
      <c r="G347" s="1">
        <v>90</v>
      </c>
      <c r="H347" s="4" t="str">
        <f>'Bid 2b'!B261</f>
        <v>Belanja Perlengkapan Aci</v>
      </c>
      <c r="I347" s="1"/>
      <c r="J347" s="1"/>
      <c r="K347" s="73">
        <f>SUM('Bid 2b'!F262:F263)</f>
        <v>6240000</v>
      </c>
      <c r="L347" s="1" t="s">
        <v>1506</v>
      </c>
    </row>
    <row r="348" spans="1:13" x14ac:dyDescent="0.25">
      <c r="A348" s="1"/>
      <c r="B348" s="1"/>
      <c r="C348" s="1"/>
      <c r="D348" s="1">
        <v>5</v>
      </c>
      <c r="E348" s="1">
        <v>2</v>
      </c>
      <c r="F348" s="1">
        <v>2</v>
      </c>
      <c r="G348" s="1"/>
      <c r="H348" s="4" t="str">
        <f>'Bid 2b'!B264</f>
        <v>Belanja Jasa Honorarium</v>
      </c>
      <c r="I348" s="1"/>
      <c r="J348" s="1"/>
      <c r="K348" s="73"/>
      <c r="L348" s="1"/>
    </row>
    <row r="349" spans="1:13" ht="30" x14ac:dyDescent="0.25">
      <c r="A349" s="1"/>
      <c r="B349" s="1"/>
      <c r="C349" s="1"/>
      <c r="D349" s="1"/>
      <c r="E349" s="1"/>
      <c r="F349" s="1"/>
      <c r="G349" s="1489" t="s">
        <v>3390</v>
      </c>
      <c r="H349" s="4" t="str">
        <f>'Bid 2b'!B265</f>
        <v>Belanja Jasa Honorarium Petugas</v>
      </c>
      <c r="I349" s="1"/>
      <c r="J349" s="1"/>
      <c r="K349" s="73">
        <f>'Bid 2b'!F266</f>
        <v>334000000</v>
      </c>
      <c r="L349" s="1" t="s">
        <v>1506</v>
      </c>
    </row>
    <row r="350" spans="1:13" ht="45" x14ac:dyDescent="0.25">
      <c r="A350" s="865">
        <v>2</v>
      </c>
      <c r="B350" s="865">
        <v>2</v>
      </c>
      <c r="C350" s="1490" t="s">
        <v>3386</v>
      </c>
      <c r="D350" s="865"/>
      <c r="E350" s="865"/>
      <c r="F350" s="865"/>
      <c r="G350" s="865"/>
      <c r="H350" s="1061" t="str">
        <f>'Bid 2b'!B281</f>
        <v>: Penyelenggaraan POSyandu (Pos Gizi dan Ibu Hamil)</v>
      </c>
      <c r="I350" s="865"/>
      <c r="J350" s="865"/>
      <c r="K350" s="1063">
        <f>SUM(K351:K357)</f>
        <v>3095000</v>
      </c>
      <c r="L350" s="1061" t="s">
        <v>3295</v>
      </c>
      <c r="M350" s="68">
        <f>'Bid 2b'!F306</f>
        <v>3095000</v>
      </c>
    </row>
    <row r="351" spans="1:13" x14ac:dyDescent="0.25">
      <c r="A351" s="1"/>
      <c r="B351" s="1"/>
      <c r="C351" s="1"/>
      <c r="D351" s="1">
        <v>5</v>
      </c>
      <c r="E351" s="1">
        <v>2</v>
      </c>
      <c r="F351" s="1"/>
      <c r="G351" s="1"/>
      <c r="H351" s="4" t="str">
        <f>'Bid 2b'!B288</f>
        <v>Belanja Barang Jasa</v>
      </c>
      <c r="I351" s="1"/>
      <c r="J351" s="1"/>
      <c r="K351" s="73"/>
      <c r="L351" s="1"/>
    </row>
    <row r="352" spans="1:13" ht="30" x14ac:dyDescent="0.25">
      <c r="A352" s="1"/>
      <c r="B352" s="1"/>
      <c r="C352" s="1"/>
      <c r="D352" s="1"/>
      <c r="E352" s="1"/>
      <c r="F352" s="1">
        <v>1</v>
      </c>
      <c r="G352" s="1"/>
      <c r="H352" s="4" t="str">
        <f>'Bid 2b'!B289</f>
        <v>Belanja Barang Perlengkapan</v>
      </c>
      <c r="I352" s="1"/>
      <c r="J352" s="1"/>
      <c r="K352" s="73"/>
      <c r="L352" s="1"/>
    </row>
    <row r="353" spans="1:13" ht="30" x14ac:dyDescent="0.25">
      <c r="A353" s="1"/>
      <c r="B353" s="1"/>
      <c r="C353" s="1"/>
      <c r="D353" s="1"/>
      <c r="E353" s="1"/>
      <c r="F353" s="1"/>
      <c r="G353" s="1489" t="s">
        <v>3366</v>
      </c>
      <c r="H353" s="4" t="str">
        <f>'Bid 2b'!B290</f>
        <v>Belanja Alat Tulis Kantor dan Benda Pos</v>
      </c>
      <c r="I353" s="1"/>
      <c r="J353" s="1"/>
      <c r="K353" s="73">
        <f>SUM('Bid 2b'!F291:F291)</f>
        <v>105000</v>
      </c>
      <c r="L353" s="4" t="s">
        <v>3295</v>
      </c>
    </row>
    <row r="354" spans="1:13" ht="30" x14ac:dyDescent="0.25">
      <c r="A354" s="1"/>
      <c r="B354" s="1"/>
      <c r="C354" s="1"/>
      <c r="D354" s="1"/>
      <c r="E354" s="1"/>
      <c r="F354" s="1"/>
      <c r="G354" s="1489" t="s">
        <v>3391</v>
      </c>
      <c r="H354" s="4" t="str">
        <f>'Bid 2b'!B293</f>
        <v>Belanja Perlengkapan Barang Konsumsi</v>
      </c>
      <c r="I354" s="1"/>
      <c r="J354" s="1"/>
      <c r="K354" s="73">
        <f>SUM('Bid 2b'!F294:F296)</f>
        <v>2300000</v>
      </c>
      <c r="L354" s="4" t="s">
        <v>3295</v>
      </c>
    </row>
    <row r="355" spans="1:13" ht="30" x14ac:dyDescent="0.25">
      <c r="A355" s="1"/>
      <c r="B355" s="1"/>
      <c r="C355" s="1"/>
      <c r="D355" s="1"/>
      <c r="E355" s="1"/>
      <c r="F355" s="1"/>
      <c r="G355" s="1489" t="s">
        <v>3393</v>
      </c>
      <c r="H355" s="4" t="str">
        <f>'Bid 2b'!B299</f>
        <v>Belanja Bendera/ Umbul-umbul/ Spanduk</v>
      </c>
      <c r="I355" s="1"/>
      <c r="J355" s="1"/>
      <c r="K355" s="73">
        <f>'Bid 2b'!F300</f>
        <v>90000</v>
      </c>
      <c r="L355" s="4" t="s">
        <v>3295</v>
      </c>
    </row>
    <row r="356" spans="1:13" x14ac:dyDescent="0.25">
      <c r="A356" s="1"/>
      <c r="B356" s="1"/>
      <c r="C356" s="1"/>
      <c r="D356" s="1">
        <v>5</v>
      </c>
      <c r="E356" s="1">
        <v>2</v>
      </c>
      <c r="F356" s="1">
        <v>2</v>
      </c>
      <c r="G356" s="1"/>
      <c r="H356" s="4" t="str">
        <f>'Bid 2b'!B302</f>
        <v>Belanja Jasa Honorarium</v>
      </c>
      <c r="I356" s="1"/>
      <c r="J356" s="1"/>
      <c r="K356" s="73"/>
      <c r="L356" s="1"/>
    </row>
    <row r="357" spans="1:13" ht="60" x14ac:dyDescent="0.25">
      <c r="A357" s="1"/>
      <c r="B357" s="1"/>
      <c r="C357" s="1"/>
      <c r="D357" s="1"/>
      <c r="E357" s="1"/>
      <c r="F357" s="1"/>
      <c r="G357" s="1489" t="s">
        <v>3389</v>
      </c>
      <c r="H357" s="4" t="str">
        <f>'Bid 2b'!B303</f>
        <v>Belanja Jasa Honorarium Ahli/ Profesi/Konsultan/Narasumber</v>
      </c>
      <c r="I357" s="1"/>
      <c r="J357" s="1"/>
      <c r="K357" s="73">
        <f>'Bid 2b'!F304</f>
        <v>600000</v>
      </c>
      <c r="L357" s="4" t="s">
        <v>3295</v>
      </c>
    </row>
    <row r="358" spans="1:13" ht="59.25" customHeight="1" x14ac:dyDescent="0.25">
      <c r="A358" s="1061">
        <v>2</v>
      </c>
      <c r="B358" s="1061">
        <v>2</v>
      </c>
      <c r="C358" s="1542" t="s">
        <v>3388</v>
      </c>
      <c r="D358" s="1061"/>
      <c r="E358" s="1061"/>
      <c r="F358" s="1061"/>
      <c r="G358" s="1061"/>
      <c r="H358" s="1061" t="str">
        <f>'Bid 2b'!B369</f>
        <v>: Penyuluhan dan Pelatihan Bidang Kesehatan (Pembinaan Kader POSyandu terintegrasi/ILP)</v>
      </c>
      <c r="I358" s="1061"/>
      <c r="J358" s="1061"/>
      <c r="K358" s="1534">
        <f>SUM(K359:K364)</f>
        <v>8410000</v>
      </c>
      <c r="L358" s="1061" t="s">
        <v>1410</v>
      </c>
      <c r="M358" s="68">
        <f>'Bid 2b'!F386</f>
        <v>8410000</v>
      </c>
    </row>
    <row r="359" spans="1:13" x14ac:dyDescent="0.25">
      <c r="A359" s="1"/>
      <c r="B359" s="1"/>
      <c r="C359" s="1"/>
      <c r="D359" s="1">
        <v>5</v>
      </c>
      <c r="E359" s="1">
        <v>2</v>
      </c>
      <c r="F359" s="1"/>
      <c r="G359" s="1"/>
      <c r="H359" s="1" t="str">
        <f>'Bid 2b'!B374</f>
        <v>Belanja Barang dan Jasa</v>
      </c>
      <c r="I359" s="1"/>
      <c r="J359" s="1"/>
      <c r="K359" s="73"/>
      <c r="L359" s="1"/>
    </row>
    <row r="360" spans="1:13" x14ac:dyDescent="0.25">
      <c r="A360" s="1"/>
      <c r="B360" s="1"/>
      <c r="C360" s="1"/>
      <c r="D360" s="1"/>
      <c r="E360" s="1"/>
      <c r="F360" s="1">
        <v>1</v>
      </c>
      <c r="G360" s="1"/>
      <c r="H360" s="1" t="str">
        <f>'Bid 2b'!B375</f>
        <v>Belanaja Barang Pelengkapan</v>
      </c>
      <c r="I360" s="1"/>
      <c r="J360" s="1"/>
      <c r="K360" s="73"/>
      <c r="L360" s="1"/>
    </row>
    <row r="361" spans="1:13" x14ac:dyDescent="0.25">
      <c r="A361" s="1"/>
      <c r="B361" s="1"/>
      <c r="C361" s="1"/>
      <c r="D361" s="1"/>
      <c r="E361" s="1"/>
      <c r="F361" s="1"/>
      <c r="G361" s="1489" t="s">
        <v>3391</v>
      </c>
      <c r="H361" s="1" t="str">
        <f>'Bid 2b'!B377</f>
        <v>Belanja Barang Konsumsi</v>
      </c>
      <c r="I361" s="1"/>
      <c r="J361" s="1"/>
      <c r="K361" s="73">
        <f>SUM('Bid 2b'!F378)</f>
        <v>520000</v>
      </c>
      <c r="L361" s="1" t="s">
        <v>1410</v>
      </c>
    </row>
    <row r="362" spans="1:13" x14ac:dyDescent="0.25">
      <c r="A362" s="1"/>
      <c r="B362" s="1"/>
      <c r="C362" s="1"/>
      <c r="D362" s="1"/>
      <c r="E362" s="1"/>
      <c r="F362" s="1"/>
      <c r="G362" s="1489" t="s">
        <v>3393</v>
      </c>
      <c r="H362" s="1" t="str">
        <f>'Bid 2b'!B379</f>
        <v>Belanja Bendera/Umbul - umbul Spanduk</v>
      </c>
      <c r="I362" s="1"/>
      <c r="J362" s="1"/>
      <c r="K362" s="73">
        <f>'Bid 2b'!F380</f>
        <v>90000</v>
      </c>
      <c r="L362" s="1" t="s">
        <v>1410</v>
      </c>
    </row>
    <row r="363" spans="1:13" x14ac:dyDescent="0.25">
      <c r="A363" s="1"/>
      <c r="B363" s="1"/>
      <c r="C363" s="1"/>
      <c r="D363" s="1">
        <v>5</v>
      </c>
      <c r="E363" s="1">
        <v>2</v>
      </c>
      <c r="F363" s="1">
        <v>2</v>
      </c>
      <c r="G363" s="1"/>
      <c r="H363" s="4" t="str">
        <f>'Bid 2b'!B381</f>
        <v>Belanja Jasa Honorarium</v>
      </c>
      <c r="I363" s="1"/>
      <c r="J363" s="1"/>
      <c r="K363" s="73"/>
      <c r="L363" s="1"/>
    </row>
    <row r="364" spans="1:13" ht="60" x14ac:dyDescent="0.25">
      <c r="A364" s="1"/>
      <c r="B364" s="1"/>
      <c r="C364" s="1"/>
      <c r="D364" s="1"/>
      <c r="E364" s="1"/>
      <c r="F364" s="1"/>
      <c r="G364" s="1489" t="s">
        <v>3389</v>
      </c>
      <c r="H364" s="4" t="str">
        <f>'Bid 2b'!B382</f>
        <v>Belanja Jasa Honorarium Ahli/ Profesi/Konsultan/Narasumber</v>
      </c>
      <c r="I364" s="1"/>
      <c r="J364" s="1"/>
      <c r="K364" s="73">
        <f>'Bid 2b'!F383</f>
        <v>7800000</v>
      </c>
      <c r="L364" s="1" t="s">
        <v>1410</v>
      </c>
    </row>
    <row r="365" spans="1:13" ht="75" x14ac:dyDescent="0.25">
      <c r="A365" s="865">
        <v>2</v>
      </c>
      <c r="B365" s="865">
        <v>2</v>
      </c>
      <c r="C365" s="1490" t="s">
        <v>3388</v>
      </c>
      <c r="D365" s="865"/>
      <c r="E365" s="865"/>
      <c r="F365" s="865"/>
      <c r="G365" s="865"/>
      <c r="H365" s="1061" t="str">
        <f>'Bid 2b'!B403</f>
        <v xml:space="preserve"> : Penyuluhan dan Pelatihan Bidang Kesehatan (Pendampingan calon pengantin)</v>
      </c>
      <c r="I365" s="865"/>
      <c r="J365" s="865"/>
      <c r="K365" s="1063">
        <f>SUM(K366:K373)</f>
        <v>11814900</v>
      </c>
      <c r="L365" s="1061" t="s">
        <v>2179</v>
      </c>
      <c r="M365" s="68">
        <f>'Bid 2b'!F429</f>
        <v>11814900</v>
      </c>
    </row>
    <row r="366" spans="1:13" x14ac:dyDescent="0.25">
      <c r="A366" s="1"/>
      <c r="B366" s="1"/>
      <c r="C366" s="1"/>
      <c r="D366" s="1">
        <v>5</v>
      </c>
      <c r="E366" s="1">
        <v>2</v>
      </c>
      <c r="F366" s="1"/>
      <c r="G366" s="1"/>
      <c r="H366" s="4" t="str">
        <f>'Bid 2b'!B410</f>
        <v>Belanja Barang Jasa</v>
      </c>
      <c r="I366" s="1"/>
      <c r="J366" s="1"/>
      <c r="K366" s="73"/>
      <c r="L366" s="1"/>
    </row>
    <row r="367" spans="1:13" ht="30" x14ac:dyDescent="0.25">
      <c r="A367" s="1"/>
      <c r="B367" s="1"/>
      <c r="C367" s="1"/>
      <c r="D367" s="1"/>
      <c r="E367" s="1"/>
      <c r="F367" s="1">
        <v>1</v>
      </c>
      <c r="G367" s="1"/>
      <c r="H367" s="4" t="str">
        <f>'Bid 2b'!B411</f>
        <v>Belanja Barang Perlengkapan</v>
      </c>
      <c r="I367" s="1"/>
      <c r="J367" s="1"/>
      <c r="K367" s="73"/>
      <c r="L367" s="1"/>
    </row>
    <row r="368" spans="1:13" ht="30" x14ac:dyDescent="0.25">
      <c r="A368" s="1"/>
      <c r="B368" s="1"/>
      <c r="C368" s="1"/>
      <c r="D368" s="1"/>
      <c r="E368" s="1"/>
      <c r="F368" s="1"/>
      <c r="G368" s="1489" t="s">
        <v>3366</v>
      </c>
      <c r="H368" s="4" t="str">
        <f>'Bid 2b'!B412</f>
        <v>Belanja Alat Tulis Kantor dan Benda Pos</v>
      </c>
      <c r="I368" s="1"/>
      <c r="J368" s="1"/>
      <c r="K368" s="73">
        <f>SUM('Bid 2b'!F413:F413)</f>
        <v>45500</v>
      </c>
      <c r="L368" s="4" t="s">
        <v>2179</v>
      </c>
    </row>
    <row r="369" spans="1:13" ht="30" x14ac:dyDescent="0.25">
      <c r="A369" s="1"/>
      <c r="B369" s="1"/>
      <c r="C369" s="1"/>
      <c r="D369" s="1"/>
      <c r="E369" s="1"/>
      <c r="F369" s="1"/>
      <c r="G369" s="1489" t="s">
        <v>3392</v>
      </c>
      <c r="H369" s="4" t="str">
        <f>'Bid 2b'!B415</f>
        <v>Belanja Bahan Material</v>
      </c>
      <c r="I369" s="1"/>
      <c r="J369" s="1"/>
      <c r="K369" s="73">
        <f>SUM('Bid 2b'!F416:F418)</f>
        <v>1679400</v>
      </c>
      <c r="L369" s="4" t="s">
        <v>2179</v>
      </c>
    </row>
    <row r="370" spans="1:13" ht="30" x14ac:dyDescent="0.25">
      <c r="A370" s="1"/>
      <c r="B370" s="1"/>
      <c r="C370" s="1"/>
      <c r="D370" s="1"/>
      <c r="E370" s="1"/>
      <c r="F370" s="1"/>
      <c r="G370" s="1489" t="s">
        <v>3391</v>
      </c>
      <c r="H370" s="4" t="str">
        <f>'Bid 2b'!B419</f>
        <v>Belanja Perlengkapan Barang Konsumsi</v>
      </c>
      <c r="I370" s="1"/>
      <c r="J370" s="1"/>
      <c r="K370" s="73">
        <f>'Bid 2b'!F420</f>
        <v>4000000</v>
      </c>
      <c r="L370" s="4" t="s">
        <v>2179</v>
      </c>
    </row>
    <row r="371" spans="1:13" ht="30" x14ac:dyDescent="0.25">
      <c r="A371" s="1"/>
      <c r="B371" s="1"/>
      <c r="C371" s="1"/>
      <c r="D371" s="1"/>
      <c r="E371" s="1"/>
      <c r="F371" s="1"/>
      <c r="G371" s="1489" t="s">
        <v>3393</v>
      </c>
      <c r="H371" s="4" t="str">
        <f>'Bid 2b'!B422</f>
        <v>Belanja Bendera/ Umbul-umbul/ Spanduk</v>
      </c>
      <c r="I371" s="1"/>
      <c r="J371" s="1"/>
      <c r="K371" s="73">
        <f>'Bid 2b'!F423</f>
        <v>90000</v>
      </c>
      <c r="L371" s="4" t="s">
        <v>2179</v>
      </c>
    </row>
    <row r="372" spans="1:13" x14ac:dyDescent="0.25">
      <c r="A372" s="1"/>
      <c r="B372" s="1"/>
      <c r="C372" s="1"/>
      <c r="D372" s="1">
        <v>5</v>
      </c>
      <c r="E372" s="1">
        <v>2</v>
      </c>
      <c r="F372" s="1">
        <v>2</v>
      </c>
      <c r="G372" s="1"/>
      <c r="H372" s="4" t="str">
        <f>'Bid 2b'!B425</f>
        <v>Belanja Jasa Honorarium</v>
      </c>
      <c r="I372" s="1"/>
      <c r="J372" s="1"/>
      <c r="K372" s="73"/>
      <c r="L372" s="1"/>
    </row>
    <row r="373" spans="1:13" ht="60" x14ac:dyDescent="0.25">
      <c r="A373" s="1"/>
      <c r="B373" s="1"/>
      <c r="C373" s="1"/>
      <c r="D373" s="1"/>
      <c r="E373" s="1"/>
      <c r="F373" s="1"/>
      <c r="G373" s="1489" t="s">
        <v>3389</v>
      </c>
      <c r="H373" s="4" t="str">
        <f>'Bid 2b'!B426</f>
        <v>Belanja Jasa Honorarium Ahli/ Profesi/Konsultan/Narasumber</v>
      </c>
      <c r="I373" s="1"/>
      <c r="J373" s="1"/>
      <c r="K373" s="73">
        <f>'Bid 2b'!F427</f>
        <v>6000000</v>
      </c>
      <c r="L373" s="4" t="s">
        <v>2179</v>
      </c>
    </row>
    <row r="374" spans="1:13" ht="90" x14ac:dyDescent="0.25">
      <c r="A374" s="865">
        <v>2</v>
      </c>
      <c r="B374" s="865">
        <v>2</v>
      </c>
      <c r="C374" s="1490" t="s">
        <v>3388</v>
      </c>
      <c r="D374" s="865"/>
      <c r="E374" s="865"/>
      <c r="F374" s="865"/>
      <c r="G374" s="865"/>
      <c r="H374" s="1061" t="str">
        <f>'Bid 2b'!B442</f>
        <v>: Penyuluhan dan Pelatihan Bidang Kesehatan untuk Masyarakat (Pembinaan Kampung Keluarga Berkualitas)</v>
      </c>
      <c r="I374" s="865"/>
      <c r="J374" s="865"/>
      <c r="K374" s="1063">
        <f>SUM(K375:K382)</f>
        <v>3757000</v>
      </c>
      <c r="L374" s="1061" t="s">
        <v>2179</v>
      </c>
      <c r="M374" s="68">
        <f>'Bid 2b'!F464</f>
        <v>3757000</v>
      </c>
    </row>
    <row r="375" spans="1:13" x14ac:dyDescent="0.25">
      <c r="A375" s="1"/>
      <c r="B375" s="1"/>
      <c r="C375" s="1"/>
      <c r="D375" s="1">
        <v>5</v>
      </c>
      <c r="E375" s="1">
        <v>2</v>
      </c>
      <c r="F375" s="1"/>
      <c r="G375" s="1"/>
      <c r="H375" s="4" t="str">
        <f>'Bid 2b'!B448</f>
        <v>Belanja Barang Jasa</v>
      </c>
      <c r="I375" s="1"/>
      <c r="J375" s="1"/>
      <c r="K375" s="73"/>
      <c r="L375" s="1"/>
    </row>
    <row r="376" spans="1:13" ht="30" x14ac:dyDescent="0.25">
      <c r="A376" s="1"/>
      <c r="B376" s="1"/>
      <c r="C376" s="1"/>
      <c r="D376" s="1"/>
      <c r="E376" s="1"/>
      <c r="F376" s="1">
        <v>1</v>
      </c>
      <c r="G376" s="1"/>
      <c r="H376" s="4" t="str">
        <f>'Bid 2b'!B449</f>
        <v>Belanja Barang Perlengkapan</v>
      </c>
      <c r="I376" s="1"/>
      <c r="J376" s="1"/>
      <c r="K376" s="73"/>
      <c r="L376" s="1"/>
    </row>
    <row r="377" spans="1:13" ht="30" x14ac:dyDescent="0.25">
      <c r="A377" s="1"/>
      <c r="B377" s="1"/>
      <c r="C377" s="1"/>
      <c r="D377" s="1"/>
      <c r="E377" s="1"/>
      <c r="F377" s="1"/>
      <c r="G377" s="1489" t="s">
        <v>3366</v>
      </c>
      <c r="H377" s="4" t="str">
        <f>'Bid 2b'!B450</f>
        <v>Belanja Alat Tulis Kantor dan Benda Pos</v>
      </c>
      <c r="I377" s="1"/>
      <c r="J377" s="1"/>
      <c r="K377" s="73">
        <f>SUM('Bid 2b'!F451:F454)</f>
        <v>1162000</v>
      </c>
      <c r="L377" s="4" t="s">
        <v>2179</v>
      </c>
    </row>
    <row r="378" spans="1:13" ht="30" x14ac:dyDescent="0.25">
      <c r="A378" s="1"/>
      <c r="B378" s="1"/>
      <c r="C378" s="1"/>
      <c r="D378" s="1"/>
      <c r="E378" s="1"/>
      <c r="F378" s="1"/>
      <c r="G378" s="1489" t="s">
        <v>3390</v>
      </c>
      <c r="H378" s="4" t="str">
        <f>'Bid 2b'!B455</f>
        <v>Belanja Cetak Penggandaan</v>
      </c>
      <c r="I378" s="1"/>
      <c r="J378" s="1"/>
      <c r="K378" s="73">
        <f>'Bid 2b'!F456</f>
        <v>105000</v>
      </c>
      <c r="L378" s="4" t="s">
        <v>2179</v>
      </c>
    </row>
    <row r="379" spans="1:13" ht="30" x14ac:dyDescent="0.25">
      <c r="A379" s="1"/>
      <c r="B379" s="1"/>
      <c r="C379" s="1"/>
      <c r="D379" s="1"/>
      <c r="E379" s="1"/>
      <c r="F379" s="1"/>
      <c r="G379" s="1489" t="s">
        <v>3391</v>
      </c>
      <c r="H379" s="4" t="str">
        <f>'Bid 3b'!B1051</f>
        <v>Belanja Perlengkapan Barang Konsumsi</v>
      </c>
      <c r="I379" s="1"/>
      <c r="J379" s="1"/>
      <c r="K379" s="73">
        <f>'Bid 2b'!F458</f>
        <v>600000</v>
      </c>
      <c r="L379" s="4" t="s">
        <v>2179</v>
      </c>
    </row>
    <row r="380" spans="1:13" ht="30" x14ac:dyDescent="0.25">
      <c r="A380" s="1"/>
      <c r="B380" s="1"/>
      <c r="C380" s="1"/>
      <c r="D380" s="1"/>
      <c r="E380" s="1"/>
      <c r="F380" s="1"/>
      <c r="G380" s="1489" t="s">
        <v>3393</v>
      </c>
      <c r="H380" s="4" t="str">
        <f>'Bid 2b'!B459</f>
        <v>Belanja Bendera/ Umbul-umbul/ Spanduk</v>
      </c>
      <c r="I380" s="1"/>
      <c r="J380" s="1"/>
      <c r="K380" s="73">
        <f>'Bid 2b'!F460</f>
        <v>90000</v>
      </c>
      <c r="L380" s="4" t="s">
        <v>2179</v>
      </c>
    </row>
    <row r="381" spans="1:13" x14ac:dyDescent="0.25">
      <c r="A381" s="1"/>
      <c r="B381" s="1"/>
      <c r="C381" s="1"/>
      <c r="D381" s="1">
        <v>5</v>
      </c>
      <c r="E381" s="1">
        <v>2</v>
      </c>
      <c r="F381" s="1">
        <v>2</v>
      </c>
      <c r="G381" s="1"/>
      <c r="H381" s="4" t="str">
        <f>'Bid 2b'!B461</f>
        <v>Belanja  Jasa Honorarium</v>
      </c>
      <c r="I381" s="1"/>
      <c r="J381" s="1"/>
      <c r="K381" s="73"/>
      <c r="L381" s="4"/>
    </row>
    <row r="382" spans="1:13" ht="45" x14ac:dyDescent="0.25">
      <c r="A382" s="1"/>
      <c r="B382" s="1"/>
      <c r="C382" s="1"/>
      <c r="D382" s="1"/>
      <c r="E382" s="1"/>
      <c r="F382" s="1"/>
      <c r="G382" s="1489" t="s">
        <v>3390</v>
      </c>
      <c r="H382" s="4" t="str">
        <f>'Bid 2b'!B462</f>
        <v>Belanja Jasa Honorarium Ahli/Profesi/Konsultan/Narasumber</v>
      </c>
      <c r="I382" s="1"/>
      <c r="J382" s="1"/>
      <c r="K382" s="73">
        <f>'Bid 2b'!F463</f>
        <v>1800000</v>
      </c>
      <c r="L382" s="4" t="s">
        <v>2179</v>
      </c>
    </row>
    <row r="383" spans="1:13" ht="75" x14ac:dyDescent="0.25">
      <c r="A383" s="865">
        <v>2</v>
      </c>
      <c r="B383" s="865">
        <v>2</v>
      </c>
      <c r="C383" s="1490" t="s">
        <v>3388</v>
      </c>
      <c r="D383" s="865"/>
      <c r="E383" s="865"/>
      <c r="F383" s="865"/>
      <c r="G383" s="865"/>
      <c r="H383" s="1061" t="str">
        <f>'Bid 2b'!B479</f>
        <v>Penyuluhan dan Pelatihan Bidang Kesehatan (PHBS : Sostaliasasi AIDS, Tuber Colosis, Malaria)</v>
      </c>
      <c r="I383" s="865"/>
      <c r="J383" s="865"/>
      <c r="K383" s="1063">
        <f>SUM(K384:K394)</f>
        <v>19592000</v>
      </c>
      <c r="L383" s="1061" t="s">
        <v>3295</v>
      </c>
      <c r="M383" s="68">
        <f>'Bid 2b'!F506</f>
        <v>19592000</v>
      </c>
    </row>
    <row r="384" spans="1:13" x14ac:dyDescent="0.25">
      <c r="A384" s="1"/>
      <c r="B384" s="1"/>
      <c r="C384" s="1"/>
      <c r="D384" s="1">
        <v>5</v>
      </c>
      <c r="E384" s="1">
        <v>2</v>
      </c>
      <c r="F384" s="1"/>
      <c r="G384" s="1"/>
      <c r="H384" s="4" t="str">
        <f>'Bid 2b'!B484</f>
        <v>Belanja Barang Jasa :</v>
      </c>
      <c r="I384" s="1"/>
      <c r="J384" s="1"/>
      <c r="K384" s="73"/>
      <c r="L384" s="4"/>
    </row>
    <row r="385" spans="1:13" ht="30" x14ac:dyDescent="0.25">
      <c r="A385" s="1"/>
      <c r="B385" s="1"/>
      <c r="C385" s="1"/>
      <c r="D385" s="1"/>
      <c r="E385" s="1"/>
      <c r="F385" s="1">
        <v>1</v>
      </c>
      <c r="G385" s="1"/>
      <c r="H385" s="4" t="str">
        <f>'Bid 2b'!B485</f>
        <v>Belanja Barang Perlengkapan</v>
      </c>
      <c r="I385" s="1"/>
      <c r="J385" s="1"/>
      <c r="K385" s="73"/>
      <c r="L385" s="4"/>
    </row>
    <row r="386" spans="1:13" ht="60" x14ac:dyDescent="0.25">
      <c r="A386" s="1"/>
      <c r="B386" s="1"/>
      <c r="C386" s="1"/>
      <c r="D386" s="1"/>
      <c r="E386" s="1"/>
      <c r="F386" s="1"/>
      <c r="G386" s="1489" t="s">
        <v>3391</v>
      </c>
      <c r="H386" s="4" t="str">
        <f>'Bid 2b'!B486</f>
        <v>Belanja Perlengkapan barang konsumsi (makan/minum) - Belanja barang konsumsi</v>
      </c>
      <c r="I386" s="1"/>
      <c r="J386" s="1"/>
      <c r="K386" s="73">
        <f>'Bid 2b'!F487</f>
        <v>820000</v>
      </c>
      <c r="L386" s="4" t="s">
        <v>3295</v>
      </c>
    </row>
    <row r="387" spans="1:13" ht="30" x14ac:dyDescent="0.25">
      <c r="A387" s="1"/>
      <c r="B387" s="1"/>
      <c r="C387" s="1"/>
      <c r="D387" s="1"/>
      <c r="E387" s="1"/>
      <c r="F387" s="1"/>
      <c r="G387" s="1489" t="s">
        <v>3393</v>
      </c>
      <c r="H387" s="4" t="str">
        <f>'Bid 2b'!B489</f>
        <v>Belanja bendera/ umbul umbul/ spanduk</v>
      </c>
      <c r="I387" s="1"/>
      <c r="J387" s="1"/>
      <c r="K387" s="73">
        <f>'Bid 2b'!F490</f>
        <v>90000</v>
      </c>
      <c r="L387" s="4" t="s">
        <v>3295</v>
      </c>
    </row>
    <row r="388" spans="1:13" ht="30" x14ac:dyDescent="0.25">
      <c r="A388" s="1"/>
      <c r="B388" s="1"/>
      <c r="C388" s="1"/>
      <c r="D388" s="1">
        <v>5</v>
      </c>
      <c r="E388" s="1">
        <v>2</v>
      </c>
      <c r="F388" s="1">
        <v>2</v>
      </c>
      <c r="G388" s="1489"/>
      <c r="H388" s="4" t="str">
        <f>'Bid 2b'!B493</f>
        <v>Honorararium Pelatih/Narasumber</v>
      </c>
      <c r="I388" s="1"/>
      <c r="J388" s="1"/>
      <c r="K388" s="73"/>
      <c r="L388" s="4"/>
    </row>
    <row r="389" spans="1:13" ht="30" x14ac:dyDescent="0.25">
      <c r="A389" s="1"/>
      <c r="B389" s="1"/>
      <c r="C389" s="1"/>
      <c r="D389" s="1"/>
      <c r="E389" s="1"/>
      <c r="F389" s="1"/>
      <c r="G389" s="1489" t="s">
        <v>3389</v>
      </c>
      <c r="H389" s="4" t="str">
        <f>'Bid 2b'!B493</f>
        <v>Honorararium Pelatih/Narasumber</v>
      </c>
      <c r="I389" s="1"/>
      <c r="J389" s="1"/>
      <c r="K389" s="73">
        <f>'Bid 2b'!F494</f>
        <v>600000</v>
      </c>
      <c r="L389" s="4" t="s">
        <v>3295</v>
      </c>
    </row>
    <row r="390" spans="1:13" x14ac:dyDescent="0.25">
      <c r="A390" s="1"/>
      <c r="B390" s="1"/>
      <c r="C390" s="1"/>
      <c r="D390" s="1"/>
      <c r="E390" s="1"/>
      <c r="F390" s="1"/>
      <c r="G390" s="1489"/>
      <c r="H390" s="4" t="str">
        <f>'Bid 2b'!B495</f>
        <v>Jumat Bersih</v>
      </c>
      <c r="I390" s="1"/>
      <c r="J390" s="1"/>
      <c r="K390" s="73"/>
      <c r="L390" s="4"/>
    </row>
    <row r="391" spans="1:13" x14ac:dyDescent="0.25">
      <c r="A391" s="1"/>
      <c r="B391" s="1"/>
      <c r="C391" s="1"/>
      <c r="D391" s="1">
        <v>5</v>
      </c>
      <c r="E391" s="1">
        <v>2</v>
      </c>
      <c r="F391" s="1"/>
      <c r="G391" s="1489"/>
      <c r="H391" s="4" t="str">
        <f>'Bid 2b'!B497</f>
        <v>Belanja Barang Jasa :</v>
      </c>
      <c r="I391" s="1"/>
      <c r="J391" s="1"/>
      <c r="K391" s="73"/>
      <c r="L391" s="4"/>
    </row>
    <row r="392" spans="1:13" ht="30" x14ac:dyDescent="0.25">
      <c r="A392" s="1"/>
      <c r="B392" s="1"/>
      <c r="C392" s="1"/>
      <c r="D392" s="1"/>
      <c r="E392" s="1"/>
      <c r="F392" s="1">
        <v>1</v>
      </c>
      <c r="G392" s="1489"/>
      <c r="H392" s="4" t="str">
        <f>'Bid 2b'!B498</f>
        <v>Belanja Barang Perlengkapan</v>
      </c>
      <c r="I392" s="1"/>
      <c r="J392" s="1"/>
      <c r="K392" s="73"/>
      <c r="L392" s="4"/>
    </row>
    <row r="393" spans="1:13" ht="60" x14ac:dyDescent="0.25">
      <c r="A393" s="1"/>
      <c r="B393" s="1"/>
      <c r="C393" s="1"/>
      <c r="D393" s="1"/>
      <c r="E393" s="1"/>
      <c r="F393" s="1"/>
      <c r="G393" s="1489" t="s">
        <v>3391</v>
      </c>
      <c r="H393" s="4" t="str">
        <f>'Bid 2b'!B499</f>
        <v>Belanja Perlengkapan barang konsumsi (makan/minum) - Belanja barang konsumsi</v>
      </c>
      <c r="I393" s="1"/>
      <c r="J393" s="1"/>
      <c r="K393" s="73">
        <f>'Bid 2b'!F500</f>
        <v>16800000</v>
      </c>
      <c r="L393" s="4" t="s">
        <v>3295</v>
      </c>
    </row>
    <row r="394" spans="1:13" ht="30" x14ac:dyDescent="0.25">
      <c r="A394" s="1"/>
      <c r="B394" s="1"/>
      <c r="C394" s="1"/>
      <c r="D394" s="1"/>
      <c r="E394" s="1"/>
      <c r="F394" s="1"/>
      <c r="G394" s="1489" t="s">
        <v>3392</v>
      </c>
      <c r="H394" s="4" t="str">
        <f>'Bid 2b'!B502</f>
        <v>Belanja Bahan Material</v>
      </c>
      <c r="I394" s="1"/>
      <c r="J394" s="1"/>
      <c r="K394" s="73">
        <f>'Bid 2b'!F503+'Bid 2b'!F504</f>
        <v>1282000</v>
      </c>
      <c r="L394" s="4" t="s">
        <v>3295</v>
      </c>
    </row>
    <row r="395" spans="1:13" ht="60" x14ac:dyDescent="0.25">
      <c r="A395" s="865">
        <v>2</v>
      </c>
      <c r="B395" s="865">
        <v>2</v>
      </c>
      <c r="C395" s="1490" t="s">
        <v>3388</v>
      </c>
      <c r="D395" s="865"/>
      <c r="E395" s="865"/>
      <c r="F395" s="865"/>
      <c r="G395" s="865"/>
      <c r="H395" s="1061" t="str">
        <f>'Bid 2b'!B521</f>
        <v>: Penyuluhan dan Pelatihan Bidang Kesehatan (Penyuluhan Narkoba dan HIV/AIDS)</v>
      </c>
      <c r="I395" s="865"/>
      <c r="J395" s="865"/>
      <c r="K395" s="1063">
        <f>SUM(K396:K404)</f>
        <v>25440000</v>
      </c>
      <c r="L395" s="1061" t="s">
        <v>1777</v>
      </c>
      <c r="M395" s="68">
        <f>'Bid 2b'!F552</f>
        <v>25440000</v>
      </c>
    </row>
    <row r="396" spans="1:13" x14ac:dyDescent="0.25">
      <c r="A396" s="1"/>
      <c r="B396" s="1"/>
      <c r="C396" s="1"/>
      <c r="D396" s="1">
        <v>5</v>
      </c>
      <c r="E396" s="1">
        <v>2</v>
      </c>
      <c r="F396" s="1"/>
      <c r="G396" s="1"/>
      <c r="H396" s="4" t="str">
        <f>'Bid 2b'!B527</f>
        <v>Belanja Barang Jasa</v>
      </c>
      <c r="I396" s="1"/>
      <c r="J396" s="1"/>
      <c r="K396" s="73"/>
      <c r="L396" s="1"/>
    </row>
    <row r="397" spans="1:13" ht="30" x14ac:dyDescent="0.25">
      <c r="A397" s="1"/>
      <c r="B397" s="1"/>
      <c r="C397" s="1"/>
      <c r="D397" s="1"/>
      <c r="E397" s="1"/>
      <c r="F397" s="1">
        <v>1</v>
      </c>
      <c r="G397" s="1"/>
      <c r="H397" s="4" t="str">
        <f>'Bid 2b'!B528</f>
        <v>Belanja Barang Perlengkapan</v>
      </c>
      <c r="I397" s="1"/>
      <c r="J397" s="1"/>
      <c r="K397" s="73"/>
      <c r="L397" s="1"/>
    </row>
    <row r="398" spans="1:13" ht="30" x14ac:dyDescent="0.25">
      <c r="A398" s="1"/>
      <c r="B398" s="1"/>
      <c r="C398" s="1"/>
      <c r="D398" s="1"/>
      <c r="E398" s="1"/>
      <c r="F398" s="1"/>
      <c r="G398" s="1489" t="s">
        <v>3391</v>
      </c>
      <c r="H398" s="4" t="str">
        <f>'Bid 2b'!B529</f>
        <v>Belanja Perlengkapan Barang Konsumsi</v>
      </c>
      <c r="I398" s="1"/>
      <c r="J398" s="1"/>
      <c r="K398" s="73">
        <f>SUM('Bid 2b'!F530:F531)</f>
        <v>2600000</v>
      </c>
      <c r="L398" s="4" t="s">
        <v>1777</v>
      </c>
    </row>
    <row r="399" spans="1:13" ht="30" x14ac:dyDescent="0.25">
      <c r="A399" s="1"/>
      <c r="B399" s="1"/>
      <c r="C399" s="1"/>
      <c r="D399" s="1"/>
      <c r="E399" s="1"/>
      <c r="F399" s="1"/>
      <c r="G399" s="1489" t="s">
        <v>3393</v>
      </c>
      <c r="H399" s="1536" t="str">
        <f>'Bid 2b'!B532</f>
        <v>Belanja Bendera/ Umbul-umbul/ Spanduk</v>
      </c>
      <c r="I399" s="1"/>
      <c r="J399" s="1"/>
      <c r="K399" s="73">
        <f>'Bid 2b'!F533</f>
        <v>90000</v>
      </c>
      <c r="L399" s="4" t="s">
        <v>1777</v>
      </c>
    </row>
    <row r="400" spans="1:13" x14ac:dyDescent="0.25">
      <c r="A400" s="1"/>
      <c r="B400" s="1"/>
      <c r="C400" s="1"/>
      <c r="D400" s="1">
        <v>5</v>
      </c>
      <c r="E400" s="1">
        <v>2</v>
      </c>
      <c r="F400" s="1">
        <v>2</v>
      </c>
      <c r="G400" s="1"/>
      <c r="H400" s="4" t="str">
        <f>'Bid 2b'!B535</f>
        <v>Belanja Jasa Honorarium</v>
      </c>
      <c r="I400" s="1"/>
      <c r="J400" s="1"/>
      <c r="K400" s="73"/>
      <c r="L400" s="1"/>
    </row>
    <row r="401" spans="1:13" ht="45" x14ac:dyDescent="0.25">
      <c r="A401" s="1"/>
      <c r="B401" s="1"/>
      <c r="C401" s="1"/>
      <c r="D401" s="1"/>
      <c r="E401" s="1"/>
      <c r="F401" s="1"/>
      <c r="G401" s="1489" t="s">
        <v>3366</v>
      </c>
      <c r="H401" s="4" t="str">
        <f>'Bid 2b'!B536</f>
        <v>Belanja Jasa Honorarium Tim yang Melaksanakan Kegiatan (TPK )</v>
      </c>
      <c r="I401" s="1"/>
      <c r="J401" s="1"/>
      <c r="K401" s="73">
        <f>SUM('Bid 2b'!F537:F539)</f>
        <v>1150000</v>
      </c>
      <c r="L401" s="4" t="s">
        <v>1777</v>
      </c>
    </row>
    <row r="402" spans="1:13" ht="60" x14ac:dyDescent="0.25">
      <c r="A402" s="1"/>
      <c r="B402" s="1"/>
      <c r="C402" s="1"/>
      <c r="D402" s="1"/>
      <c r="E402" s="1"/>
      <c r="F402" s="1"/>
      <c r="G402" s="1489" t="s">
        <v>3389</v>
      </c>
      <c r="H402" s="4" t="str">
        <f>'Bid 2b'!B541</f>
        <v>Belanja Jasa Honorarium Ahli/ Profesi/Konsultan/Narasumber</v>
      </c>
      <c r="I402" s="1"/>
      <c r="J402" s="1"/>
      <c r="K402" s="73">
        <f>'Bid 2b'!F542+'Bid 2b'!F543</f>
        <v>900000</v>
      </c>
      <c r="L402" s="4" t="s">
        <v>1777</v>
      </c>
    </row>
    <row r="403" spans="1:13" x14ac:dyDescent="0.25">
      <c r="A403" s="1"/>
      <c r="B403" s="1"/>
      <c r="C403" s="1"/>
      <c r="D403" s="1">
        <v>5</v>
      </c>
      <c r="E403" s="1">
        <v>2</v>
      </c>
      <c r="F403" s="1">
        <v>4</v>
      </c>
      <c r="G403" s="1"/>
      <c r="H403" s="4" t="str">
        <f>'Bid 2b'!B545</f>
        <v>Belanja Jasa Sewa</v>
      </c>
      <c r="I403" s="1"/>
      <c r="J403" s="1"/>
      <c r="K403" s="73"/>
      <c r="L403" s="1"/>
    </row>
    <row r="404" spans="1:13" ht="30" x14ac:dyDescent="0.25">
      <c r="A404" s="1"/>
      <c r="B404" s="1"/>
      <c r="C404" s="1"/>
      <c r="D404" s="1"/>
      <c r="E404" s="1"/>
      <c r="F404" s="1"/>
      <c r="G404" s="1489" t="s">
        <v>3386</v>
      </c>
      <c r="H404" s="4" t="str">
        <f>'Bid 2b'!B546</f>
        <v>Belanja Jasa Sewa Alat Perlengkapan</v>
      </c>
      <c r="I404" s="1"/>
      <c r="J404" s="1"/>
      <c r="K404" s="73">
        <f>SUM('Bid 2b'!F547:F550)</f>
        <v>20700000</v>
      </c>
      <c r="L404" s="4" t="s">
        <v>1777</v>
      </c>
    </row>
    <row r="405" spans="1:13" ht="60" x14ac:dyDescent="0.25">
      <c r="A405" s="865">
        <v>2</v>
      </c>
      <c r="B405" s="865">
        <v>2</v>
      </c>
      <c r="C405" s="1490" t="s">
        <v>3388</v>
      </c>
      <c r="D405" s="865"/>
      <c r="E405" s="865"/>
      <c r="F405" s="865"/>
      <c r="G405" s="865"/>
      <c r="H405" s="1061" t="str">
        <f>'Bid 2b'!B569</f>
        <v>: Penyuluhan dan Pelatihan Bidang Kesehatan ( Penyuluhan KB )</v>
      </c>
      <c r="I405" s="865"/>
      <c r="J405" s="865"/>
      <c r="K405" s="1063">
        <f>SUM(K406:K416)</f>
        <v>25990000</v>
      </c>
      <c r="L405" s="1061" t="s">
        <v>2179</v>
      </c>
      <c r="M405" s="68">
        <f>'Bid 2b'!F599</f>
        <v>25990000</v>
      </c>
    </row>
    <row r="406" spans="1:13" x14ac:dyDescent="0.25">
      <c r="A406" s="1"/>
      <c r="B406" s="1"/>
      <c r="C406" s="1"/>
      <c r="D406" s="1">
        <v>5</v>
      </c>
      <c r="E406" s="1">
        <v>2</v>
      </c>
      <c r="F406" s="1"/>
      <c r="G406" s="1"/>
      <c r="H406" s="4" t="str">
        <f>'Bid 2b'!B575</f>
        <v>Belanja Barang Jasa</v>
      </c>
      <c r="I406" s="1"/>
      <c r="J406" s="1"/>
      <c r="K406" s="73"/>
      <c r="L406" s="1"/>
    </row>
    <row r="407" spans="1:13" ht="30" x14ac:dyDescent="0.25">
      <c r="A407" s="1"/>
      <c r="B407" s="1"/>
      <c r="C407" s="1"/>
      <c r="D407" s="1"/>
      <c r="E407" s="1"/>
      <c r="F407" s="1">
        <v>1</v>
      </c>
      <c r="G407" s="1"/>
      <c r="H407" s="4" t="str">
        <f>'Bid 2b'!B576</f>
        <v>Belanja Barang Perlengkapan</v>
      </c>
      <c r="I407" s="1"/>
      <c r="J407" s="1"/>
      <c r="K407" s="73"/>
      <c r="L407" s="1"/>
    </row>
    <row r="408" spans="1:13" ht="30" x14ac:dyDescent="0.25">
      <c r="A408" s="1"/>
      <c r="B408" s="1"/>
      <c r="C408" s="1"/>
      <c r="D408" s="1"/>
      <c r="E408" s="1"/>
      <c r="F408" s="1"/>
      <c r="G408" s="1489" t="s">
        <v>3391</v>
      </c>
      <c r="H408" s="4" t="str">
        <f>'Bid 2b'!B577</f>
        <v>Belanja Perlengkapan Barang Konsumsi</v>
      </c>
      <c r="I408" s="1"/>
      <c r="J408" s="1"/>
      <c r="K408" s="73">
        <f>'Bid 2b'!F578+'Bid 2b'!F579</f>
        <v>2600000</v>
      </c>
      <c r="L408" s="4" t="s">
        <v>2179</v>
      </c>
    </row>
    <row r="409" spans="1:13" ht="30" x14ac:dyDescent="0.25">
      <c r="A409" s="1"/>
      <c r="B409" s="1"/>
      <c r="C409" s="1"/>
      <c r="D409" s="1"/>
      <c r="E409" s="1"/>
      <c r="F409" s="1"/>
      <c r="G409" s="1489" t="s">
        <v>3393</v>
      </c>
      <c r="H409" s="4" t="str">
        <f>'Bid 2b'!B580</f>
        <v>Belanja Bendera/ Umbul-umbul/ Spanduk</v>
      </c>
      <c r="I409" s="1"/>
      <c r="J409" s="1"/>
      <c r="K409" s="73">
        <f>'Bid 2b'!F581</f>
        <v>90000</v>
      </c>
      <c r="L409" s="4" t="s">
        <v>2179</v>
      </c>
    </row>
    <row r="410" spans="1:13" x14ac:dyDescent="0.25">
      <c r="A410" s="1"/>
      <c r="B410" s="1"/>
      <c r="C410" s="1"/>
      <c r="D410" s="1">
        <v>5</v>
      </c>
      <c r="E410" s="1">
        <v>2</v>
      </c>
      <c r="F410" s="1">
        <v>2</v>
      </c>
      <c r="G410" s="1"/>
      <c r="H410" s="4" t="str">
        <f>'Bid 2b'!B582</f>
        <v>Belanja Jasa Honorarium</v>
      </c>
      <c r="I410" s="1"/>
      <c r="J410" s="1"/>
      <c r="K410" s="73"/>
      <c r="L410" s="1"/>
    </row>
    <row r="411" spans="1:13" ht="45" x14ac:dyDescent="0.25">
      <c r="A411" s="1"/>
      <c r="B411" s="1"/>
      <c r="C411" s="1"/>
      <c r="D411" s="1"/>
      <c r="E411" s="1"/>
      <c r="F411" s="1"/>
      <c r="G411" s="1489" t="s">
        <v>3366</v>
      </c>
      <c r="H411" s="4" t="str">
        <f>'Bid 2b'!B583</f>
        <v>Belanja Jasa Honorarium Tim yang Melaksanakan Kegiatan (TPK )</v>
      </c>
      <c r="I411" s="1"/>
      <c r="J411" s="1"/>
      <c r="K411" s="73">
        <f>SUM('Bid 2b'!F584:F586)</f>
        <v>1150000</v>
      </c>
      <c r="L411" s="4" t="s">
        <v>2179</v>
      </c>
    </row>
    <row r="412" spans="1:13" ht="60" x14ac:dyDescent="0.25">
      <c r="A412" s="1"/>
      <c r="B412" s="1"/>
      <c r="C412" s="1"/>
      <c r="D412" s="1"/>
      <c r="E412" s="1"/>
      <c r="F412" s="1"/>
      <c r="G412" s="1489" t="s">
        <v>3389</v>
      </c>
      <c r="H412" s="4" t="str">
        <f>'Bid 2b'!B587</f>
        <v>Belanja Jasa Honorarium Ahli/ Profesi/Konsultan/Narasumber</v>
      </c>
      <c r="I412" s="1"/>
      <c r="J412" s="1"/>
      <c r="K412" s="73">
        <f>'Bid 2b'!F588</f>
        <v>600000</v>
      </c>
      <c r="L412" s="4" t="s">
        <v>2179</v>
      </c>
    </row>
    <row r="413" spans="1:13" ht="30" x14ac:dyDescent="0.25">
      <c r="A413" s="1"/>
      <c r="B413" s="1"/>
      <c r="C413" s="1"/>
      <c r="D413" s="1"/>
      <c r="E413" s="1"/>
      <c r="F413" s="1"/>
      <c r="G413" s="1489" t="s">
        <v>3390</v>
      </c>
      <c r="H413" s="4" t="str">
        <f>'Bid 2b'!B589</f>
        <v>Belanja Jasa Honorarium Petugas</v>
      </c>
      <c r="I413" s="1"/>
      <c r="J413" s="1"/>
      <c r="K413" s="73">
        <f>'Bid 2b'!F590</f>
        <v>300000</v>
      </c>
      <c r="L413" s="4" t="s">
        <v>2179</v>
      </c>
    </row>
    <row r="414" spans="1:13" x14ac:dyDescent="0.25">
      <c r="A414" s="1"/>
      <c r="B414" s="1"/>
      <c r="C414" s="1"/>
      <c r="D414" s="1">
        <v>5</v>
      </c>
      <c r="E414" s="1">
        <v>2</v>
      </c>
      <c r="F414" s="1">
        <v>4</v>
      </c>
      <c r="G414" s="1"/>
      <c r="H414" s="4" t="str">
        <f>'Bid 2b'!B591</f>
        <v>Belanja Jasa Sewa</v>
      </c>
      <c r="I414" s="1"/>
      <c r="J414" s="1"/>
      <c r="K414" s="73"/>
      <c r="L414" s="1"/>
    </row>
    <row r="415" spans="1:13" ht="30" x14ac:dyDescent="0.25">
      <c r="A415" s="1"/>
      <c r="B415" s="1"/>
      <c r="C415" s="1"/>
      <c r="D415" s="1"/>
      <c r="E415" s="1"/>
      <c r="F415" s="1"/>
      <c r="G415" s="1489" t="s">
        <v>3366</v>
      </c>
      <c r="H415" s="4" t="str">
        <f>'Bid 2b'!B592</f>
        <v>Belanja Jasa Sewa Gedung</v>
      </c>
      <c r="I415" s="1"/>
      <c r="J415" s="1"/>
      <c r="K415" s="73">
        <f>SUM('Bid 2b'!F593)</f>
        <v>1000000</v>
      </c>
      <c r="L415" s="4" t="s">
        <v>2179</v>
      </c>
    </row>
    <row r="416" spans="1:13" ht="30" x14ac:dyDescent="0.25">
      <c r="A416" s="1"/>
      <c r="B416" s="1"/>
      <c r="C416" s="1"/>
      <c r="D416" s="1"/>
      <c r="E416" s="1"/>
      <c r="F416" s="1"/>
      <c r="G416" s="1489" t="s">
        <v>3386</v>
      </c>
      <c r="H416" s="4" t="str">
        <f>'Bid 2b'!B594</f>
        <v>Belanja Jasa Sewa Sarana/Perlengkapan</v>
      </c>
      <c r="I416" s="1"/>
      <c r="J416" s="1"/>
      <c r="K416" s="73">
        <f>SUM('Bid 2b'!F595:F597)</f>
        <v>20250000</v>
      </c>
      <c r="L416" s="4" t="s">
        <v>2179</v>
      </c>
    </row>
    <row r="417" spans="1:13" ht="105" x14ac:dyDescent="0.25">
      <c r="A417" s="865">
        <v>2</v>
      </c>
      <c r="B417" s="865">
        <v>2</v>
      </c>
      <c r="C417" s="1490" t="s">
        <v>3388</v>
      </c>
      <c r="D417" s="865"/>
      <c r="E417" s="865"/>
      <c r="F417" s="865"/>
      <c r="G417" s="865"/>
      <c r="H417" s="1061" t="str">
        <f>'Bid 2b'!B613</f>
        <v>:Penyuluhan dan Pelatihan Bidang Kesehatan Untuk Masyarakat (Penyelenggaraan Pembinaan dan Lomba PMT)</v>
      </c>
      <c r="I417" s="865"/>
      <c r="J417" s="865"/>
      <c r="K417" s="1063">
        <f>SUM(K418:K432)</f>
        <v>10261000</v>
      </c>
      <c r="L417" s="1061" t="s">
        <v>1775</v>
      </c>
      <c r="M417" s="68">
        <f>'Bid 2b'!F661</f>
        <v>10261000</v>
      </c>
    </row>
    <row r="418" spans="1:13" x14ac:dyDescent="0.25">
      <c r="A418" s="1"/>
      <c r="B418" s="1"/>
      <c r="C418" s="1"/>
      <c r="D418" s="1">
        <v>5</v>
      </c>
      <c r="E418" s="1">
        <v>2</v>
      </c>
      <c r="F418" s="1"/>
      <c r="G418" s="1"/>
      <c r="H418" s="4" t="str">
        <f>'Bid 2b'!B619</f>
        <v>Belanja Barang Jasa :</v>
      </c>
      <c r="I418" s="1"/>
      <c r="J418" s="1"/>
      <c r="K418" s="73"/>
      <c r="L418" s="1"/>
    </row>
    <row r="419" spans="1:13" ht="30" x14ac:dyDescent="0.25">
      <c r="A419" s="1"/>
      <c r="B419" s="1"/>
      <c r="C419" s="1"/>
      <c r="D419" s="1"/>
      <c r="E419" s="1"/>
      <c r="F419" s="1">
        <v>1</v>
      </c>
      <c r="G419" s="1"/>
      <c r="H419" s="4" t="str">
        <f>'Bid 2b'!B620</f>
        <v>Belanja Barang Perlengkapan</v>
      </c>
      <c r="I419" s="1"/>
      <c r="J419" s="1"/>
      <c r="K419" s="73"/>
      <c r="L419" s="1"/>
    </row>
    <row r="420" spans="1:13" ht="45" x14ac:dyDescent="0.25">
      <c r="A420" s="1"/>
      <c r="B420" s="1"/>
      <c r="C420" s="1"/>
      <c r="D420" s="1"/>
      <c r="E420" s="1"/>
      <c r="F420" s="1"/>
      <c r="G420" s="1489" t="s">
        <v>3366</v>
      </c>
      <c r="H420" s="4" t="str">
        <f>'Bid 2b'!B621</f>
        <v>Belanja Perlengkapan Alat Tulis Kantor dan Benda Pos</v>
      </c>
      <c r="I420" s="1"/>
      <c r="J420" s="1"/>
      <c r="K420" s="73">
        <f>SUM('Bid 2b'!F622:F623)</f>
        <v>312000</v>
      </c>
      <c r="L420" s="4" t="s">
        <v>1775</v>
      </c>
    </row>
    <row r="421" spans="1:13" ht="30" x14ac:dyDescent="0.25">
      <c r="A421" s="1"/>
      <c r="B421" s="1"/>
      <c r="C421" s="1"/>
      <c r="D421" s="1"/>
      <c r="E421" s="1"/>
      <c r="F421" s="1"/>
      <c r="G421" s="1489" t="s">
        <v>3391</v>
      </c>
      <c r="H421" s="4" t="str">
        <f>'Bid 2b'!B625</f>
        <v>Belanja Perlengkapan Barang Konsumsi</v>
      </c>
      <c r="I421" s="1"/>
      <c r="J421" s="1"/>
      <c r="K421" s="73">
        <f>'Bid 2b'!F626</f>
        <v>600000</v>
      </c>
      <c r="L421" s="4" t="s">
        <v>1775</v>
      </c>
    </row>
    <row r="422" spans="1:13" x14ac:dyDescent="0.25">
      <c r="A422" s="1"/>
      <c r="B422" s="1"/>
      <c r="C422" s="1"/>
      <c r="D422" s="1">
        <v>5</v>
      </c>
      <c r="E422" s="1">
        <v>2</v>
      </c>
      <c r="F422" s="1">
        <v>2</v>
      </c>
      <c r="G422" s="1"/>
      <c r="H422" s="4" t="str">
        <f>'Bid 2b'!B628</f>
        <v>Belanja Jasa Honorarium</v>
      </c>
      <c r="I422" s="1"/>
      <c r="J422" s="1"/>
      <c r="K422" s="73"/>
      <c r="L422" s="1"/>
    </row>
    <row r="423" spans="1:13" ht="30" x14ac:dyDescent="0.25">
      <c r="A423" s="1"/>
      <c r="B423" s="1"/>
      <c r="C423" s="1"/>
      <c r="D423" s="1"/>
      <c r="E423" s="1"/>
      <c r="F423" s="1"/>
      <c r="G423" s="1489" t="s">
        <v>3389</v>
      </c>
      <c r="H423" s="4" t="str">
        <f>'Bid 2b'!B629</f>
        <v>Belanja Honorarium Pelatih/Narasumber</v>
      </c>
      <c r="I423" s="1"/>
      <c r="J423" s="1"/>
      <c r="K423" s="73">
        <f>'Bid 2b'!F630</f>
        <v>600000</v>
      </c>
      <c r="L423" s="4" t="s">
        <v>1775</v>
      </c>
    </row>
    <row r="424" spans="1:13" x14ac:dyDescent="0.25">
      <c r="A424" s="1"/>
      <c r="B424" s="1"/>
      <c r="C424" s="1"/>
      <c r="D424" s="1">
        <v>5</v>
      </c>
      <c r="E424" s="1">
        <v>2</v>
      </c>
      <c r="F424" s="1">
        <v>1</v>
      </c>
      <c r="G424" s="1"/>
      <c r="H424" s="4" t="str">
        <f>'Bid 2b'!B632</f>
        <v>Kegiatan Lomba</v>
      </c>
      <c r="I424" s="1"/>
      <c r="J424" s="1"/>
      <c r="K424" s="73"/>
      <c r="L424" s="1"/>
    </row>
    <row r="425" spans="1:13" ht="30" x14ac:dyDescent="0.25">
      <c r="A425" s="1"/>
      <c r="B425" s="1"/>
      <c r="C425" s="1"/>
      <c r="D425" s="1"/>
      <c r="E425" s="1"/>
      <c r="F425" s="1"/>
      <c r="G425" s="1489" t="s">
        <v>3391</v>
      </c>
      <c r="H425" s="4" t="str">
        <f>'Bid 2b'!B634</f>
        <v>Belanja Perlengkapan Barang Konsumsi</v>
      </c>
      <c r="I425" s="1"/>
      <c r="J425" s="1"/>
      <c r="K425" s="73">
        <f>'Bid 2b'!F635</f>
        <v>700000</v>
      </c>
      <c r="L425" s="4" t="s">
        <v>1775</v>
      </c>
    </row>
    <row r="426" spans="1:13" ht="30" x14ac:dyDescent="0.25">
      <c r="A426" s="1"/>
      <c r="B426" s="1"/>
      <c r="C426" s="1"/>
      <c r="D426" s="1"/>
      <c r="E426" s="1"/>
      <c r="F426" s="1"/>
      <c r="G426" s="1489" t="s">
        <v>3393</v>
      </c>
      <c r="H426" s="4" t="str">
        <f>'Bid 2b'!B637</f>
        <v>Belanja Sepanduk</v>
      </c>
      <c r="I426" s="1"/>
      <c r="J426" s="1"/>
      <c r="K426" s="73">
        <f>'Bid 2b'!F638</f>
        <v>90000</v>
      </c>
      <c r="L426" s="4" t="s">
        <v>1775</v>
      </c>
    </row>
    <row r="427" spans="1:13" ht="30" x14ac:dyDescent="0.25">
      <c r="A427" s="1"/>
      <c r="B427" s="1"/>
      <c r="C427" s="1"/>
      <c r="D427" s="1"/>
      <c r="E427" s="1"/>
      <c r="F427" s="1"/>
      <c r="G427" s="1489" t="s">
        <v>3417</v>
      </c>
      <c r="H427" s="4" t="str">
        <f>'Bid 2b'!B640</f>
        <v>Belanja Upakara, Upacara dan Aci</v>
      </c>
      <c r="I427" s="1"/>
      <c r="J427" s="1"/>
      <c r="K427" s="73">
        <f>SUM('Bid 2b'!F641:F643)</f>
        <v>75000</v>
      </c>
      <c r="L427" s="4" t="s">
        <v>1775</v>
      </c>
    </row>
    <row r="428" spans="1:13" x14ac:dyDescent="0.25">
      <c r="A428" s="1"/>
      <c r="B428" s="1"/>
      <c r="C428" s="1"/>
      <c r="D428" s="1">
        <v>5</v>
      </c>
      <c r="E428" s="1">
        <v>2</v>
      </c>
      <c r="F428" s="1">
        <v>2</v>
      </c>
      <c r="G428" s="1"/>
      <c r="H428" s="4" t="str">
        <f>'Bid 2b'!B645</f>
        <v>Belanja Jasa Honorarium</v>
      </c>
      <c r="I428" s="1"/>
      <c r="J428" s="1"/>
      <c r="K428" s="73"/>
      <c r="L428" s="1"/>
    </row>
    <row r="429" spans="1:13" ht="45" x14ac:dyDescent="0.25">
      <c r="A429" s="1"/>
      <c r="B429" s="1"/>
      <c r="C429" s="1"/>
      <c r="D429" s="1"/>
      <c r="E429" s="1"/>
      <c r="F429" s="1"/>
      <c r="G429" s="1489" t="s">
        <v>3366</v>
      </c>
      <c r="H429" s="4" t="str">
        <f>'Bid 2b'!B646</f>
        <v>Belanja Jasa Honorarium Tim Yang Melaksanakan Kegiatan</v>
      </c>
      <c r="I429" s="1"/>
      <c r="J429" s="1"/>
      <c r="K429" s="73">
        <f>SUM('Bid 2b'!F647:F649)</f>
        <v>750000</v>
      </c>
      <c r="L429" s="4" t="s">
        <v>1775</v>
      </c>
    </row>
    <row r="430" spans="1:13" ht="45" x14ac:dyDescent="0.25">
      <c r="A430" s="1"/>
      <c r="B430" s="1"/>
      <c r="C430" s="1"/>
      <c r="D430" s="1"/>
      <c r="E430" s="1"/>
      <c r="F430" s="1"/>
      <c r="G430" s="1489" t="s">
        <v>3389</v>
      </c>
      <c r="H430" s="4" t="str">
        <f>'Bid 2b'!B651</f>
        <v>Belanja Jasa Honorarium Ahli/Profesi/Konsultan/ Narasumber</v>
      </c>
      <c r="I430" s="1"/>
      <c r="J430" s="1"/>
      <c r="K430" s="73">
        <f>'Bid 2b'!F652</f>
        <v>1134000</v>
      </c>
      <c r="L430" s="4" t="s">
        <v>1775</v>
      </c>
    </row>
    <row r="431" spans="1:13" ht="45" x14ac:dyDescent="0.25">
      <c r="A431" s="1"/>
      <c r="B431" s="1"/>
      <c r="C431" s="1"/>
      <c r="D431" s="1">
        <v>5</v>
      </c>
      <c r="E431" s="1">
        <v>2</v>
      </c>
      <c r="F431" s="1">
        <v>7</v>
      </c>
      <c r="G431" s="1"/>
      <c r="H431" s="4" t="str">
        <f>'Bid 2b'!B654</f>
        <v>Belanja Barang Dan Jasa yang Diserahkan Kepada Masyarakat</v>
      </c>
      <c r="I431" s="1"/>
      <c r="J431" s="1"/>
      <c r="K431" s="73"/>
      <c r="L431" s="1"/>
    </row>
    <row r="432" spans="1:13" ht="30" x14ac:dyDescent="0.25">
      <c r="A432" s="1"/>
      <c r="B432" s="1"/>
      <c r="C432" s="1"/>
      <c r="D432" s="1"/>
      <c r="E432" s="1"/>
      <c r="F432" s="1"/>
      <c r="G432" s="1489">
        <v>90</v>
      </c>
      <c r="H432" s="4" t="str">
        <f>'Bid 2b'!B655</f>
        <v>Belanja Jasa Seniman dan Atlit Berprestasi</v>
      </c>
      <c r="I432" s="1"/>
      <c r="J432" s="1"/>
      <c r="K432" s="73">
        <f>SUM('Bid 2b'!F656:F658)</f>
        <v>6000000</v>
      </c>
      <c r="L432" s="4" t="s">
        <v>1775</v>
      </c>
    </row>
    <row r="433" spans="1:13" ht="120" x14ac:dyDescent="0.25">
      <c r="A433" s="865">
        <v>2</v>
      </c>
      <c r="B433" s="865">
        <v>2</v>
      </c>
      <c r="C433" s="1490" t="s">
        <v>3388</v>
      </c>
      <c r="D433" s="865"/>
      <c r="E433" s="865"/>
      <c r="F433" s="865"/>
      <c r="G433" s="865"/>
      <c r="H433" s="1061" t="str">
        <f>'Bid 2b'!B676</f>
        <v>: Penyuluhan dan Pelatihan Bidang Kesehatan untuk Masyarakat (Penyuluhan kesehatan Organ Reproduksi dan Penyelenggaraan Papsmear)</v>
      </c>
      <c r="I433" s="865"/>
      <c r="J433" s="865"/>
      <c r="K433" s="1063">
        <f>SUM(K434:K446)</f>
        <v>8585000</v>
      </c>
      <c r="L433" s="865" t="s">
        <v>2177</v>
      </c>
      <c r="M433" s="68">
        <f>'Bid 2b'!F709</f>
        <v>8585000</v>
      </c>
    </row>
    <row r="434" spans="1:13" x14ac:dyDescent="0.25">
      <c r="A434" s="1"/>
      <c r="B434" s="1"/>
      <c r="C434" s="1"/>
      <c r="D434" s="1">
        <v>5</v>
      </c>
      <c r="E434" s="1">
        <v>2</v>
      </c>
      <c r="F434" s="1"/>
      <c r="G434" s="1"/>
      <c r="H434" s="4" t="str">
        <f>'Bid 2b'!B683</f>
        <v>Belanja Barang Jasa</v>
      </c>
      <c r="I434" s="1"/>
      <c r="J434" s="1"/>
      <c r="K434" s="73"/>
      <c r="L434" s="1"/>
    </row>
    <row r="435" spans="1:13" ht="30" x14ac:dyDescent="0.25">
      <c r="A435" s="1"/>
      <c r="B435" s="1"/>
      <c r="C435" s="1"/>
      <c r="D435" s="1"/>
      <c r="E435" s="1"/>
      <c r="F435" s="1">
        <v>1</v>
      </c>
      <c r="G435" s="1"/>
      <c r="H435" s="4" t="str">
        <f>'Bid 2b'!B684</f>
        <v>Belanja Barang Perlengkapan</v>
      </c>
      <c r="I435" s="1"/>
      <c r="J435" s="1"/>
      <c r="K435" s="73"/>
      <c r="L435" s="1"/>
    </row>
    <row r="436" spans="1:13" ht="30" x14ac:dyDescent="0.25">
      <c r="A436" s="1"/>
      <c r="B436" s="1"/>
      <c r="C436" s="1"/>
      <c r="D436" s="1"/>
      <c r="E436" s="1"/>
      <c r="F436" s="1"/>
      <c r="G436" s="1489" t="s">
        <v>3366</v>
      </c>
      <c r="H436" s="4" t="str">
        <f>'Bid 2b'!B685</f>
        <v>Belanja Alat Tulis Kantor dan Benda Pos</v>
      </c>
      <c r="I436" s="1"/>
      <c r="J436" s="1"/>
      <c r="K436" s="73">
        <f>SUM('Bid 2b'!F686:F686)</f>
        <v>105000</v>
      </c>
      <c r="L436" s="1" t="s">
        <v>2177</v>
      </c>
    </row>
    <row r="437" spans="1:13" ht="30" x14ac:dyDescent="0.25">
      <c r="A437" s="1"/>
      <c r="B437" s="1"/>
      <c r="C437" s="1"/>
      <c r="D437" s="1"/>
      <c r="E437" s="1"/>
      <c r="F437" s="1"/>
      <c r="G437" s="1489" t="s">
        <v>3391</v>
      </c>
      <c r="H437" s="4" t="str">
        <f>'Bid 2b'!B688</f>
        <v>Belanja Perlengkapan Barang Konsumsi</v>
      </c>
      <c r="I437" s="1"/>
      <c r="J437" s="1"/>
      <c r="K437" s="73">
        <f>'Bid 2b'!F689</f>
        <v>800000</v>
      </c>
      <c r="L437" s="1" t="s">
        <v>2177</v>
      </c>
    </row>
    <row r="438" spans="1:13" ht="30" x14ac:dyDescent="0.25">
      <c r="A438" s="1"/>
      <c r="B438" s="1"/>
      <c r="C438" s="1"/>
      <c r="D438" s="1"/>
      <c r="E438" s="1"/>
      <c r="F438" s="1"/>
      <c r="G438" s="1489" t="s">
        <v>3392</v>
      </c>
      <c r="H438" s="4" t="str">
        <f>'Bid 2b'!B690</f>
        <v>Belanja Bahan Alat Meterial</v>
      </c>
      <c r="I438" s="1"/>
      <c r="J438" s="1"/>
      <c r="K438" s="73">
        <f>'Bid 2b'!F691</f>
        <v>6000000</v>
      </c>
      <c r="L438" s="1" t="s">
        <v>2177</v>
      </c>
    </row>
    <row r="439" spans="1:13" ht="30" x14ac:dyDescent="0.25">
      <c r="A439" s="1"/>
      <c r="B439" s="1"/>
      <c r="C439" s="1"/>
      <c r="D439" s="1"/>
      <c r="E439" s="1"/>
      <c r="F439" s="1"/>
      <c r="G439" s="1489" t="s">
        <v>3393</v>
      </c>
      <c r="H439" s="4" t="str">
        <f>'Bid 2b'!B693</f>
        <v>Belanja Bendera/ Umbul-umbul/ Spanduk</v>
      </c>
      <c r="I439" s="1"/>
      <c r="J439" s="1"/>
      <c r="K439" s="73">
        <f>'Bid 2b'!F694</f>
        <v>90000</v>
      </c>
      <c r="L439" s="1" t="s">
        <v>2177</v>
      </c>
    </row>
    <row r="440" spans="1:13" x14ac:dyDescent="0.25">
      <c r="A440" s="1"/>
      <c r="B440" s="1"/>
      <c r="C440" s="1"/>
      <c r="D440" s="1">
        <v>5</v>
      </c>
      <c r="E440" s="1">
        <v>2</v>
      </c>
      <c r="F440" s="1">
        <v>2</v>
      </c>
      <c r="G440" s="1"/>
      <c r="H440" s="4" t="str">
        <f>'Bid 2b'!B695</f>
        <v>Belanja Jasa Honorarium</v>
      </c>
      <c r="I440" s="1"/>
      <c r="J440" s="1"/>
      <c r="K440" s="73"/>
      <c r="L440" s="1"/>
    </row>
    <row r="441" spans="1:13" ht="30" x14ac:dyDescent="0.25">
      <c r="A441" s="1"/>
      <c r="B441" s="1"/>
      <c r="C441" s="1"/>
      <c r="D441" s="1"/>
      <c r="E441" s="1"/>
      <c r="F441" s="1"/>
      <c r="G441" s="1489" t="s">
        <v>3389</v>
      </c>
      <c r="H441" s="4" t="str">
        <f>'Bid 2b'!B696</f>
        <v>Belanja Jasa Honorarium Ahli/ Profesi</v>
      </c>
      <c r="I441" s="1"/>
      <c r="J441" s="1"/>
      <c r="K441" s="73">
        <f>SUM('Bid 2b'!F697)</f>
        <v>250000</v>
      </c>
      <c r="L441" s="1" t="s">
        <v>2177</v>
      </c>
    </row>
    <row r="442" spans="1:13" x14ac:dyDescent="0.25">
      <c r="A442" s="1"/>
      <c r="B442" s="1"/>
      <c r="C442" s="1"/>
      <c r="D442" s="1">
        <v>5</v>
      </c>
      <c r="E442" s="1">
        <v>2</v>
      </c>
      <c r="F442" s="1">
        <v>1</v>
      </c>
      <c r="G442" s="1"/>
      <c r="H442" s="4" t="str">
        <f>'Bid 2b'!B698</f>
        <v>Sosialisasi</v>
      </c>
      <c r="I442" s="1"/>
      <c r="J442" s="1"/>
      <c r="K442" s="73"/>
      <c r="L442" s="1"/>
    </row>
    <row r="443" spans="1:13" ht="30" x14ac:dyDescent="0.25">
      <c r="A443" s="1"/>
      <c r="B443" s="1"/>
      <c r="C443" s="1"/>
      <c r="D443" s="1"/>
      <c r="E443" s="1"/>
      <c r="F443" s="1"/>
      <c r="G443" s="1489" t="s">
        <v>3366</v>
      </c>
      <c r="H443" s="4" t="str">
        <f>'Bid 2b'!B699</f>
        <v>Belanja Alat Tulis Kantor dan Benda Pos</v>
      </c>
      <c r="I443" s="1"/>
      <c r="J443" s="1"/>
      <c r="K443" s="73">
        <f>SUM('Bid 2b'!F700:F701)</f>
        <v>360000</v>
      </c>
      <c r="L443" s="1" t="s">
        <v>2177</v>
      </c>
    </row>
    <row r="444" spans="1:13" ht="30" x14ac:dyDescent="0.25">
      <c r="A444" s="1"/>
      <c r="B444" s="1"/>
      <c r="C444" s="1"/>
      <c r="D444" s="1"/>
      <c r="E444" s="1"/>
      <c r="F444" s="1"/>
      <c r="G444" s="1489" t="s">
        <v>3391</v>
      </c>
      <c r="H444" s="4" t="str">
        <f>'Bid 2b'!B702</f>
        <v>Belanja Perlengkapan Barang Konsumsi</v>
      </c>
      <c r="I444" s="1"/>
      <c r="J444" s="1"/>
      <c r="K444" s="73">
        <f>'Bid 2b'!F703</f>
        <v>680000</v>
      </c>
      <c r="L444" s="1" t="s">
        <v>2177</v>
      </c>
    </row>
    <row r="445" spans="1:13" x14ac:dyDescent="0.25">
      <c r="A445" s="1"/>
      <c r="B445" s="1"/>
      <c r="C445" s="1"/>
      <c r="D445" s="1">
        <v>5</v>
      </c>
      <c r="E445" s="1">
        <v>2</v>
      </c>
      <c r="F445" s="1">
        <v>2</v>
      </c>
      <c r="G445" s="1489"/>
      <c r="H445" s="4" t="str">
        <f>'Bid 2b'!B705</f>
        <v>Belanja Jasa Honorarium</v>
      </c>
      <c r="I445" s="1"/>
      <c r="J445" s="1"/>
      <c r="K445" s="73"/>
      <c r="L445" s="1"/>
    </row>
    <row r="446" spans="1:13" ht="60" x14ac:dyDescent="0.25">
      <c r="A446" s="1"/>
      <c r="B446" s="1"/>
      <c r="C446" s="1"/>
      <c r="D446" s="1"/>
      <c r="E446" s="1"/>
      <c r="F446" s="1"/>
      <c r="G446" s="1489" t="s">
        <v>3389</v>
      </c>
      <c r="H446" s="4" t="str">
        <f>'Bid 2b'!B706</f>
        <v>Belanja Jasa Honorarium Ahli/ Profesi/Konsultan/Narasumber</v>
      </c>
      <c r="I446" s="1"/>
      <c r="J446" s="1"/>
      <c r="K446" s="73">
        <f>'Bid 2b'!F707</f>
        <v>300000</v>
      </c>
      <c r="L446" s="1" t="s">
        <v>2177</v>
      </c>
    </row>
    <row r="447" spans="1:13" ht="75" x14ac:dyDescent="0.25">
      <c r="A447" s="865">
        <v>2</v>
      </c>
      <c r="B447" s="865">
        <v>2</v>
      </c>
      <c r="C447" s="1490" t="s">
        <v>3388</v>
      </c>
      <c r="D447" s="865"/>
      <c r="E447" s="865"/>
      <c r="F447" s="865"/>
      <c r="G447" s="865"/>
      <c r="H447" s="1061" t="str">
        <f>'Bid 2b'!B724</f>
        <v>: Penyuluhan dan Pelatihan Bidang Kesehatan untuk Masyarakat  (Pembinaan Rumah Dataku)</v>
      </c>
      <c r="I447" s="865"/>
      <c r="J447" s="865"/>
      <c r="K447" s="1063">
        <f>SUM(K448:K454)</f>
        <v>1550000</v>
      </c>
      <c r="L447" s="865" t="s">
        <v>2177</v>
      </c>
      <c r="M447" s="68">
        <f>'Bid 2b'!F750</f>
        <v>1550000</v>
      </c>
    </row>
    <row r="448" spans="1:13" x14ac:dyDescent="0.25">
      <c r="A448" s="1"/>
      <c r="B448" s="1"/>
      <c r="C448" s="1"/>
      <c r="D448" s="1">
        <v>5</v>
      </c>
      <c r="E448" s="1">
        <v>2</v>
      </c>
      <c r="F448" s="1"/>
      <c r="G448" s="1"/>
      <c r="H448" s="4" t="str">
        <f>'Bid 2b'!B730</f>
        <v>Belanja Barang Jasa</v>
      </c>
      <c r="I448" s="1"/>
      <c r="J448" s="1"/>
      <c r="K448" s="73"/>
      <c r="L448" s="1"/>
    </row>
    <row r="449" spans="1:13" ht="30" x14ac:dyDescent="0.25">
      <c r="A449" s="1"/>
      <c r="B449" s="1"/>
      <c r="C449" s="1"/>
      <c r="D449" s="1"/>
      <c r="E449" s="1"/>
      <c r="F449" s="1">
        <v>1</v>
      </c>
      <c r="G449" s="1"/>
      <c r="H449" s="4" t="str">
        <f>'Bid 2b'!B731</f>
        <v>Belanja Barang Perlengkapan</v>
      </c>
      <c r="I449" s="1"/>
      <c r="J449" s="1"/>
      <c r="K449" s="73"/>
      <c r="L449" s="1"/>
    </row>
    <row r="450" spans="1:13" ht="30" x14ac:dyDescent="0.25">
      <c r="A450" s="1"/>
      <c r="B450" s="1"/>
      <c r="C450" s="1"/>
      <c r="D450" s="1"/>
      <c r="E450" s="1"/>
      <c r="F450" s="1"/>
      <c r="G450" s="1489" t="s">
        <v>3366</v>
      </c>
      <c r="H450" s="4" t="str">
        <f>'Bid 2b'!B732</f>
        <v>Belanja Alat Tulis Kantor dan Benda Pos</v>
      </c>
      <c r="I450" s="1"/>
      <c r="J450" s="1"/>
      <c r="K450" s="73">
        <f>SUM('Bid 2b'!F733:F737)</f>
        <v>660000</v>
      </c>
      <c r="L450" s="1" t="s">
        <v>2177</v>
      </c>
    </row>
    <row r="451" spans="1:13" ht="30" x14ac:dyDescent="0.25">
      <c r="A451" s="1"/>
      <c r="B451" s="1"/>
      <c r="C451" s="1"/>
      <c r="D451" s="1"/>
      <c r="E451" s="1"/>
      <c r="F451" s="1"/>
      <c r="G451" s="1489" t="s">
        <v>3391</v>
      </c>
      <c r="H451" s="4" t="str">
        <f>'Bid 2b'!B739:B739</f>
        <v>Belanja Perlengkapan Barang Konsumsi</v>
      </c>
      <c r="I451" s="1"/>
      <c r="J451" s="1"/>
      <c r="K451" s="73">
        <f>'Bid 2b'!F740</f>
        <v>200000</v>
      </c>
      <c r="L451" s="1" t="s">
        <v>2177</v>
      </c>
    </row>
    <row r="452" spans="1:13" ht="30" x14ac:dyDescent="0.25">
      <c r="A452" s="1"/>
      <c r="B452" s="1"/>
      <c r="C452" s="1"/>
      <c r="D452" s="1"/>
      <c r="E452" s="1"/>
      <c r="F452" s="1"/>
      <c r="G452" s="1489" t="s">
        <v>3393</v>
      </c>
      <c r="H452" s="4" t="str">
        <f>'Bid 2b'!B742</f>
        <v>Belanja Bendera/ Umbul-umbul/ Spanduk</v>
      </c>
      <c r="I452" s="1"/>
      <c r="J452" s="1"/>
      <c r="K452" s="73">
        <f>'Bid 2b'!F743</f>
        <v>90000</v>
      </c>
      <c r="L452" s="1" t="s">
        <v>2177</v>
      </c>
    </row>
    <row r="453" spans="1:13" x14ac:dyDescent="0.25">
      <c r="A453" s="1"/>
      <c r="B453" s="1"/>
      <c r="C453" s="1"/>
      <c r="D453" s="1">
        <v>5</v>
      </c>
      <c r="E453" s="1">
        <v>2</v>
      </c>
      <c r="F453" s="1">
        <v>2</v>
      </c>
      <c r="G453" s="1"/>
      <c r="H453" s="4" t="str">
        <f>'Bid 2b'!B746</f>
        <v>Belanja  Jasa Honorarium</v>
      </c>
      <c r="I453" s="1"/>
      <c r="J453" s="1"/>
      <c r="K453" s="73"/>
      <c r="L453" s="1"/>
    </row>
    <row r="454" spans="1:13" ht="45" x14ac:dyDescent="0.25">
      <c r="A454" s="1"/>
      <c r="B454" s="1"/>
      <c r="C454" s="1"/>
      <c r="D454" s="1"/>
      <c r="E454" s="1"/>
      <c r="F454" s="1"/>
      <c r="G454" s="1489" t="s">
        <v>3390</v>
      </c>
      <c r="H454" s="4" t="str">
        <f>'Bid 2b'!B747</f>
        <v>Belanja Jasa Honorarium Ahli/Profesi/Konsultan/Narasumber</v>
      </c>
      <c r="I454" s="1"/>
      <c r="J454" s="1"/>
      <c r="K454" s="73">
        <f>'Bid 2b'!F748</f>
        <v>600000</v>
      </c>
      <c r="L454" s="1" t="s">
        <v>2177</v>
      </c>
    </row>
    <row r="455" spans="1:13" ht="75" x14ac:dyDescent="0.25">
      <c r="A455" s="865">
        <v>2</v>
      </c>
      <c r="B455" s="865">
        <v>2</v>
      </c>
      <c r="C455" s="1490" t="s">
        <v>3388</v>
      </c>
      <c r="D455" s="865"/>
      <c r="E455" s="865"/>
      <c r="F455" s="865"/>
      <c r="G455" s="865"/>
      <c r="H455" s="1061" t="str">
        <f>'Bid 2b'!B766</f>
        <v>: Penyuluhan dan Pelatihan Bidang Kesehatan Untuk Masyarakat  (Sosialisasi Sanitasi pedagang )</v>
      </c>
      <c r="I455" s="865"/>
      <c r="J455" s="865"/>
      <c r="K455" s="1063">
        <f>SUM(K456:K462)</f>
        <v>4593200</v>
      </c>
      <c r="L455" s="1061" t="s">
        <v>2179</v>
      </c>
      <c r="M455" s="68">
        <f>'Bid 2b'!F790</f>
        <v>4593200</v>
      </c>
    </row>
    <row r="456" spans="1:13" x14ac:dyDescent="0.25">
      <c r="A456" s="1"/>
      <c r="B456" s="1"/>
      <c r="C456" s="1"/>
      <c r="D456" s="1">
        <v>5</v>
      </c>
      <c r="E456" s="1">
        <v>2</v>
      </c>
      <c r="F456" s="1"/>
      <c r="G456" s="1"/>
      <c r="H456" s="4" t="str">
        <f>'Bid 2b'!B773</f>
        <v xml:space="preserve">Belanja Barang dan Jasa </v>
      </c>
      <c r="I456" s="1"/>
      <c r="J456" s="1"/>
      <c r="K456" s="73"/>
      <c r="L456" s="4"/>
    </row>
    <row r="457" spans="1:13" ht="30" x14ac:dyDescent="0.25">
      <c r="A457" s="1"/>
      <c r="B457" s="1"/>
      <c r="C457" s="1"/>
      <c r="D457" s="1"/>
      <c r="E457" s="1"/>
      <c r="F457" s="1">
        <v>1</v>
      </c>
      <c r="G457" s="1"/>
      <c r="H457" s="4" t="str">
        <f>'Bid 2b'!B774</f>
        <v>Belanja Barang perlengkapan</v>
      </c>
      <c r="I457" s="1"/>
      <c r="J457" s="1"/>
      <c r="K457" s="73"/>
      <c r="L457" s="4"/>
    </row>
    <row r="458" spans="1:13" ht="45" x14ac:dyDescent="0.25">
      <c r="A458" s="1"/>
      <c r="B458" s="1"/>
      <c r="C458" s="1"/>
      <c r="D458" s="1"/>
      <c r="E458" s="1"/>
      <c r="F458" s="1"/>
      <c r="G458" s="1489" t="s">
        <v>3366</v>
      </c>
      <c r="H458" s="4" t="str">
        <f>'Bid 2b'!B775</f>
        <v>Belanja Perlengkapan Alat Tulis Kantor Dan Benda Pos</v>
      </c>
      <c r="I458" s="1"/>
      <c r="J458" s="1"/>
      <c r="K458" s="73">
        <f>SUM('Bid 2b'!F776:F776)</f>
        <v>43200</v>
      </c>
      <c r="L458" s="4" t="s">
        <v>2179</v>
      </c>
    </row>
    <row r="459" spans="1:13" ht="30" x14ac:dyDescent="0.25">
      <c r="A459" s="1"/>
      <c r="B459" s="1"/>
      <c r="C459" s="1"/>
      <c r="D459" s="1"/>
      <c r="E459" s="1"/>
      <c r="F459" s="1"/>
      <c r="G459" s="1489" t="s">
        <v>3391</v>
      </c>
      <c r="H459" s="4" t="str">
        <f>'Bid 2b'!B778</f>
        <v>Belanja Perlengkapan Barang konsumsi</v>
      </c>
      <c r="I459" s="1"/>
      <c r="J459" s="1"/>
      <c r="K459" s="73">
        <f>'Bid 2b'!F779</f>
        <v>400000</v>
      </c>
      <c r="L459" s="4" t="s">
        <v>2179</v>
      </c>
    </row>
    <row r="460" spans="1:13" x14ac:dyDescent="0.25">
      <c r="A460" s="1"/>
      <c r="B460" s="1"/>
      <c r="C460" s="1"/>
      <c r="D460" s="1">
        <v>5</v>
      </c>
      <c r="E460" s="1">
        <v>2</v>
      </c>
      <c r="F460" s="1">
        <v>2</v>
      </c>
      <c r="G460" s="1"/>
      <c r="H460" s="4" t="str">
        <f>'Bid 2b'!B781</f>
        <v>Belanja Jasa Honorarium</v>
      </c>
      <c r="I460" s="1"/>
      <c r="J460" s="1"/>
      <c r="K460" s="73"/>
      <c r="L460" s="4"/>
    </row>
    <row r="461" spans="1:13" ht="45" x14ac:dyDescent="0.25">
      <c r="A461" s="1"/>
      <c r="B461" s="1"/>
      <c r="C461" s="1"/>
      <c r="D461" s="1"/>
      <c r="E461" s="1"/>
      <c r="F461" s="1"/>
      <c r="G461" s="1489" t="s">
        <v>3366</v>
      </c>
      <c r="H461" s="4" t="str">
        <f>'Bid 2b'!B782</f>
        <v>Belanja Jasa Honorarium Tim Yang Melaksanakan kegiatan</v>
      </c>
      <c r="I461" s="1"/>
      <c r="J461" s="1"/>
      <c r="K461" s="73">
        <f>'Bid 2b'!F783+'Bid 2b'!F784+'Bid 2b'!F785</f>
        <v>1150000</v>
      </c>
      <c r="L461" s="4" t="s">
        <v>2179</v>
      </c>
    </row>
    <row r="462" spans="1:13" ht="30" x14ac:dyDescent="0.25">
      <c r="A462" s="1"/>
      <c r="B462" s="1"/>
      <c r="C462" s="1"/>
      <c r="D462" s="1"/>
      <c r="E462" s="1"/>
      <c r="F462" s="1"/>
      <c r="G462" s="1489" t="s">
        <v>3386</v>
      </c>
      <c r="H462" s="4" t="str">
        <f>'Bid 2b'!B786</f>
        <v>Belanja Jasa Honorarium Petugas</v>
      </c>
      <c r="I462" s="1"/>
      <c r="J462" s="1"/>
      <c r="K462" s="73">
        <f>'Bid 2b'!F787</f>
        <v>3000000</v>
      </c>
      <c r="L462" s="4" t="s">
        <v>2179</v>
      </c>
    </row>
    <row r="463" spans="1:13" ht="90" x14ac:dyDescent="0.25">
      <c r="A463" s="865">
        <v>2</v>
      </c>
      <c r="B463" s="865">
        <v>2</v>
      </c>
      <c r="C463" s="1490" t="s">
        <v>3388</v>
      </c>
      <c r="D463" s="865"/>
      <c r="E463" s="865"/>
      <c r="F463" s="865"/>
      <c r="G463" s="865"/>
      <c r="H463" s="1061" t="str">
        <f>'Bid 2b'!B805</f>
        <v>: Penyuluhan dan Pelatihan Bidang Kesehatan Untuk Masyarakat  (Senam Untuk Kesehatan Perempuan)</v>
      </c>
      <c r="I463" s="865"/>
      <c r="J463" s="865"/>
      <c r="K463" s="1063">
        <f>SUM(K464:K466)</f>
        <v>4800000</v>
      </c>
      <c r="L463" s="865" t="s">
        <v>1506</v>
      </c>
      <c r="M463" s="68">
        <f>'Bid 2b'!F818</f>
        <v>4800000</v>
      </c>
    </row>
    <row r="464" spans="1:13" x14ac:dyDescent="0.25">
      <c r="A464" s="1"/>
      <c r="B464" s="1"/>
      <c r="C464" s="1"/>
      <c r="D464" s="1">
        <v>5</v>
      </c>
      <c r="E464" s="1">
        <v>2</v>
      </c>
      <c r="F464" s="1"/>
      <c r="G464" s="1"/>
      <c r="H464" s="4" t="str">
        <f>'Bid 2b'!B812</f>
        <v xml:space="preserve">Belanja Barang dan Jasa </v>
      </c>
      <c r="I464" s="1"/>
      <c r="J464" s="1"/>
      <c r="K464" s="73"/>
      <c r="L464" s="1"/>
    </row>
    <row r="465" spans="1:13" x14ac:dyDescent="0.25">
      <c r="A465" s="1"/>
      <c r="B465" s="1"/>
      <c r="C465" s="1"/>
      <c r="D465" s="1"/>
      <c r="E465" s="1"/>
      <c r="F465" s="1">
        <v>2</v>
      </c>
      <c r="G465" s="1"/>
      <c r="H465" s="4" t="str">
        <f>'Bid 2b'!B813</f>
        <v>Belanja Jasa Honorarium</v>
      </c>
      <c r="I465" s="1"/>
      <c r="J465" s="1"/>
      <c r="K465" s="73"/>
      <c r="L465" s="1"/>
    </row>
    <row r="466" spans="1:13" ht="30" x14ac:dyDescent="0.25">
      <c r="A466" s="1"/>
      <c r="B466" s="1"/>
      <c r="C466" s="1"/>
      <c r="D466" s="1"/>
      <c r="E466" s="1"/>
      <c r="F466" s="1"/>
      <c r="G466" s="1489" t="s">
        <v>3389</v>
      </c>
      <c r="H466" s="4" t="str">
        <f>'Bid 2b'!B814</f>
        <v>Belanja Jasa Honorarium Narasumber</v>
      </c>
      <c r="I466" s="1"/>
      <c r="J466" s="1"/>
      <c r="K466" s="73">
        <f>'Bid 2b'!F815</f>
        <v>4800000</v>
      </c>
      <c r="L466" s="1" t="s">
        <v>1506</v>
      </c>
    </row>
    <row r="467" spans="1:13" ht="30" x14ac:dyDescent="0.25">
      <c r="A467" s="865">
        <v>2</v>
      </c>
      <c r="B467" s="865">
        <v>2</v>
      </c>
      <c r="C467" s="1490" t="s">
        <v>3389</v>
      </c>
      <c r="D467" s="865"/>
      <c r="E467" s="865"/>
      <c r="F467" s="865"/>
      <c r="G467" s="865"/>
      <c r="H467" s="1061" t="str">
        <f>'Bid 2b'!B834</f>
        <v>: Penyelenggaraan  (Desa Siaga Kesehatan)</v>
      </c>
      <c r="I467" s="865"/>
      <c r="J467" s="865"/>
      <c r="K467" s="1063">
        <f>SUM(K468:K475)</f>
        <v>1802000</v>
      </c>
      <c r="L467" s="865" t="s">
        <v>2177</v>
      </c>
      <c r="M467" s="68">
        <f>'Bid 2b'!F865</f>
        <v>1802000</v>
      </c>
    </row>
    <row r="468" spans="1:13" x14ac:dyDescent="0.25">
      <c r="A468" s="1"/>
      <c r="B468" s="1"/>
      <c r="C468" s="1"/>
      <c r="D468" s="1">
        <v>5</v>
      </c>
      <c r="E468" s="1">
        <v>2</v>
      </c>
      <c r="F468" s="1"/>
      <c r="G468" s="1"/>
      <c r="H468" s="4" t="str">
        <f>'Bid 2b'!B840</f>
        <v>Belanja Barang Jasa</v>
      </c>
      <c r="I468" s="1"/>
      <c r="J468" s="1"/>
      <c r="K468" s="73"/>
      <c r="L468" s="1"/>
    </row>
    <row r="469" spans="1:13" ht="30" x14ac:dyDescent="0.25">
      <c r="A469" s="1"/>
      <c r="B469" s="1"/>
      <c r="C469" s="1"/>
      <c r="D469" s="1"/>
      <c r="E469" s="1"/>
      <c r="F469" s="1">
        <v>1</v>
      </c>
      <c r="G469" s="1"/>
      <c r="H469" s="4" t="str">
        <f>'Bid 2b'!B841</f>
        <v>Belanja Barang Perlengkapan</v>
      </c>
      <c r="I469" s="1"/>
      <c r="J469" s="1"/>
      <c r="K469" s="73"/>
      <c r="L469" s="1"/>
    </row>
    <row r="470" spans="1:13" ht="30" x14ac:dyDescent="0.25">
      <c r="A470" s="1"/>
      <c r="B470" s="1"/>
      <c r="C470" s="1"/>
      <c r="D470" s="1"/>
      <c r="E470" s="1"/>
      <c r="F470" s="1"/>
      <c r="G470" s="1489" t="s">
        <v>3366</v>
      </c>
      <c r="H470" s="4" t="str">
        <f>'Bid 2b'!B842</f>
        <v>Belanja Alat Tulis Kantor dan Benda Pos</v>
      </c>
      <c r="I470" s="1"/>
      <c r="J470" s="1"/>
      <c r="K470" s="73">
        <f>SUM('Bid 2b'!F843:F845)</f>
        <v>417000</v>
      </c>
      <c r="L470" s="1" t="s">
        <v>2177</v>
      </c>
    </row>
    <row r="471" spans="1:13" ht="30" x14ac:dyDescent="0.25">
      <c r="A471" s="1"/>
      <c r="B471" s="1"/>
      <c r="C471" s="1"/>
      <c r="D471" s="1"/>
      <c r="E471" s="1"/>
      <c r="F471" s="1"/>
      <c r="G471" s="1489" t="s">
        <v>3391</v>
      </c>
      <c r="H471" s="4" t="str">
        <f>'Bid 2b'!B847</f>
        <v>Belanja Perlengkapan Barang Konsumsi</v>
      </c>
      <c r="I471" s="1"/>
      <c r="J471" s="1"/>
      <c r="K471" s="73">
        <f>'Bid 2b'!F848</f>
        <v>620000</v>
      </c>
      <c r="L471" s="1" t="s">
        <v>2177</v>
      </c>
    </row>
    <row r="472" spans="1:13" ht="30" x14ac:dyDescent="0.25">
      <c r="A472" s="1"/>
      <c r="B472" s="1"/>
      <c r="C472" s="1"/>
      <c r="D472" s="1"/>
      <c r="E472" s="1"/>
      <c r="F472" s="1"/>
      <c r="G472" s="1489" t="s">
        <v>3393</v>
      </c>
      <c r="H472" s="4" t="str">
        <f>'Bid 2b'!B850</f>
        <v>Belanja Bendera/ Umbul-umbul/ Spanduk</v>
      </c>
      <c r="I472" s="1"/>
      <c r="J472" s="1"/>
      <c r="K472" s="73">
        <f>'Bid 2b'!F851</f>
        <v>90000</v>
      </c>
      <c r="L472" s="1" t="s">
        <v>2177</v>
      </c>
    </row>
    <row r="473" spans="1:13" ht="30" x14ac:dyDescent="0.25">
      <c r="A473" s="1"/>
      <c r="B473" s="1"/>
      <c r="C473" s="1"/>
      <c r="D473" s="1"/>
      <c r="E473" s="1"/>
      <c r="F473" s="1"/>
      <c r="G473" s="1489" t="s">
        <v>3417</v>
      </c>
      <c r="H473" s="4" t="str">
        <f>'Bid 2b'!B853</f>
        <v>Belanja Upakara, Upacara Dan Aci-Aci</v>
      </c>
      <c r="I473" s="1"/>
      <c r="J473" s="1"/>
      <c r="K473" s="73">
        <f>SUM('Bid 2b'!F854:F856)</f>
        <v>75000</v>
      </c>
      <c r="L473" s="1" t="s">
        <v>2177</v>
      </c>
    </row>
    <row r="474" spans="1:13" x14ac:dyDescent="0.25">
      <c r="A474" s="1"/>
      <c r="B474" s="1"/>
      <c r="C474" s="1"/>
      <c r="D474" s="1">
        <v>5</v>
      </c>
      <c r="E474" s="1">
        <v>2</v>
      </c>
      <c r="F474" s="1">
        <v>2</v>
      </c>
      <c r="G474" s="1"/>
      <c r="H474" s="4" t="str">
        <f>'Bid 2b'!B858</f>
        <v>Belanja  Jasa Honorarium</v>
      </c>
      <c r="I474" s="1"/>
      <c r="J474" s="1"/>
      <c r="K474" s="73"/>
      <c r="L474" s="1"/>
    </row>
    <row r="475" spans="1:13" ht="45" x14ac:dyDescent="0.25">
      <c r="A475" s="1"/>
      <c r="B475" s="1"/>
      <c r="C475" s="1"/>
      <c r="D475" s="1"/>
      <c r="E475" s="1"/>
      <c r="F475" s="1"/>
      <c r="G475" s="1489" t="s">
        <v>3389</v>
      </c>
      <c r="H475" s="4" t="str">
        <f>'Bid 2b'!B860</f>
        <v>Belanja Jasa Honorarium Ahli/Profesi/Konsultan/Narasumber</v>
      </c>
      <c r="I475" s="1"/>
      <c r="J475" s="1"/>
      <c r="K475" s="73">
        <f>'Bid 2b'!F861</f>
        <v>600000</v>
      </c>
      <c r="L475" s="1" t="s">
        <v>2177</v>
      </c>
    </row>
    <row r="476" spans="1:13" ht="45" x14ac:dyDescent="0.25">
      <c r="A476" s="865">
        <v>2</v>
      </c>
      <c r="B476" s="865">
        <v>2</v>
      </c>
      <c r="C476" s="1490" t="s">
        <v>3389</v>
      </c>
      <c r="D476" s="865"/>
      <c r="E476" s="865"/>
      <c r="F476" s="865"/>
      <c r="G476" s="865"/>
      <c r="H476" s="1061" t="str">
        <f>'Bid 2b'!B879</f>
        <v>: Penyelenggaraan Desa Siaga Kesehatan( Sosialisasi anjing rabies)</v>
      </c>
      <c r="I476" s="865"/>
      <c r="J476" s="865"/>
      <c r="K476" s="1063">
        <f>SUM(K477:K483)</f>
        <v>1095000</v>
      </c>
      <c r="L476" s="865" t="s">
        <v>2177</v>
      </c>
      <c r="M476" s="68">
        <f>'Bid 2b'!F900</f>
        <v>1095000</v>
      </c>
    </row>
    <row r="477" spans="1:13" x14ac:dyDescent="0.25">
      <c r="A477" s="1"/>
      <c r="B477" s="1"/>
      <c r="C477" s="1"/>
      <c r="D477" s="1">
        <v>5</v>
      </c>
      <c r="E477" s="1">
        <v>2</v>
      </c>
      <c r="F477" s="1"/>
      <c r="G477" s="1"/>
      <c r="H477" s="4" t="str">
        <f>'Bid 2b'!B885</f>
        <v>Belanja Barang Jasa</v>
      </c>
      <c r="I477" s="1"/>
      <c r="J477" s="1"/>
      <c r="K477" s="73"/>
      <c r="L477" s="1"/>
    </row>
    <row r="478" spans="1:13" ht="30" x14ac:dyDescent="0.25">
      <c r="A478" s="1"/>
      <c r="B478" s="1"/>
      <c r="C478" s="1"/>
      <c r="D478" s="1"/>
      <c r="E478" s="1"/>
      <c r="F478" s="1">
        <v>1</v>
      </c>
      <c r="G478" s="1"/>
      <c r="H478" s="4" t="str">
        <f>'Bid 2b'!B886</f>
        <v>Belanja Barang Perlengkapan</v>
      </c>
      <c r="I478" s="1"/>
      <c r="J478" s="1"/>
      <c r="K478" s="73"/>
      <c r="L478" s="1"/>
    </row>
    <row r="479" spans="1:13" ht="30" x14ac:dyDescent="0.25">
      <c r="A479" s="1"/>
      <c r="B479" s="1"/>
      <c r="C479" s="1"/>
      <c r="D479" s="1"/>
      <c r="E479" s="1"/>
      <c r="F479" s="1"/>
      <c r="G479" s="1489" t="s">
        <v>3366</v>
      </c>
      <c r="H479" s="4" t="str">
        <f>'Bid 2b'!B887</f>
        <v>Belanja Alat Tulis Kantor dan Benda Pos</v>
      </c>
      <c r="I479" s="1"/>
      <c r="J479" s="1"/>
      <c r="K479" s="73">
        <f>SUM('Bid 2b'!F888:F888)</f>
        <v>105000</v>
      </c>
      <c r="L479" s="1" t="s">
        <v>2177</v>
      </c>
    </row>
    <row r="480" spans="1:13" ht="30" x14ac:dyDescent="0.25">
      <c r="A480" s="1"/>
      <c r="B480" s="1"/>
      <c r="C480" s="1"/>
      <c r="D480" s="1"/>
      <c r="E480" s="1"/>
      <c r="F480" s="1"/>
      <c r="G480" s="1489" t="s">
        <v>3391</v>
      </c>
      <c r="H480" s="4" t="str">
        <f>'Bid 2b'!B890</f>
        <v>Belanja Perlengkapan Barang Konsumsi</v>
      </c>
      <c r="I480" s="1"/>
      <c r="J480" s="1"/>
      <c r="K480" s="73">
        <f>'Bid 2b'!F891</f>
        <v>600000</v>
      </c>
      <c r="L480" s="1" t="s">
        <v>2177</v>
      </c>
    </row>
    <row r="481" spans="1:13" ht="30" x14ac:dyDescent="0.25">
      <c r="A481" s="1"/>
      <c r="B481" s="1"/>
      <c r="C481" s="1"/>
      <c r="D481" s="1"/>
      <c r="E481" s="1"/>
      <c r="F481" s="1"/>
      <c r="G481" s="1489" t="s">
        <v>3393</v>
      </c>
      <c r="H481" s="4" t="str">
        <f>'Bid 2b'!B893</f>
        <v>Belanja Bendera/ Umbul-umbul/ Spanduk</v>
      </c>
      <c r="I481" s="1"/>
      <c r="J481" s="1"/>
      <c r="K481" s="73">
        <f>'Bid 2b'!F894</f>
        <v>90000</v>
      </c>
      <c r="L481" s="1" t="s">
        <v>2177</v>
      </c>
    </row>
    <row r="482" spans="1:13" x14ac:dyDescent="0.25">
      <c r="A482" s="1"/>
      <c r="B482" s="1"/>
      <c r="C482" s="1"/>
      <c r="D482" s="1">
        <v>5</v>
      </c>
      <c r="E482" s="1">
        <v>2</v>
      </c>
      <c r="F482" s="1">
        <v>2</v>
      </c>
      <c r="G482" s="1"/>
      <c r="H482" s="4" t="str">
        <f>'Bid 2b'!B896</f>
        <v>Belanja  Jasa Honorarium</v>
      </c>
      <c r="I482" s="1"/>
      <c r="J482" s="1"/>
      <c r="K482" s="73"/>
      <c r="L482" s="1"/>
    </row>
    <row r="483" spans="1:13" ht="45" x14ac:dyDescent="0.25">
      <c r="A483" s="1"/>
      <c r="B483" s="1"/>
      <c r="C483" s="1"/>
      <c r="D483" s="1"/>
      <c r="E483" s="1"/>
      <c r="F483" s="1"/>
      <c r="G483" s="1489" t="s">
        <v>3389</v>
      </c>
      <c r="H483" s="4" t="str">
        <f>'Bid 2b'!B897</f>
        <v>Belanja Jasa Honorarium Ahli/Profesi/Konsultan/Narasumber</v>
      </c>
      <c r="I483" s="1"/>
      <c r="J483" s="1"/>
      <c r="K483" s="73">
        <f>'Bid 2b'!F898</f>
        <v>300000</v>
      </c>
      <c r="L483" s="1" t="s">
        <v>2177</v>
      </c>
    </row>
    <row r="484" spans="1:13" ht="60" x14ac:dyDescent="0.25">
      <c r="A484" s="865">
        <v>2</v>
      </c>
      <c r="B484" s="865">
        <v>2</v>
      </c>
      <c r="C484" s="865">
        <v>90</v>
      </c>
      <c r="D484" s="865"/>
      <c r="E484" s="865"/>
      <c r="F484" s="865"/>
      <c r="G484" s="865"/>
      <c r="H484" s="1061" t="str">
        <f>'Bid 2b'!B915</f>
        <v>: Penyelenggaraan Pembinaan dan Lomba Balita Sehat ( Kategori Baduta dan Balita)</v>
      </c>
      <c r="I484" s="865"/>
      <c r="J484" s="865"/>
      <c r="K484" s="1063">
        <f>SUM(K485:K500)</f>
        <v>19845000</v>
      </c>
      <c r="L484" s="1061" t="s">
        <v>2253</v>
      </c>
      <c r="M484" s="68">
        <f>'Bid 2b'!F965</f>
        <v>19845000</v>
      </c>
    </row>
    <row r="485" spans="1:13" x14ac:dyDescent="0.25">
      <c r="A485" s="1"/>
      <c r="B485" s="1"/>
      <c r="C485" s="1"/>
      <c r="D485" s="1">
        <v>5</v>
      </c>
      <c r="E485" s="1">
        <v>2</v>
      </c>
      <c r="F485" s="1"/>
      <c r="G485" s="1"/>
      <c r="H485" s="4" t="str">
        <f>'Bid 2b'!B923</f>
        <v>Belanja Barang Jasa :</v>
      </c>
      <c r="I485" s="1"/>
      <c r="J485" s="1"/>
      <c r="K485" s="73"/>
      <c r="L485" s="4"/>
    </row>
    <row r="486" spans="1:13" ht="30" x14ac:dyDescent="0.25">
      <c r="A486" s="1"/>
      <c r="B486" s="1"/>
      <c r="C486" s="1"/>
      <c r="D486" s="1"/>
      <c r="E486" s="1"/>
      <c r="F486" s="1">
        <v>1</v>
      </c>
      <c r="G486" s="1"/>
      <c r="H486" s="4" t="str">
        <f>'Bid 2b'!B924</f>
        <v>Belanja Barang Perlengkapan</v>
      </c>
      <c r="I486" s="1"/>
      <c r="J486" s="1"/>
      <c r="K486" s="73"/>
      <c r="L486" s="4"/>
    </row>
    <row r="487" spans="1:13" ht="45" x14ac:dyDescent="0.25">
      <c r="A487" s="1"/>
      <c r="B487" s="1"/>
      <c r="C487" s="1"/>
      <c r="D487" s="1"/>
      <c r="E487" s="1"/>
      <c r="F487" s="1"/>
      <c r="G487" s="1489" t="s">
        <v>3366</v>
      </c>
      <c r="H487" s="4" t="str">
        <f>'Bid 2b'!B925</f>
        <v>Belanja Perlengkapan Alat Tulis Kantor dan Benda Pos</v>
      </c>
      <c r="I487" s="1"/>
      <c r="J487" s="1"/>
      <c r="K487" s="73">
        <f>SUM('Bid 2b'!F926:F927)</f>
        <v>240000</v>
      </c>
      <c r="L487" s="4" t="s">
        <v>2253</v>
      </c>
    </row>
    <row r="488" spans="1:13" ht="30" x14ac:dyDescent="0.25">
      <c r="A488" s="1"/>
      <c r="B488" s="1"/>
      <c r="C488" s="1"/>
      <c r="D488" s="1"/>
      <c r="E488" s="1"/>
      <c r="F488" s="1"/>
      <c r="G488" s="1489" t="s">
        <v>3391</v>
      </c>
      <c r="H488" s="4" t="str">
        <f>'Bid 2b'!B929</f>
        <v>Belanja Perlengkapan Barang Konsumsi</v>
      </c>
      <c r="I488" s="1"/>
      <c r="J488" s="1"/>
      <c r="K488" s="73">
        <f>'Bid 2b'!F930</f>
        <v>500000</v>
      </c>
      <c r="L488" s="4" t="s">
        <v>2253</v>
      </c>
    </row>
    <row r="489" spans="1:13" ht="30" x14ac:dyDescent="0.25">
      <c r="A489" s="1"/>
      <c r="B489" s="1"/>
      <c r="C489" s="1"/>
      <c r="D489" s="1"/>
      <c r="E489" s="1"/>
      <c r="F489" s="1"/>
      <c r="G489" s="1489" t="s">
        <v>3393</v>
      </c>
      <c r="H489" s="4" t="str">
        <f>'Bid 2b'!B931</f>
        <v>Belanja Sepanduk</v>
      </c>
      <c r="I489" s="1"/>
      <c r="J489" s="1"/>
      <c r="K489" s="73">
        <f>'Bid 2b'!F932</f>
        <v>90000</v>
      </c>
      <c r="L489" s="4" t="s">
        <v>2253</v>
      </c>
    </row>
    <row r="490" spans="1:13" x14ac:dyDescent="0.25">
      <c r="A490" s="1"/>
      <c r="B490" s="1"/>
      <c r="C490" s="1"/>
      <c r="D490" s="1">
        <v>5</v>
      </c>
      <c r="E490" s="1">
        <v>2</v>
      </c>
      <c r="F490" s="1">
        <v>2</v>
      </c>
      <c r="G490" s="1"/>
      <c r="H490" s="4" t="str">
        <f>'Bid 2b'!B934</f>
        <v>Belanja Jasa Honorarium</v>
      </c>
      <c r="I490" s="1"/>
      <c r="J490" s="1"/>
      <c r="K490" s="73"/>
      <c r="L490" s="4"/>
    </row>
    <row r="491" spans="1:13" ht="30" x14ac:dyDescent="0.25">
      <c r="A491" s="1"/>
      <c r="B491" s="1"/>
      <c r="C491" s="1"/>
      <c r="D491" s="1"/>
      <c r="E491" s="1"/>
      <c r="F491" s="1"/>
      <c r="G491" s="1489" t="s">
        <v>3389</v>
      </c>
      <c r="H491" s="4" t="str">
        <f>'Bid 2b'!B935</f>
        <v>Belanja Honorarium Pelatih/Narasumber</v>
      </c>
      <c r="I491" s="1"/>
      <c r="J491" s="1"/>
      <c r="K491" s="73">
        <f>'Bid 2b'!F936</f>
        <v>600000</v>
      </c>
      <c r="L491" s="4" t="s">
        <v>2253</v>
      </c>
    </row>
    <row r="492" spans="1:13" x14ac:dyDescent="0.25">
      <c r="A492" s="1"/>
      <c r="B492" s="1"/>
      <c r="C492" s="1"/>
      <c r="D492" s="1"/>
      <c r="E492" s="1"/>
      <c r="F492" s="1"/>
      <c r="G492" s="1"/>
      <c r="H492" s="4" t="str">
        <f>'Bid 2b'!B938</f>
        <v>Kegiatan Lomba</v>
      </c>
      <c r="I492" s="1"/>
      <c r="J492" s="1"/>
      <c r="K492" s="73"/>
      <c r="L492" s="4"/>
    </row>
    <row r="493" spans="1:13" ht="30" x14ac:dyDescent="0.25">
      <c r="A493" s="1"/>
      <c r="B493" s="1"/>
      <c r="C493" s="1"/>
      <c r="D493" s="1">
        <v>5</v>
      </c>
      <c r="E493" s="1">
        <v>2</v>
      </c>
      <c r="F493" s="1">
        <v>1</v>
      </c>
      <c r="G493" s="1489" t="s">
        <v>3391</v>
      </c>
      <c r="H493" s="4" t="str">
        <f>'Bid 2b'!B939</f>
        <v>Belanja Perlengkapan Barang Konsumsi</v>
      </c>
      <c r="I493" s="1"/>
      <c r="J493" s="1"/>
      <c r="K493" s="73">
        <f>'Bid 2b'!F940</f>
        <v>720000</v>
      </c>
      <c r="L493" s="4" t="s">
        <v>2253</v>
      </c>
    </row>
    <row r="494" spans="1:13" ht="30" x14ac:dyDescent="0.25">
      <c r="A494" s="1"/>
      <c r="B494" s="1"/>
      <c r="C494" s="1"/>
      <c r="D494" s="1"/>
      <c r="E494" s="1"/>
      <c r="F494" s="1"/>
      <c r="G494" s="1489" t="s">
        <v>3393</v>
      </c>
      <c r="H494" s="4" t="str">
        <f>'Bid 2b'!B942</f>
        <v>Belanja Sepanduk</v>
      </c>
      <c r="I494" s="1"/>
      <c r="J494" s="1"/>
      <c r="K494" s="73">
        <f>'Bid 2b'!F943</f>
        <v>90000</v>
      </c>
      <c r="L494" s="4" t="s">
        <v>2253</v>
      </c>
    </row>
    <row r="495" spans="1:13" ht="30" x14ac:dyDescent="0.25">
      <c r="A495" s="1"/>
      <c r="B495" s="1"/>
      <c r="C495" s="1"/>
      <c r="D495" s="1"/>
      <c r="E495" s="1"/>
      <c r="F495" s="1"/>
      <c r="G495" s="1">
        <v>90</v>
      </c>
      <c r="H495" s="4" t="str">
        <f>'Bid 2b'!B945</f>
        <v>Belanja Upakara, Upacara dan Aci</v>
      </c>
      <c r="I495" s="1"/>
      <c r="J495" s="1"/>
      <c r="K495" s="73">
        <f>SUM('Bid 2b'!F946:F948)</f>
        <v>75000</v>
      </c>
      <c r="L495" s="4" t="s">
        <v>2253</v>
      </c>
    </row>
    <row r="496" spans="1:13" x14ac:dyDescent="0.25">
      <c r="A496" s="1"/>
      <c r="B496" s="1"/>
      <c r="C496" s="1"/>
      <c r="D496" s="1">
        <v>5</v>
      </c>
      <c r="E496" s="1">
        <v>2</v>
      </c>
      <c r="F496" s="1">
        <v>2</v>
      </c>
      <c r="G496" s="1"/>
      <c r="H496" s="4" t="str">
        <f>'Bid 2b'!B950</f>
        <v>Belanja Jasa Honorarium</v>
      </c>
      <c r="I496" s="1"/>
      <c r="J496" s="1"/>
      <c r="K496" s="73"/>
      <c r="L496" s="4"/>
    </row>
    <row r="497" spans="1:13" ht="45" x14ac:dyDescent="0.25">
      <c r="A497" s="1"/>
      <c r="B497" s="1"/>
      <c r="C497" s="1"/>
      <c r="D497" s="1"/>
      <c r="E497" s="1"/>
      <c r="F497" s="1"/>
      <c r="G497" s="1489" t="s">
        <v>3366</v>
      </c>
      <c r="H497" s="4" t="str">
        <f>'Bid 2b'!B951</f>
        <v>Belanja Jasa Honorarium Tim Yang Melaksanakan Kegiatan</v>
      </c>
      <c r="I497" s="1"/>
      <c r="J497" s="1"/>
      <c r="K497" s="73">
        <f>SUM('Bid 2b'!F952:F954)</f>
        <v>750000</v>
      </c>
      <c r="L497" s="4" t="s">
        <v>2253</v>
      </c>
    </row>
    <row r="498" spans="1:13" ht="45" x14ac:dyDescent="0.25">
      <c r="A498" s="1"/>
      <c r="B498" s="1"/>
      <c r="C498" s="1"/>
      <c r="D498" s="1"/>
      <c r="E498" s="1"/>
      <c r="F498" s="1"/>
      <c r="G498" s="1489" t="s">
        <v>3389</v>
      </c>
      <c r="H498" s="4" t="str">
        <f>'Bid 2b'!B956</f>
        <v>Belanja Jasa Honorarium Ahli/Profesi/Konsultan/ Narasumber</v>
      </c>
      <c r="I498" s="1"/>
      <c r="J498" s="1"/>
      <c r="K498" s="73">
        <f>'Bid 2b'!F957</f>
        <v>3780000</v>
      </c>
      <c r="L498" s="4" t="s">
        <v>2253</v>
      </c>
    </row>
    <row r="499" spans="1:13" ht="45" x14ac:dyDescent="0.25">
      <c r="A499" s="1"/>
      <c r="B499" s="1"/>
      <c r="C499" s="1"/>
      <c r="D499" s="1">
        <v>5</v>
      </c>
      <c r="E499" s="1">
        <v>2</v>
      </c>
      <c r="F499" s="1">
        <v>7</v>
      </c>
      <c r="G499" s="1"/>
      <c r="H499" s="4" t="str">
        <f>'Bid 2b'!B959</f>
        <v>Belanja Barang Dan Jasa yang Diserahkan Kepada Masyarakat</v>
      </c>
      <c r="I499" s="1"/>
      <c r="J499" s="1"/>
      <c r="K499" s="73"/>
      <c r="L499" s="4"/>
    </row>
    <row r="500" spans="1:13" ht="30" x14ac:dyDescent="0.25">
      <c r="A500" s="1"/>
      <c r="B500" s="1"/>
      <c r="C500" s="1"/>
      <c r="D500" s="1"/>
      <c r="E500" s="1"/>
      <c r="F500" s="1"/>
      <c r="G500" s="1">
        <v>90</v>
      </c>
      <c r="H500" s="4" t="str">
        <f>'Bid 2b'!B960</f>
        <v>Belanja Jasa Seniman dan Atlit Berprestasi</v>
      </c>
      <c r="I500" s="1"/>
      <c r="J500" s="1"/>
      <c r="K500" s="73">
        <f>SUM('Bid 2b'!F961:F963)</f>
        <v>13000000</v>
      </c>
      <c r="L500" s="4" t="s">
        <v>2253</v>
      </c>
    </row>
    <row r="501" spans="1:13" ht="30" x14ac:dyDescent="0.25">
      <c r="A501" s="865">
        <v>2</v>
      </c>
      <c r="B501" s="865">
        <v>2</v>
      </c>
      <c r="C501" s="865">
        <v>91</v>
      </c>
      <c r="D501" s="865"/>
      <c r="E501" s="865"/>
      <c r="F501" s="865"/>
      <c r="G501" s="865"/>
      <c r="H501" s="865" t="str">
        <f>'Bid 2b'!B980</f>
        <v>:  Foging Fokus</v>
      </c>
      <c r="I501" s="865"/>
      <c r="J501" s="865"/>
      <c r="K501" s="1063">
        <f>SUM(K502:K510)</f>
        <v>17529943</v>
      </c>
      <c r="L501" s="1061" t="s">
        <v>1777</v>
      </c>
      <c r="M501" s="68">
        <f>'Bid 2b'!F1009</f>
        <v>17529943</v>
      </c>
    </row>
    <row r="502" spans="1:13" x14ac:dyDescent="0.25">
      <c r="A502" s="1"/>
      <c r="B502" s="1"/>
      <c r="C502" s="1"/>
      <c r="D502" s="1">
        <v>5</v>
      </c>
      <c r="E502" s="1">
        <v>2</v>
      </c>
      <c r="F502" s="1"/>
      <c r="G502" s="1"/>
      <c r="H502" s="4" t="str">
        <f>'Bid 2b'!B987</f>
        <v xml:space="preserve">Belanja Barang dan Jasa </v>
      </c>
      <c r="I502" s="1"/>
      <c r="J502" s="1"/>
      <c r="K502" s="73"/>
      <c r="L502" s="4"/>
    </row>
    <row r="503" spans="1:13" ht="30" x14ac:dyDescent="0.25">
      <c r="A503" s="1"/>
      <c r="B503" s="1"/>
      <c r="C503" s="1"/>
      <c r="D503" s="1"/>
      <c r="E503" s="1"/>
      <c r="F503" s="1">
        <v>1</v>
      </c>
      <c r="G503" s="1"/>
      <c r="H503" s="4" t="str">
        <f>'Bid 2b'!B988</f>
        <v>Belanja Barang perlengkapan</v>
      </c>
      <c r="I503" s="1"/>
      <c r="J503" s="1"/>
      <c r="K503" s="73"/>
      <c r="L503" s="4"/>
    </row>
    <row r="504" spans="1:13" ht="30" x14ac:dyDescent="0.25">
      <c r="A504" s="1"/>
      <c r="B504" s="1"/>
      <c r="C504" s="1"/>
      <c r="D504" s="1"/>
      <c r="E504" s="1"/>
      <c r="F504" s="1"/>
      <c r="G504" s="1489" t="s">
        <v>3391</v>
      </c>
      <c r="H504" s="4" t="str">
        <f>'Bid 2b'!B989</f>
        <v>Belanja Perlengkapan Barang konsumsi</v>
      </c>
      <c r="I504" s="1"/>
      <c r="J504" s="1"/>
      <c r="K504" s="73">
        <f>'Bid 2b'!F990</f>
        <v>2400000</v>
      </c>
      <c r="L504" s="4" t="s">
        <v>1777</v>
      </c>
    </row>
    <row r="505" spans="1:13" ht="30" x14ac:dyDescent="0.25">
      <c r="A505" s="1"/>
      <c r="B505" s="1"/>
      <c r="C505" s="1"/>
      <c r="D505" s="1"/>
      <c r="E505" s="1"/>
      <c r="F505" s="1"/>
      <c r="G505" s="1489" t="s">
        <v>3392</v>
      </c>
      <c r="H505" s="4" t="str">
        <f>'Bid 2b'!B991</f>
        <v>Belanja Bahan /Material</v>
      </c>
      <c r="I505" s="1"/>
      <c r="J505" s="1"/>
      <c r="K505" s="73">
        <f>SUM('Bid 2b'!F992:F998)</f>
        <v>9514000</v>
      </c>
      <c r="L505" s="4" t="s">
        <v>1777</v>
      </c>
    </row>
    <row r="506" spans="1:13" x14ac:dyDescent="0.25">
      <c r="A506" s="1"/>
      <c r="B506" s="1"/>
      <c r="C506" s="1"/>
      <c r="D506" s="1">
        <v>5</v>
      </c>
      <c r="E506" s="1">
        <v>2</v>
      </c>
      <c r="F506" s="1">
        <v>2</v>
      </c>
      <c r="G506" s="1"/>
      <c r="H506" s="4" t="str">
        <f>'Bid 2b'!B999</f>
        <v>Belanja Jasa Honorarium</v>
      </c>
      <c r="I506" s="1"/>
      <c r="J506" s="1"/>
      <c r="K506" s="73"/>
      <c r="L506" s="4"/>
    </row>
    <row r="507" spans="1:13" ht="45" x14ac:dyDescent="0.25">
      <c r="A507" s="1"/>
      <c r="B507" s="1"/>
      <c r="C507" s="1"/>
      <c r="D507" s="1"/>
      <c r="E507" s="1"/>
      <c r="F507" s="1"/>
      <c r="G507" s="1489" t="s">
        <v>3366</v>
      </c>
      <c r="H507" s="4" t="str">
        <f>'Bid 2b'!B1000</f>
        <v>Belanja Jasa Honorarium Tim Yang Melaksanakan kegiatan</v>
      </c>
      <c r="I507" s="1"/>
      <c r="J507" s="1"/>
      <c r="K507" s="73">
        <f>SUM('Bid 2b'!F1001:F1003)</f>
        <v>750000</v>
      </c>
      <c r="L507" s="4" t="s">
        <v>1777</v>
      </c>
    </row>
    <row r="508" spans="1:13" ht="30" x14ac:dyDescent="0.25">
      <c r="A508" s="1"/>
      <c r="B508" s="1"/>
      <c r="C508" s="1"/>
      <c r="D508" s="1"/>
      <c r="E508" s="1"/>
      <c r="F508" s="1"/>
      <c r="G508" s="1489" t="s">
        <v>3390</v>
      </c>
      <c r="H508" s="4" t="str">
        <f>'Bid 2b'!B1004</f>
        <v>Belanja Jasa Honorarium Petugas</v>
      </c>
      <c r="I508" s="1"/>
      <c r="J508" s="1"/>
      <c r="K508" s="73">
        <f>'Bid 2b'!F1005</f>
        <v>3000000</v>
      </c>
      <c r="L508" s="4" t="s">
        <v>1777</v>
      </c>
    </row>
    <row r="509" spans="1:13" x14ac:dyDescent="0.25">
      <c r="A509" s="1"/>
      <c r="B509" s="1"/>
      <c r="C509" s="1"/>
      <c r="D509" s="1">
        <v>5</v>
      </c>
      <c r="E509" s="1">
        <v>2</v>
      </c>
      <c r="F509" s="1">
        <v>6</v>
      </c>
      <c r="G509" s="1"/>
      <c r="H509" s="4" t="str">
        <f>'Bid 2b'!B1006</f>
        <v>Belanja pemeliharaan</v>
      </c>
      <c r="I509" s="1"/>
      <c r="J509" s="1"/>
      <c r="K509" s="73"/>
      <c r="L509" s="4"/>
    </row>
    <row r="510" spans="1:13" ht="30" x14ac:dyDescent="0.25">
      <c r="A510" s="1"/>
      <c r="B510" s="1"/>
      <c r="C510" s="1"/>
      <c r="D510" s="1"/>
      <c r="E510" s="1"/>
      <c r="F510" s="1"/>
      <c r="G510" s="1489" t="s">
        <v>3366</v>
      </c>
      <c r="H510" s="4" t="str">
        <f>'Bid 2b'!B1007</f>
        <v>Perawatan Mesin (10onit x 1th)</v>
      </c>
      <c r="I510" s="1"/>
      <c r="J510" s="1"/>
      <c r="K510" s="73">
        <f>'Bid 2b'!F1007</f>
        <v>1865943</v>
      </c>
      <c r="L510" s="4" t="s">
        <v>1777</v>
      </c>
    </row>
    <row r="511" spans="1:13" ht="30" x14ac:dyDescent="0.25">
      <c r="A511" s="865">
        <v>2</v>
      </c>
      <c r="B511" s="865">
        <v>2</v>
      </c>
      <c r="C511" s="865">
        <v>92</v>
      </c>
      <c r="D511" s="865"/>
      <c r="E511" s="865"/>
      <c r="F511" s="865"/>
      <c r="G511" s="865"/>
      <c r="H511" s="1061" t="str">
        <f>'Bid 2b'!B1023</f>
        <v>: Gerakan Serentak PSN dan Lomba PSN</v>
      </c>
      <c r="I511" s="865"/>
      <c r="J511" s="865"/>
      <c r="K511" s="1063">
        <f>SUM(K512:K526)</f>
        <v>51996000</v>
      </c>
      <c r="L511" s="865"/>
      <c r="M511" s="68">
        <f>'Bid 2b'!F1062</f>
        <v>51996000</v>
      </c>
    </row>
    <row r="512" spans="1:13" ht="30" x14ac:dyDescent="0.25">
      <c r="A512" s="1"/>
      <c r="B512" s="1"/>
      <c r="C512" s="1"/>
      <c r="D512" s="1"/>
      <c r="E512" s="1"/>
      <c r="F512" s="1"/>
      <c r="G512" s="1"/>
      <c r="H512" s="4" t="str">
        <f>'Bid 2b'!B1029</f>
        <v>Gerakan Kebersihan Serentak</v>
      </c>
      <c r="I512" s="1"/>
      <c r="J512" s="1"/>
      <c r="K512" s="73"/>
      <c r="L512" s="1"/>
    </row>
    <row r="513" spans="1:13" x14ac:dyDescent="0.25">
      <c r="A513" s="1"/>
      <c r="B513" s="1"/>
      <c r="C513" s="1"/>
      <c r="D513" s="1">
        <v>5</v>
      </c>
      <c r="E513" s="1">
        <v>2</v>
      </c>
      <c r="F513" s="1"/>
      <c r="G513" s="1"/>
      <c r="H513" s="4" t="str">
        <f>'Bid 2b'!B1030</f>
        <v xml:space="preserve">Belanja Barang dan Jasa </v>
      </c>
      <c r="I513" s="1"/>
      <c r="J513" s="1"/>
      <c r="K513" s="73"/>
      <c r="L513" s="1"/>
    </row>
    <row r="514" spans="1:13" ht="30" x14ac:dyDescent="0.25">
      <c r="A514" s="1"/>
      <c r="B514" s="1"/>
      <c r="C514" s="1"/>
      <c r="D514" s="1"/>
      <c r="E514" s="1"/>
      <c r="F514" s="1">
        <v>1</v>
      </c>
      <c r="G514" s="1"/>
      <c r="H514" s="4" t="str">
        <f>'Bid 2b'!B1031</f>
        <v>Belanja Barang perlengkapan</v>
      </c>
      <c r="I514" s="1"/>
      <c r="J514" s="1"/>
      <c r="K514" s="73"/>
      <c r="L514" s="1"/>
    </row>
    <row r="515" spans="1:13" ht="30" x14ac:dyDescent="0.25">
      <c r="A515" s="1"/>
      <c r="B515" s="1"/>
      <c r="C515" s="1"/>
      <c r="D515" s="1"/>
      <c r="E515" s="1"/>
      <c r="F515" s="1"/>
      <c r="G515" s="1489" t="s">
        <v>3391</v>
      </c>
      <c r="H515" s="4" t="str">
        <f>'Bid 2b'!B1032</f>
        <v>Belanja Perlengkapan Barang Konsumsi</v>
      </c>
      <c r="I515" s="1"/>
      <c r="J515" s="1"/>
      <c r="K515" s="73">
        <f>SUM('Bid 2b'!F1033:F1034)</f>
        <v>26600000</v>
      </c>
      <c r="L515" s="1" t="s">
        <v>1506</v>
      </c>
    </row>
    <row r="516" spans="1:13" ht="30" x14ac:dyDescent="0.25">
      <c r="A516" s="1"/>
      <c r="B516" s="1"/>
      <c r="C516" s="1"/>
      <c r="D516" s="1"/>
      <c r="E516" s="1"/>
      <c r="F516" s="1"/>
      <c r="G516" s="1489" t="s">
        <v>3393</v>
      </c>
      <c r="H516" s="4" t="str">
        <f>'Bid 2b'!B1035</f>
        <v>Belanja Bendera/ Umbul-umbul/ Spanduk</v>
      </c>
      <c r="I516" s="1"/>
      <c r="J516" s="1"/>
      <c r="K516" s="73">
        <f>'Bid 2b'!F1036+'Bid 2b'!F1037</f>
        <v>2670000</v>
      </c>
      <c r="L516" s="1" t="s">
        <v>1506</v>
      </c>
    </row>
    <row r="517" spans="1:13" x14ac:dyDescent="0.25">
      <c r="A517" s="1"/>
      <c r="B517" s="1"/>
      <c r="C517" s="1"/>
      <c r="D517" s="1"/>
      <c r="E517" s="1"/>
      <c r="F517" s="1"/>
      <c r="G517" s="1"/>
      <c r="H517" s="4" t="str">
        <f>'Bid 2b'!B1038</f>
        <v>Lomba PSN</v>
      </c>
      <c r="I517" s="1"/>
      <c r="J517" s="1"/>
      <c r="K517" s="73"/>
      <c r="L517" s="1"/>
    </row>
    <row r="518" spans="1:13" x14ac:dyDescent="0.25">
      <c r="A518" s="1"/>
      <c r="B518" s="1"/>
      <c r="C518" s="1"/>
      <c r="D518" s="1">
        <v>5</v>
      </c>
      <c r="E518" s="1">
        <v>2</v>
      </c>
      <c r="F518" s="1"/>
      <c r="G518" s="1"/>
      <c r="H518" s="4" t="str">
        <f>'Bid 2b'!B1039</f>
        <v xml:space="preserve">Belanja Barang dan Jasa </v>
      </c>
      <c r="I518" s="1"/>
      <c r="J518" s="1"/>
      <c r="K518" s="73"/>
      <c r="L518" s="1"/>
    </row>
    <row r="519" spans="1:13" ht="30" x14ac:dyDescent="0.25">
      <c r="A519" s="1"/>
      <c r="B519" s="1"/>
      <c r="C519" s="1"/>
      <c r="D519" s="1"/>
      <c r="E519" s="1"/>
      <c r="F519" s="1">
        <v>1</v>
      </c>
      <c r="G519" s="1"/>
      <c r="H519" s="4" t="str">
        <f>'Bid 2b'!B1040</f>
        <v>Belanja Barang perlengkapan</v>
      </c>
      <c r="I519" s="1"/>
      <c r="J519" s="1"/>
      <c r="K519" s="73"/>
      <c r="L519" s="1"/>
    </row>
    <row r="520" spans="1:13" ht="30" x14ac:dyDescent="0.25">
      <c r="A520" s="1"/>
      <c r="B520" s="1"/>
      <c r="C520" s="1"/>
      <c r="D520" s="1"/>
      <c r="E520" s="1"/>
      <c r="F520" s="1"/>
      <c r="G520" s="1489" t="s">
        <v>3391</v>
      </c>
      <c r="H520" s="4" t="str">
        <f>'Bid 2b'!B1041</f>
        <v>Belanja Perlengkapan Barang Konsumsi</v>
      </c>
      <c r="I520" s="1"/>
      <c r="J520" s="1"/>
      <c r="K520" s="73">
        <f>SUM('Bid 2b'!F1042)</f>
        <v>1260000</v>
      </c>
      <c r="L520" s="1" t="s">
        <v>1506</v>
      </c>
    </row>
    <row r="521" spans="1:13" ht="30" x14ac:dyDescent="0.25">
      <c r="A521" s="1"/>
      <c r="B521" s="1"/>
      <c r="C521" s="1"/>
      <c r="D521" s="1"/>
      <c r="E521" s="1"/>
      <c r="F521" s="1"/>
      <c r="G521" s="1489" t="s">
        <v>3394</v>
      </c>
      <c r="H521" s="4" t="str">
        <f>'Bid 2b'!B1043</f>
        <v>Belanja Pakaian Dinas / Seragam/ Atribut</v>
      </c>
      <c r="I521" s="1"/>
      <c r="J521" s="1"/>
      <c r="K521" s="73">
        <f>SUM('Bid 2b'!F1044:F1048)</f>
        <v>3780000</v>
      </c>
      <c r="L521" s="1" t="s">
        <v>1506</v>
      </c>
    </row>
    <row r="522" spans="1:13" x14ac:dyDescent="0.25">
      <c r="A522" s="1"/>
      <c r="B522" s="1"/>
      <c r="C522" s="1"/>
      <c r="D522" s="1">
        <v>5</v>
      </c>
      <c r="E522" s="1">
        <v>2</v>
      </c>
      <c r="F522" s="1">
        <v>2</v>
      </c>
      <c r="G522" s="1"/>
      <c r="H522" s="4" t="str">
        <f>'Bid 2b'!B1049</f>
        <v>Belanaj Jasa Honorarium</v>
      </c>
      <c r="I522" s="1"/>
      <c r="J522" s="1"/>
      <c r="K522" s="73"/>
      <c r="L522" s="1"/>
    </row>
    <row r="523" spans="1:13" ht="30" x14ac:dyDescent="0.25">
      <c r="A523" s="1"/>
      <c r="B523" s="1"/>
      <c r="C523" s="1"/>
      <c r="D523" s="1"/>
      <c r="E523" s="1"/>
      <c r="F523" s="1"/>
      <c r="G523" s="1489" t="s">
        <v>3366</v>
      </c>
      <c r="H523" s="4" t="str">
        <f>'Bid 2b'!B1050</f>
        <v>Honor Tim yang Melaksanakan Kegiatan</v>
      </c>
      <c r="I523" s="1"/>
      <c r="J523" s="1"/>
      <c r="K523" s="73">
        <f>SUM('Bid 2b'!F1051:F1053)</f>
        <v>1150000</v>
      </c>
      <c r="L523" s="1" t="s">
        <v>1506</v>
      </c>
    </row>
    <row r="524" spans="1:13" ht="60" x14ac:dyDescent="0.25">
      <c r="A524" s="1"/>
      <c r="B524" s="1"/>
      <c r="C524" s="1"/>
      <c r="D524" s="1"/>
      <c r="E524" s="1"/>
      <c r="F524" s="1"/>
      <c r="G524" s="1489" t="s">
        <v>3389</v>
      </c>
      <c r="H524" s="4" t="str">
        <f>'Bid 2b'!B1054</f>
        <v>Belanja Jasa Honorarium Ahli/ Profesi/Konsultan/Narasumber</v>
      </c>
      <c r="I524" s="1"/>
      <c r="J524" s="1"/>
      <c r="K524" s="73">
        <f>'Bid 2b'!F1055</f>
        <v>4536000</v>
      </c>
      <c r="L524" s="1" t="s">
        <v>1506</v>
      </c>
    </row>
    <row r="525" spans="1:13" ht="30" x14ac:dyDescent="0.25">
      <c r="A525" s="1"/>
      <c r="B525" s="1"/>
      <c r="C525" s="1"/>
      <c r="D525" s="1">
        <v>5</v>
      </c>
      <c r="E525" s="1">
        <v>2</v>
      </c>
      <c r="F525" s="1">
        <v>7</v>
      </c>
      <c r="G525" s="1"/>
      <c r="H525" s="4" t="str">
        <f>'Bid 2b'!B1056</f>
        <v>Belanja Barang dan Jasa Yang Di Serahkan</v>
      </c>
      <c r="I525" s="1"/>
      <c r="J525" s="1"/>
      <c r="K525" s="73"/>
      <c r="L525" s="1"/>
    </row>
    <row r="526" spans="1:13" ht="30" x14ac:dyDescent="0.25">
      <c r="A526" s="1"/>
      <c r="B526" s="1"/>
      <c r="C526" s="1"/>
      <c r="D526" s="1"/>
      <c r="E526" s="1"/>
      <c r="F526" s="1"/>
      <c r="G526" s="1">
        <v>90</v>
      </c>
      <c r="H526" s="4" t="str">
        <f>'Bid 2b'!B1057</f>
        <v>Hadiah</v>
      </c>
      <c r="I526" s="1"/>
      <c r="J526" s="1"/>
      <c r="K526" s="73">
        <f>SUM('Bid 2b'!F1058:F1060)</f>
        <v>12000000</v>
      </c>
      <c r="L526" s="4" t="s">
        <v>1775</v>
      </c>
    </row>
    <row r="527" spans="1:13" ht="30" x14ac:dyDescent="0.25">
      <c r="A527" s="865">
        <v>2</v>
      </c>
      <c r="B527" s="865">
        <v>2</v>
      </c>
      <c r="C527" s="865">
        <v>93</v>
      </c>
      <c r="D527" s="865"/>
      <c r="E527" s="865"/>
      <c r="F527" s="865"/>
      <c r="G527" s="865"/>
      <c r="H527" s="1061" t="str">
        <f>'Bid 2b'!B1074</f>
        <v>Penyelengggaraan Rumah Desa Sehat ( TPPS Desa )</v>
      </c>
      <c r="I527" s="865"/>
      <c r="J527" s="865"/>
      <c r="K527" s="1063">
        <f>SUM(K528:K533)</f>
        <v>5985000</v>
      </c>
      <c r="L527" s="1061" t="s">
        <v>2179</v>
      </c>
      <c r="M527" s="68">
        <f>'Bid 2b'!F1096</f>
        <v>5985000</v>
      </c>
    </row>
    <row r="528" spans="1:13" x14ac:dyDescent="0.25">
      <c r="A528" s="1"/>
      <c r="B528" s="1"/>
      <c r="C528" s="1"/>
      <c r="D528" s="1">
        <v>5</v>
      </c>
      <c r="E528" s="1">
        <v>2</v>
      </c>
      <c r="F528" s="1"/>
      <c r="G528" s="1"/>
      <c r="H528" s="4" t="str">
        <f>'Bid 2b'!B1079</f>
        <v>Belanja Barang Jasa :</v>
      </c>
      <c r="I528" s="1"/>
      <c r="J528" s="1"/>
      <c r="K528" s="73"/>
      <c r="L528" s="4"/>
    </row>
    <row r="529" spans="1:13" ht="30" x14ac:dyDescent="0.25">
      <c r="A529" s="1"/>
      <c r="B529" s="1"/>
      <c r="C529" s="1"/>
      <c r="D529" s="1"/>
      <c r="E529" s="1"/>
      <c r="F529" s="1">
        <v>1</v>
      </c>
      <c r="G529" s="1"/>
      <c r="H529" s="4" t="str">
        <f>'Bid 2b'!B1080</f>
        <v>Belanja Barang Perlengkapan</v>
      </c>
      <c r="I529" s="1"/>
      <c r="J529" s="1"/>
      <c r="K529" s="73"/>
      <c r="L529" s="4"/>
    </row>
    <row r="530" spans="1:13" ht="45" x14ac:dyDescent="0.25">
      <c r="A530" s="1"/>
      <c r="B530" s="1"/>
      <c r="C530" s="1"/>
      <c r="D530" s="1"/>
      <c r="E530" s="1"/>
      <c r="F530" s="1"/>
      <c r="G530" s="1489" t="s">
        <v>3366</v>
      </c>
      <c r="H530" s="4" t="str">
        <f>'Bid 2b'!B1081</f>
        <v>Belanja perlengkapan alat tulis kantor dan Benda Pos</v>
      </c>
      <c r="I530" s="1"/>
      <c r="J530" s="1"/>
      <c r="K530" s="73">
        <f>SUM('Bid 2b'!F1082:F1086)</f>
        <v>385000</v>
      </c>
      <c r="L530" s="4" t="s">
        <v>2179</v>
      </c>
    </row>
    <row r="531" spans="1:13" ht="60" x14ac:dyDescent="0.25">
      <c r="A531" s="1"/>
      <c r="B531" s="1"/>
      <c r="C531" s="1"/>
      <c r="D531" s="1"/>
      <c r="E531" s="1"/>
      <c r="F531" s="1"/>
      <c r="G531" s="1489" t="s">
        <v>3391</v>
      </c>
      <c r="H531" s="4" t="str">
        <f>'Bid 2b'!B1089</f>
        <v>Belanja perlengkapan barang konsumsi (makan/ minum) Belanja Barang konsumsi</v>
      </c>
      <c r="I531" s="1"/>
      <c r="J531" s="1"/>
      <c r="K531" s="73">
        <f>'Bid 2b'!F1090</f>
        <v>4000000</v>
      </c>
      <c r="L531" s="4" t="s">
        <v>2179</v>
      </c>
    </row>
    <row r="532" spans="1:13" x14ac:dyDescent="0.25">
      <c r="A532" s="1"/>
      <c r="B532" s="1"/>
      <c r="C532" s="1"/>
      <c r="D532" s="1">
        <v>5</v>
      </c>
      <c r="E532" s="1">
        <v>2</v>
      </c>
      <c r="F532" s="1">
        <v>2</v>
      </c>
      <c r="G532" s="1"/>
      <c r="H532" s="4" t="str">
        <f>'Bid 2b'!B1092</f>
        <v>Belanja Jasa Honorarium</v>
      </c>
      <c r="I532" s="1"/>
      <c r="J532" s="1"/>
      <c r="K532" s="73"/>
      <c r="L532" s="4"/>
    </row>
    <row r="533" spans="1:13" ht="30" x14ac:dyDescent="0.25">
      <c r="A533" s="1"/>
      <c r="B533" s="1"/>
      <c r="C533" s="1"/>
      <c r="D533" s="1"/>
      <c r="E533" s="1"/>
      <c r="F533" s="1"/>
      <c r="G533" s="1489" t="s">
        <v>3390</v>
      </c>
      <c r="H533" s="4" t="str">
        <f>'Bid 2b'!B1093</f>
        <v>Honorarium Petugas</v>
      </c>
      <c r="I533" s="1"/>
      <c r="J533" s="1"/>
      <c r="K533" s="73">
        <f>'Bid 2b'!F1094</f>
        <v>1600000</v>
      </c>
      <c r="L533" s="4" t="s">
        <v>2179</v>
      </c>
    </row>
    <row r="534" spans="1:13" ht="45" x14ac:dyDescent="0.25">
      <c r="A534" s="865">
        <v>2</v>
      </c>
      <c r="B534" s="865">
        <v>2</v>
      </c>
      <c r="C534" s="865">
        <v>93</v>
      </c>
      <c r="D534" s="865"/>
      <c r="E534" s="865"/>
      <c r="F534" s="865"/>
      <c r="G534" s="865"/>
      <c r="H534" s="1061" t="str">
        <f>'Bid 2b'!B1109</f>
        <v>: Penyelengggaraan Rumah Desa Sehat (Rembuk Stunting)</v>
      </c>
      <c r="I534" s="865"/>
      <c r="J534" s="865"/>
      <c r="K534" s="1063">
        <f>SUM(K535:K541)</f>
        <v>4990000</v>
      </c>
      <c r="L534" s="1061" t="s">
        <v>2179</v>
      </c>
      <c r="M534" s="68">
        <f>'Bid 2b'!F1130</f>
        <v>4990000</v>
      </c>
    </row>
    <row r="535" spans="1:13" x14ac:dyDescent="0.25">
      <c r="A535" s="1"/>
      <c r="B535" s="1"/>
      <c r="C535" s="1"/>
      <c r="D535" s="1">
        <v>5</v>
      </c>
      <c r="E535" s="1">
        <v>2</v>
      </c>
      <c r="F535" s="1"/>
      <c r="G535" s="1"/>
      <c r="H535" s="4" t="str">
        <f>'Bid 2b'!B1112</f>
        <v>Belanja Barang Jasa</v>
      </c>
      <c r="I535" s="1"/>
      <c r="J535" s="1"/>
      <c r="K535" s="73"/>
      <c r="L535" s="4"/>
    </row>
    <row r="536" spans="1:13" ht="30" x14ac:dyDescent="0.25">
      <c r="A536" s="1"/>
      <c r="B536" s="1"/>
      <c r="C536" s="1"/>
      <c r="D536" s="1"/>
      <c r="E536" s="1"/>
      <c r="F536" s="1">
        <v>1</v>
      </c>
      <c r="G536" s="1"/>
      <c r="H536" s="4" t="str">
        <f>'Bid 2b'!B1113</f>
        <v>Belanja Barang Perlengkapan</v>
      </c>
      <c r="I536" s="1"/>
      <c r="J536" s="1"/>
      <c r="K536" s="73"/>
      <c r="L536" s="4"/>
    </row>
    <row r="537" spans="1:13" ht="30" x14ac:dyDescent="0.25">
      <c r="A537" s="1"/>
      <c r="B537" s="1"/>
      <c r="C537" s="1"/>
      <c r="D537" s="1"/>
      <c r="E537" s="1"/>
      <c r="F537" s="1"/>
      <c r="G537" s="1489" t="s">
        <v>3366</v>
      </c>
      <c r="H537" s="4" t="str">
        <f>'Bid 2b'!B1114</f>
        <v>Belanja Alat Tulis Kantor dan Benda Pos</v>
      </c>
      <c r="I537" s="1"/>
      <c r="J537" s="1"/>
      <c r="K537" s="73">
        <f>SUM('Bid 2b'!F1115:F1117)</f>
        <v>525000</v>
      </c>
      <c r="L537" s="4" t="s">
        <v>2179</v>
      </c>
    </row>
    <row r="538" spans="1:13" ht="30" x14ac:dyDescent="0.25">
      <c r="A538" s="1"/>
      <c r="B538" s="1"/>
      <c r="C538" s="1"/>
      <c r="D538" s="1"/>
      <c r="E538" s="1"/>
      <c r="F538" s="1"/>
      <c r="G538" s="1489" t="s">
        <v>3391</v>
      </c>
      <c r="H538" s="4" t="str">
        <f>'Bid 2b'!B1119</f>
        <v>Belanja Perlengkapan Barang Konsumsi</v>
      </c>
      <c r="I538" s="1"/>
      <c r="J538" s="1"/>
      <c r="K538" s="73">
        <f>'Bid 2b'!F1120</f>
        <v>2625000</v>
      </c>
      <c r="L538" s="4" t="s">
        <v>2179</v>
      </c>
    </row>
    <row r="539" spans="1:13" ht="30" x14ac:dyDescent="0.25">
      <c r="A539" s="1"/>
      <c r="B539" s="1"/>
      <c r="C539" s="1"/>
      <c r="D539" s="1"/>
      <c r="E539" s="1"/>
      <c r="F539" s="1"/>
      <c r="G539" s="1489" t="s">
        <v>3393</v>
      </c>
      <c r="H539" s="4" t="str">
        <f>'Bid 2b'!B1122</f>
        <v>Belanja Bendera/ Umbul-umbul/ Spanduk</v>
      </c>
      <c r="I539" s="1"/>
      <c r="J539" s="1"/>
      <c r="K539" s="73">
        <f>'Bid 2b'!F1123</f>
        <v>90000</v>
      </c>
      <c r="L539" s="4" t="s">
        <v>2179</v>
      </c>
    </row>
    <row r="540" spans="1:13" ht="45" x14ac:dyDescent="0.25">
      <c r="A540" s="1"/>
      <c r="B540" s="1"/>
      <c r="C540" s="1"/>
      <c r="D540" s="1">
        <v>5</v>
      </c>
      <c r="E540" s="1">
        <v>2</v>
      </c>
      <c r="F540" s="1">
        <v>7</v>
      </c>
      <c r="G540" s="1"/>
      <c r="H540" s="4" t="str">
        <f>'Bid 2b'!B1125</f>
        <v>Belanja barang Jasa yang diserahkan kepada masyarakat</v>
      </c>
      <c r="I540" s="1"/>
      <c r="J540" s="1"/>
      <c r="K540" s="73"/>
      <c r="L540" s="4"/>
    </row>
    <row r="541" spans="1:13" ht="30" x14ac:dyDescent="0.25">
      <c r="A541" s="1"/>
      <c r="B541" s="1"/>
      <c r="C541" s="1"/>
      <c r="D541" s="1"/>
      <c r="E541" s="1"/>
      <c r="F541" s="1"/>
      <c r="G541" s="1">
        <v>91</v>
      </c>
      <c r="H541" s="4" t="str">
        <f>'Bid 2b'!B1126</f>
        <v>Belanja Uang Saku</v>
      </c>
      <c r="I541" s="1"/>
      <c r="J541" s="1"/>
      <c r="K541" s="73">
        <f>'Bid 2b'!F1127</f>
        <v>1750000</v>
      </c>
      <c r="L541" s="4" t="s">
        <v>2179</v>
      </c>
    </row>
    <row r="542" spans="1:13" ht="30" x14ac:dyDescent="0.25">
      <c r="A542" s="865">
        <v>2</v>
      </c>
      <c r="B542" s="865">
        <v>3</v>
      </c>
      <c r="C542" s="865"/>
      <c r="D542" s="865"/>
      <c r="E542" s="865"/>
      <c r="F542" s="865"/>
      <c r="G542" s="865"/>
      <c r="H542" s="1061" t="s">
        <v>3418</v>
      </c>
      <c r="I542" s="865"/>
      <c r="J542" s="865"/>
      <c r="K542" s="1063"/>
      <c r="L542" s="1061"/>
    </row>
    <row r="543" spans="1:13" ht="61.9" customHeight="1" x14ac:dyDescent="0.25">
      <c r="A543" s="865">
        <v>2</v>
      </c>
      <c r="B543" s="865">
        <v>3</v>
      </c>
      <c r="C543" s="1490" t="s">
        <v>3386</v>
      </c>
      <c r="D543" s="865"/>
      <c r="E543" s="865"/>
      <c r="F543" s="865"/>
      <c r="G543" s="865"/>
      <c r="H543" s="1061" t="str">
        <f>'Bid 2b'!B1143</f>
        <v>Pemeliharaan Jalan Lingkungan Permukiman /Gang Pura Tegal Lantang (Pemavingan)</v>
      </c>
      <c r="I543" s="865" t="s">
        <v>3563</v>
      </c>
      <c r="J543" s="865" t="s">
        <v>1275</v>
      </c>
      <c r="K543" s="1063">
        <f>SUM(K544:K548)</f>
        <v>35582000</v>
      </c>
      <c r="L543" s="865" t="s">
        <v>1506</v>
      </c>
      <c r="M543" s="68" t="e">
        <f>'Bid 2b'!#REF!</f>
        <v>#REF!</v>
      </c>
    </row>
    <row r="544" spans="1:13" x14ac:dyDescent="0.25">
      <c r="A544" s="1"/>
      <c r="B544" s="1"/>
      <c r="C544" s="1"/>
      <c r="D544" s="1">
        <v>5</v>
      </c>
      <c r="E544" s="1">
        <v>3</v>
      </c>
      <c r="F544" s="1"/>
      <c r="G544" s="1"/>
      <c r="H544" s="4" t="str">
        <f>'Bid 2b'!B1150</f>
        <v xml:space="preserve">Belanja Modal </v>
      </c>
      <c r="I544" s="1"/>
      <c r="J544" s="1"/>
      <c r="K544" s="73"/>
      <c r="L544" s="1"/>
    </row>
    <row r="545" spans="1:13" x14ac:dyDescent="0.25">
      <c r="A545" s="1"/>
      <c r="B545" s="1"/>
      <c r="C545" s="1"/>
      <c r="D545" s="1"/>
      <c r="E545" s="1"/>
      <c r="F545" s="1">
        <v>5</v>
      </c>
      <c r="G545" s="1"/>
      <c r="H545" s="4" t="str">
        <f>'Bid 2b'!B1151</f>
        <v>Belanja Modal Jalan</v>
      </c>
      <c r="I545" s="1"/>
      <c r="J545" s="1"/>
      <c r="K545" s="73"/>
      <c r="L545" s="1"/>
    </row>
    <row r="546" spans="1:13" ht="30" x14ac:dyDescent="0.25">
      <c r="A546" s="1"/>
      <c r="B546" s="1"/>
      <c r="C546" s="1"/>
      <c r="D546" s="1"/>
      <c r="E546" s="1"/>
      <c r="F546" s="1"/>
      <c r="G546" s="1489" t="s">
        <v>3366</v>
      </c>
      <c r="H546" s="4" t="str">
        <f>'Bid 2b'!B1152</f>
        <v>Honorarium Tim Yang Melaksanakan Kegiatan</v>
      </c>
      <c r="I546" s="1"/>
      <c r="J546" s="1"/>
      <c r="K546" s="73">
        <f>'Bid 2b'!F1154</f>
        <v>697000</v>
      </c>
      <c r="L546" s="1" t="s">
        <v>1506</v>
      </c>
    </row>
    <row r="547" spans="1:13" x14ac:dyDescent="0.25">
      <c r="A547" s="1"/>
      <c r="B547" s="1"/>
      <c r="C547" s="1"/>
      <c r="D547" s="1"/>
      <c r="E547" s="1"/>
      <c r="F547" s="1"/>
      <c r="G547" s="1489" t="s">
        <v>3386</v>
      </c>
      <c r="H547" s="1" t="str">
        <f>'Bid 2b'!B1155</f>
        <v>Belanja Upah</v>
      </c>
      <c r="I547" s="1"/>
      <c r="J547" s="1"/>
      <c r="K547" s="73">
        <f>'Bid 2b'!F1158</f>
        <v>11400000</v>
      </c>
      <c r="L547" s="1" t="s">
        <v>1506</v>
      </c>
    </row>
    <row r="548" spans="1:13" x14ac:dyDescent="0.25">
      <c r="A548" s="1"/>
      <c r="B548" s="1"/>
      <c r="C548" s="1"/>
      <c r="D548" s="1"/>
      <c r="E548" s="1"/>
      <c r="F548" s="1"/>
      <c r="G548" s="1489" t="s">
        <v>3388</v>
      </c>
      <c r="H548" s="1" t="str">
        <f>'Bid 2b'!B1159</f>
        <v>Bahan Baku</v>
      </c>
      <c r="I548" s="1"/>
      <c r="J548" s="1"/>
      <c r="K548" s="73">
        <f>'Bid 2b'!F1168</f>
        <v>23485000</v>
      </c>
      <c r="L548" s="1" t="s">
        <v>1506</v>
      </c>
    </row>
    <row r="549" spans="1:13" ht="60" x14ac:dyDescent="0.25">
      <c r="A549" s="865">
        <v>2</v>
      </c>
      <c r="B549" s="865">
        <v>3</v>
      </c>
      <c r="C549" s="1490" t="s">
        <v>3386</v>
      </c>
      <c r="D549" s="865"/>
      <c r="E549" s="865"/>
      <c r="F549" s="865"/>
      <c r="G549" s="865"/>
      <c r="H549" s="1061" t="str">
        <f>'Bid 2b'!B1707</f>
        <v>Pemeliharaan Jalan Lingkungan Permukiman Gang Nusa Indah IV Carik (Pemavingan)</v>
      </c>
      <c r="I549" s="865">
        <v>499</v>
      </c>
      <c r="J549" s="865" t="s">
        <v>1275</v>
      </c>
      <c r="K549" s="1063">
        <f>SUM(K550:K554)</f>
        <v>152489000</v>
      </c>
      <c r="L549" s="865" t="s">
        <v>1506</v>
      </c>
      <c r="M549" s="68">
        <f>'Bid 2b'!F1732</f>
        <v>152489000</v>
      </c>
    </row>
    <row r="550" spans="1:13" x14ac:dyDescent="0.25">
      <c r="A550" s="1"/>
      <c r="B550" s="1"/>
      <c r="C550" s="1"/>
      <c r="D550" s="1">
        <v>5</v>
      </c>
      <c r="E550" s="1">
        <v>3</v>
      </c>
      <c r="F550" s="1"/>
      <c r="G550" s="1"/>
      <c r="H550" s="4" t="str">
        <f>'Bid 2b'!B1714</f>
        <v xml:space="preserve">Belanja Modal </v>
      </c>
      <c r="I550" s="1"/>
      <c r="J550" s="1"/>
      <c r="K550" s="73"/>
      <c r="L550" s="1"/>
    </row>
    <row r="551" spans="1:13" x14ac:dyDescent="0.25">
      <c r="A551" s="1"/>
      <c r="B551" s="1"/>
      <c r="C551" s="1"/>
      <c r="D551" s="1"/>
      <c r="E551" s="1"/>
      <c r="F551" s="1">
        <v>5</v>
      </c>
      <c r="G551" s="1"/>
      <c r="H551" s="4" t="str">
        <f>'Bid 2b'!B1715</f>
        <v>Belanja Modal Jalan</v>
      </c>
      <c r="I551" s="1"/>
      <c r="J551" s="1"/>
      <c r="K551" s="73"/>
      <c r="L551" s="1"/>
    </row>
    <row r="552" spans="1:13" ht="30" x14ac:dyDescent="0.25">
      <c r="A552" s="1"/>
      <c r="B552" s="1"/>
      <c r="C552" s="1"/>
      <c r="D552" s="1"/>
      <c r="E552" s="1"/>
      <c r="F552" s="1"/>
      <c r="G552" s="1489" t="s">
        <v>3366</v>
      </c>
      <c r="H552" s="4" t="str">
        <f>'Bid 2b'!B1716</f>
        <v>Honorarium Tim Yang Melaksanakan Kegiatan</v>
      </c>
      <c r="I552" s="1"/>
      <c r="J552" s="1"/>
      <c r="K552" s="73">
        <f>'Bid 2b'!F1718</f>
        <v>1500000</v>
      </c>
      <c r="L552" s="1" t="s">
        <v>1506</v>
      </c>
    </row>
    <row r="553" spans="1:13" x14ac:dyDescent="0.25">
      <c r="A553" s="1"/>
      <c r="B553" s="1"/>
      <c r="C553" s="1"/>
      <c r="D553" s="1"/>
      <c r="E553" s="1"/>
      <c r="F553" s="1"/>
      <c r="G553" s="1489" t="s">
        <v>3386</v>
      </c>
      <c r="H553" s="1" t="str">
        <f>'Bid 2b'!B1719</f>
        <v>Belanja Upah</v>
      </c>
      <c r="I553" s="1"/>
      <c r="J553" s="1"/>
      <c r="K553" s="73">
        <f>'Bid 2b'!F1722</f>
        <v>39450000</v>
      </c>
      <c r="L553" s="1" t="s">
        <v>1506</v>
      </c>
    </row>
    <row r="554" spans="1:13" x14ac:dyDescent="0.25">
      <c r="A554" s="1"/>
      <c r="B554" s="1"/>
      <c r="C554" s="1"/>
      <c r="D554" s="1"/>
      <c r="E554" s="1"/>
      <c r="F554" s="1"/>
      <c r="G554" s="1489" t="s">
        <v>3388</v>
      </c>
      <c r="H554" s="1" t="str">
        <f>'Bid 2b'!B1723</f>
        <v>Bahan Baku</v>
      </c>
      <c r="I554" s="1"/>
      <c r="J554" s="1"/>
      <c r="K554" s="73">
        <f>'Bid 2b'!F1731</f>
        <v>111539000</v>
      </c>
      <c r="L554" s="1" t="s">
        <v>1506</v>
      </c>
    </row>
    <row r="555" spans="1:13" ht="105" x14ac:dyDescent="0.25">
      <c r="A555" s="865">
        <v>2</v>
      </c>
      <c r="B555" s="865">
        <v>3</v>
      </c>
      <c r="C555" s="1490" t="s">
        <v>3388</v>
      </c>
      <c r="D555" s="865"/>
      <c r="E555" s="865"/>
      <c r="F555" s="865"/>
      <c r="G555" s="865"/>
      <c r="H555" s="1061" t="str">
        <f>'Bid 2b'!B1908</f>
        <v>: Pemeliharaan Prasarana Jalan Desa (Pembersihan saluran air untuk kelancaran pertanian dan gorong-gorong (PKTD MURNI Ketahanan Pangan)</v>
      </c>
      <c r="I555" s="865"/>
      <c r="J555" s="865"/>
      <c r="K555" s="1063">
        <f>K558</f>
        <v>11550000</v>
      </c>
      <c r="L555" s="1061" t="s">
        <v>2179</v>
      </c>
    </row>
    <row r="556" spans="1:13" x14ac:dyDescent="0.25">
      <c r="A556" s="1"/>
      <c r="B556" s="1"/>
      <c r="C556" s="1"/>
      <c r="D556" s="1">
        <v>5</v>
      </c>
      <c r="E556" s="1">
        <v>3</v>
      </c>
      <c r="F556" s="1"/>
      <c r="G556" s="1"/>
      <c r="H556" s="1" t="str">
        <f>'Bid 2b'!B1914</f>
        <v>Belanja Modal</v>
      </c>
      <c r="I556" s="1"/>
      <c r="J556" s="1"/>
      <c r="K556" s="73"/>
      <c r="L556" s="4"/>
    </row>
    <row r="557" spans="1:13" x14ac:dyDescent="0.25">
      <c r="A557" s="1"/>
      <c r="B557" s="1"/>
      <c r="C557" s="1"/>
      <c r="D557" s="1"/>
      <c r="E557" s="1"/>
      <c r="F557" s="1">
        <v>7</v>
      </c>
      <c r="G557" s="1"/>
      <c r="H557" s="1" t="str">
        <f>'Bid 2b'!B1915</f>
        <v>Belanja Modal Irigasi</v>
      </c>
      <c r="I557" s="1"/>
      <c r="J557" s="1"/>
      <c r="K557" s="73"/>
      <c r="L557" s="4"/>
    </row>
    <row r="558" spans="1:13" ht="30" x14ac:dyDescent="0.25">
      <c r="A558" s="1"/>
      <c r="B558" s="1"/>
      <c r="C558" s="1"/>
      <c r="D558" s="1"/>
      <c r="E558" s="1"/>
      <c r="F558" s="1"/>
      <c r="G558" s="1489" t="s">
        <v>3386</v>
      </c>
      <c r="H558" s="1" t="str">
        <f>'Bid 2b'!B1916</f>
        <v>Belanja Upah PKTD</v>
      </c>
      <c r="I558" s="1"/>
      <c r="J558" s="1"/>
      <c r="K558" s="73">
        <f>'Bid 2b'!F1917</f>
        <v>11550000</v>
      </c>
      <c r="L558" s="4" t="s">
        <v>2179</v>
      </c>
    </row>
    <row r="559" spans="1:13" x14ac:dyDescent="0.25">
      <c r="A559" s="865">
        <v>2</v>
      </c>
      <c r="B559" s="865">
        <v>4</v>
      </c>
      <c r="C559" s="865"/>
      <c r="D559" s="865"/>
      <c r="E559" s="865"/>
      <c r="F559" s="865"/>
      <c r="G559" s="865"/>
      <c r="H559" s="865" t="str">
        <f>'Bid 2b'!B2179</f>
        <v>: Kawasan Pemukiman</v>
      </c>
      <c r="I559" s="865"/>
      <c r="J559" s="865"/>
      <c r="K559" s="1063"/>
      <c r="L559" s="865"/>
    </row>
    <row r="560" spans="1:13" ht="30" x14ac:dyDescent="0.25">
      <c r="A560" s="865">
        <v>2</v>
      </c>
      <c r="B560" s="865">
        <v>4</v>
      </c>
      <c r="C560" s="1490" t="s">
        <v>3392</v>
      </c>
      <c r="D560" s="865"/>
      <c r="E560" s="865"/>
      <c r="F560" s="865"/>
      <c r="G560" s="865"/>
      <c r="H560" s="1061" t="str">
        <f>'Bid 2b'!B2180</f>
        <v>: Kegiatan Pengelolaan Sampah Tingkat Desa</v>
      </c>
      <c r="I560" s="865"/>
      <c r="J560" s="865"/>
      <c r="K560" s="1063">
        <f>SUM(K562:K576)</f>
        <v>650876535.20000005</v>
      </c>
      <c r="L560" s="865"/>
      <c r="M560" s="68">
        <f>'Bid 2b'!F2235</f>
        <v>650876535.20000005</v>
      </c>
    </row>
    <row r="561" spans="1:13" x14ac:dyDescent="0.25">
      <c r="A561" s="1"/>
      <c r="B561" s="1"/>
      <c r="C561" s="1489"/>
      <c r="D561" s="1">
        <v>5</v>
      </c>
      <c r="E561" s="1">
        <v>2</v>
      </c>
      <c r="F561" s="1"/>
      <c r="G561" s="1"/>
      <c r="H561" s="4"/>
      <c r="I561" s="1"/>
      <c r="J561" s="1"/>
      <c r="K561" s="98"/>
      <c r="L561" s="1"/>
      <c r="M561" s="3">
        <f>M560-K560</f>
        <v>0</v>
      </c>
    </row>
    <row r="562" spans="1:13" ht="30" x14ac:dyDescent="0.25">
      <c r="A562" s="1"/>
      <c r="B562" s="1"/>
      <c r="C562" s="1"/>
      <c r="D562" s="1"/>
      <c r="E562" s="1"/>
      <c r="F562" s="1">
        <v>1</v>
      </c>
      <c r="G562" s="1"/>
      <c r="H562" s="4" t="str">
        <f>'Bid 2b'!B2186</f>
        <v>Belanja Barang Perlengkapan</v>
      </c>
      <c r="I562" s="1"/>
      <c r="J562" s="1"/>
      <c r="K562" s="98"/>
      <c r="L562" s="1"/>
      <c r="M562" s="3"/>
    </row>
    <row r="563" spans="1:13" ht="60" x14ac:dyDescent="0.25">
      <c r="A563" s="1"/>
      <c r="B563" s="1"/>
      <c r="C563" s="1"/>
      <c r="D563" s="1"/>
      <c r="E563" s="1"/>
      <c r="F563" s="1"/>
      <c r="G563" s="1489" t="s">
        <v>3389</v>
      </c>
      <c r="H563" s="4" t="str">
        <f>'Bid 2b'!B2187</f>
        <v>Belanja Bahan Bakar Minyak/ Gas/ Isi Ulang Tabung Pemadam Kebakaran</v>
      </c>
      <c r="I563" s="1"/>
      <c r="J563" s="1"/>
      <c r="K563" s="73">
        <f>SUM('Bid 2b'!F2188:F2192)</f>
        <v>126300000</v>
      </c>
      <c r="L563" s="4" t="s">
        <v>1223</v>
      </c>
    </row>
    <row r="564" spans="1:13" ht="30" x14ac:dyDescent="0.25">
      <c r="A564" s="1"/>
      <c r="B564" s="1"/>
      <c r="C564" s="1"/>
      <c r="D564" s="1"/>
      <c r="E564" s="1"/>
      <c r="F564" s="1"/>
      <c r="G564" s="1489" t="s">
        <v>3390</v>
      </c>
      <c r="H564" s="4" t="str">
        <f>'Bid 2b'!B2193</f>
        <v>Belanja Perlengkapan Cetak</v>
      </c>
      <c r="I564" s="1"/>
      <c r="J564" s="1"/>
      <c r="K564" s="73">
        <f>'Bid 2b'!F2194+'Bid 2b'!F2195</f>
        <v>4950000</v>
      </c>
      <c r="L564" s="1" t="s">
        <v>1223</v>
      </c>
    </row>
    <row r="565" spans="1:13" ht="24" customHeight="1" x14ac:dyDescent="0.25">
      <c r="A565" s="1"/>
      <c r="B565" s="1"/>
      <c r="C565" s="1"/>
      <c r="D565" s="1"/>
      <c r="E565" s="1"/>
      <c r="F565" s="1"/>
      <c r="G565" s="1489" t="s">
        <v>3392</v>
      </c>
      <c r="H565" s="4" t="str">
        <f>'Bid 2b'!B2196</f>
        <v>Belanja Bahan Dan Alat</v>
      </c>
      <c r="I565" s="1"/>
      <c r="J565" s="1"/>
      <c r="K565" s="73">
        <f>SUM('Bid 2b'!F2197:F2199)</f>
        <v>3249000</v>
      </c>
      <c r="L565" s="1" t="s">
        <v>1223</v>
      </c>
    </row>
    <row r="566" spans="1:13" ht="27.75" customHeight="1" x14ac:dyDescent="0.25">
      <c r="A566" s="1"/>
      <c r="B566" s="1"/>
      <c r="C566" s="1"/>
      <c r="D566" s="1"/>
      <c r="E566" s="1"/>
      <c r="F566" s="1"/>
      <c r="G566" s="1489" t="s">
        <v>3394</v>
      </c>
      <c r="H566" s="1" t="str">
        <f>'Bid 2b'!B2200</f>
        <v>Belanja Seragam Atribut</v>
      </c>
      <c r="I566" s="1"/>
      <c r="J566" s="1"/>
      <c r="K566" s="73">
        <f>'Bid 2b'!F2201+'Bid 2b'!F2202</f>
        <v>6146000</v>
      </c>
      <c r="L566" s="1" t="s">
        <v>1223</v>
      </c>
    </row>
    <row r="567" spans="1:13" ht="27.75" customHeight="1" x14ac:dyDescent="0.25">
      <c r="A567" s="1"/>
      <c r="B567" s="1"/>
      <c r="C567" s="1"/>
      <c r="D567" s="1"/>
      <c r="E567" s="1"/>
      <c r="F567" s="1"/>
      <c r="G567" s="1489" t="s">
        <v>3394</v>
      </c>
      <c r="H567" s="1" t="str">
        <f>'Bid 2b'!B2200</f>
        <v>Belanja Seragam Atribut</v>
      </c>
      <c r="I567" s="1"/>
      <c r="J567" s="1"/>
      <c r="K567" s="73">
        <f>SUM('Bid 2b'!F2203:F2207)</f>
        <v>14564515.199999999</v>
      </c>
      <c r="L567" s="4" t="s">
        <v>3296</v>
      </c>
    </row>
    <row r="568" spans="1:13" ht="27.75" customHeight="1" x14ac:dyDescent="0.25">
      <c r="A568" s="1"/>
      <c r="B568" s="1"/>
      <c r="C568" s="1"/>
      <c r="D568" s="1">
        <v>5</v>
      </c>
      <c r="E568" s="1">
        <v>2</v>
      </c>
      <c r="F568" s="1">
        <v>2</v>
      </c>
      <c r="G568" s="1489"/>
      <c r="H568" s="1"/>
      <c r="I568" s="1"/>
      <c r="J568" s="1"/>
      <c r="K568" s="73"/>
      <c r="L568" s="1"/>
    </row>
    <row r="569" spans="1:13" ht="30" x14ac:dyDescent="0.25">
      <c r="A569" s="1"/>
      <c r="B569" s="1"/>
      <c r="C569" s="1"/>
      <c r="D569" s="1"/>
      <c r="E569" s="1"/>
      <c r="F569" s="1"/>
      <c r="G569" s="1489" t="s">
        <v>3390</v>
      </c>
      <c r="H569" s="4" t="str">
        <f>'Bid 2b'!B2209</f>
        <v>Belanja Honorarium Petugas</v>
      </c>
      <c r="I569" s="1"/>
      <c r="J569" s="1"/>
      <c r="K569" s="73">
        <f>SUM('Bid 2b'!F2210:F2214)</f>
        <v>301200000</v>
      </c>
      <c r="L569" s="4" t="s">
        <v>3296</v>
      </c>
    </row>
    <row r="570" spans="1:13" ht="30" x14ac:dyDescent="0.25">
      <c r="A570" s="1"/>
      <c r="B570" s="1"/>
      <c r="C570" s="1"/>
      <c r="D570" s="1"/>
      <c r="E570" s="1"/>
      <c r="F570" s="1"/>
      <c r="G570" s="1489" t="s">
        <v>3390</v>
      </c>
      <c r="H570" s="4" t="str">
        <f>'Bid 2b'!B2209</f>
        <v>Belanja Honorarium Petugas</v>
      </c>
      <c r="I570" s="1"/>
      <c r="J570" s="1"/>
      <c r="K570" s="73">
        <f>'Bid 2b'!F2215</f>
        <v>54000000</v>
      </c>
      <c r="L570" s="4" t="s">
        <v>1223</v>
      </c>
    </row>
    <row r="571" spans="1:13" ht="30" x14ac:dyDescent="0.25">
      <c r="A571" s="1"/>
      <c r="B571" s="1"/>
      <c r="C571" s="1"/>
      <c r="D571" s="1">
        <v>5</v>
      </c>
      <c r="E571" s="1">
        <v>2</v>
      </c>
      <c r="F571" s="1">
        <v>5</v>
      </c>
      <c r="G571" s="1"/>
      <c r="H571" s="4" t="str">
        <f>'Bid 2b'!B2216</f>
        <v>Belanja Operasional Pekantoran</v>
      </c>
      <c r="I571" s="1"/>
      <c r="J571" s="1"/>
      <c r="K571" s="73"/>
      <c r="L571" s="4"/>
    </row>
    <row r="572" spans="1:13" ht="30" x14ac:dyDescent="0.25">
      <c r="A572" s="1"/>
      <c r="B572" s="1"/>
      <c r="C572" s="1"/>
      <c r="D572" s="1"/>
      <c r="E572" s="1"/>
      <c r="F572" s="1"/>
      <c r="G572" s="1489" t="s">
        <v>3392</v>
      </c>
      <c r="H572" s="4" t="str">
        <f>'Bid 2b'!B2217</f>
        <v>Belanja Berpanjang Ijin/Pajak</v>
      </c>
      <c r="I572" s="1"/>
      <c r="J572" s="1"/>
      <c r="K572" s="73">
        <f>SUM('Bid 2b'!F2218:F2221)</f>
        <v>25967020</v>
      </c>
      <c r="L572" s="4" t="s">
        <v>1220</v>
      </c>
    </row>
    <row r="573" spans="1:13" ht="32.25" customHeight="1" x14ac:dyDescent="0.25">
      <c r="A573" s="1"/>
      <c r="B573" s="1"/>
      <c r="C573" s="1"/>
      <c r="D573" s="1"/>
      <c r="E573" s="1"/>
      <c r="F573" s="1"/>
      <c r="G573" s="1489" t="s">
        <v>3392</v>
      </c>
      <c r="H573" s="4" t="str">
        <f>'Bid 2b'!B2217</f>
        <v>Belanja Berpanjang Ijin/Pajak</v>
      </c>
      <c r="I573" s="1"/>
      <c r="J573" s="1"/>
      <c r="K573" s="73">
        <f>'Bid 2b'!F2222</f>
        <v>2000000</v>
      </c>
      <c r="L573" s="4" t="s">
        <v>2253</v>
      </c>
    </row>
    <row r="574" spans="1:13" x14ac:dyDescent="0.25">
      <c r="A574" s="1"/>
      <c r="B574" s="1"/>
      <c r="C574" s="1"/>
      <c r="D574" s="1">
        <v>5</v>
      </c>
      <c r="E574" s="1">
        <v>2</v>
      </c>
      <c r="F574" s="1">
        <v>6</v>
      </c>
      <c r="G574" s="1"/>
      <c r="H574" s="4" t="str">
        <f>'Bid 2b'!B2223</f>
        <v>Belanja Pemeliharaan</v>
      </c>
      <c r="I574" s="1"/>
      <c r="J574" s="1"/>
      <c r="K574" s="73"/>
      <c r="L574" s="4"/>
    </row>
    <row r="575" spans="1:13" ht="30" x14ac:dyDescent="0.25">
      <c r="A575" s="1"/>
      <c r="B575" s="1"/>
      <c r="C575" s="1"/>
      <c r="D575" s="1"/>
      <c r="E575" s="1"/>
      <c r="F575" s="1"/>
      <c r="G575" s="1489" t="s">
        <v>3386</v>
      </c>
      <c r="H575" s="4" t="str">
        <f>'Bid 2b'!B2224</f>
        <v>Belanja Pemeliharaan Kendaraan Bermotor</v>
      </c>
      <c r="I575" s="1"/>
      <c r="J575" s="1"/>
      <c r="K575" s="73">
        <f>'Bid 2b'!F2225+'Bid 2b'!F2226+'Bid 2b'!F2227+'Bid 2b'!F2228+'Bid 2b'!F2229+'Bid 2b'!F2231+'Bid 2b'!F2232+'Bid 2b'!F2233</f>
        <v>92500000</v>
      </c>
      <c r="L575" s="4" t="s">
        <v>1220</v>
      </c>
    </row>
    <row r="576" spans="1:13" ht="30" x14ac:dyDescent="0.25">
      <c r="A576" s="1"/>
      <c r="B576" s="1"/>
      <c r="C576" s="1"/>
      <c r="D576" s="1"/>
      <c r="E576" s="1"/>
      <c r="F576" s="1"/>
      <c r="G576" s="1489" t="s">
        <v>3386</v>
      </c>
      <c r="H576" s="4" t="str">
        <f>'Bid 2b'!B2224</f>
        <v>Belanja Pemeliharaan Kendaraan Bermotor</v>
      </c>
      <c r="I576" s="1"/>
      <c r="J576" s="1"/>
      <c r="K576" s="73">
        <f>'Bid 2b'!F2230</f>
        <v>20000000</v>
      </c>
      <c r="L576" s="4" t="s">
        <v>3296</v>
      </c>
    </row>
    <row r="577" spans="1:14" ht="45" x14ac:dyDescent="0.25">
      <c r="A577" s="865">
        <v>2</v>
      </c>
      <c r="B577" s="865">
        <v>4</v>
      </c>
      <c r="C577" s="1490" t="s">
        <v>3392</v>
      </c>
      <c r="D577" s="865"/>
      <c r="E577" s="865"/>
      <c r="F577" s="865"/>
      <c r="G577" s="865"/>
      <c r="H577" s="1061" t="str">
        <f>'Bid 2b'!B2250</f>
        <v>: Kegiatan Pengelolaan Sampah Tingkat Desa (Oprasional TPS3R)</v>
      </c>
      <c r="I577" s="865"/>
      <c r="J577" s="865"/>
      <c r="K577" s="1063">
        <f>SUM(K578:K596)</f>
        <v>268499300</v>
      </c>
      <c r="L577" s="865"/>
      <c r="M577" s="68">
        <f>'Bid 2b'!F2323</f>
        <v>268499300</v>
      </c>
      <c r="N577" s="23">
        <f>M577-K577</f>
        <v>0</v>
      </c>
    </row>
    <row r="578" spans="1:14" x14ac:dyDescent="0.25">
      <c r="A578" s="1"/>
      <c r="B578" s="1"/>
      <c r="C578" s="1"/>
      <c r="D578" s="1"/>
      <c r="E578" s="1"/>
      <c r="F578" s="1"/>
      <c r="G578" s="1"/>
      <c r="H578" s="4" t="str">
        <f>'Bid 2b'!B2254</f>
        <v>Oprasional TPS 3R</v>
      </c>
      <c r="I578" s="1"/>
      <c r="J578" s="1"/>
      <c r="K578" s="73"/>
      <c r="L578" s="1"/>
    </row>
    <row r="579" spans="1:14" x14ac:dyDescent="0.25">
      <c r="A579" s="1"/>
      <c r="B579" s="1"/>
      <c r="C579" s="1"/>
      <c r="D579" s="1">
        <v>5</v>
      </c>
      <c r="E579" s="1">
        <v>2</v>
      </c>
      <c r="F579" s="1"/>
      <c r="G579" s="1"/>
      <c r="H579" s="4" t="str">
        <f>'Bid 2b'!B2255</f>
        <v>Belanja Barang Jasa</v>
      </c>
      <c r="I579" s="1"/>
      <c r="J579" s="1"/>
      <c r="K579" s="73"/>
      <c r="L579" s="1"/>
    </row>
    <row r="580" spans="1:14" ht="30" x14ac:dyDescent="0.25">
      <c r="A580" s="1"/>
      <c r="B580" s="1"/>
      <c r="C580" s="1"/>
      <c r="D580" s="1"/>
      <c r="E580" s="1"/>
      <c r="F580" s="1">
        <v>1</v>
      </c>
      <c r="G580" s="1"/>
      <c r="H580" s="4" t="str">
        <f>'Bid 2b'!B2256</f>
        <v>Belanja Barang Perlengkapan</v>
      </c>
      <c r="I580" s="1"/>
      <c r="J580" s="1"/>
      <c r="K580" s="73"/>
      <c r="L580" s="1"/>
    </row>
    <row r="581" spans="1:14" ht="30" x14ac:dyDescent="0.25">
      <c r="A581" s="1"/>
      <c r="B581" s="1"/>
      <c r="C581" s="1"/>
      <c r="D581" s="1"/>
      <c r="E581" s="1"/>
      <c r="F581" s="1"/>
      <c r="G581" s="1489" t="s">
        <v>3366</v>
      </c>
      <c r="H581" s="4" t="str">
        <f>'Bid 2b'!B2257</f>
        <v>Belanja Perlengkapan Alat Tulis Kantor</v>
      </c>
      <c r="I581" s="1"/>
      <c r="J581" s="1"/>
      <c r="K581" s="73">
        <f>SUM('Bid 2b'!F2258:F2260)</f>
        <v>666000</v>
      </c>
      <c r="L581" s="1" t="s">
        <v>1220</v>
      </c>
    </row>
    <row r="582" spans="1:14" ht="60" x14ac:dyDescent="0.25">
      <c r="A582" s="1"/>
      <c r="B582" s="1"/>
      <c r="C582" s="1"/>
      <c r="D582" s="1"/>
      <c r="E582" s="1"/>
      <c r="F582" s="1"/>
      <c r="G582" s="1489" t="s">
        <v>3389</v>
      </c>
      <c r="H582" s="4" t="str">
        <f>'Bid 2b'!B2261</f>
        <v>Belanja Bahan Bakar Minyak/Gas/Isi Ulang Tabung Pemadam Kebakaran</v>
      </c>
      <c r="I582" s="1"/>
      <c r="J582" s="1"/>
      <c r="K582" s="73">
        <f>'Bid 2b'!F2262</f>
        <v>240000</v>
      </c>
      <c r="L582" s="1" t="s">
        <v>1220</v>
      </c>
    </row>
    <row r="583" spans="1:14" ht="60" x14ac:dyDescent="0.25">
      <c r="A583" s="1"/>
      <c r="B583" s="1"/>
      <c r="C583" s="1"/>
      <c r="D583" s="1"/>
      <c r="E583" s="1"/>
      <c r="F583" s="1"/>
      <c r="G583" s="1489" t="s">
        <v>3388</v>
      </c>
      <c r="H583" s="4" t="str">
        <f>'Bid 2b'!B2263</f>
        <v>Belanja Perlengkapan Alat-alat Rumah Tangga/Peralatan dan Bahan Kebersihan</v>
      </c>
      <c r="I583" s="1"/>
      <c r="J583" s="1"/>
      <c r="K583" s="73">
        <f>SUM('Bid 2b'!F2264:F2273)</f>
        <v>2586000</v>
      </c>
      <c r="L583" s="1" t="s">
        <v>1220</v>
      </c>
    </row>
    <row r="584" spans="1:14" ht="30" x14ac:dyDescent="0.25">
      <c r="A584" s="1"/>
      <c r="B584" s="1"/>
      <c r="C584" s="1"/>
      <c r="D584" s="1"/>
      <c r="E584" s="1"/>
      <c r="F584" s="1"/>
      <c r="G584" s="1489" t="s">
        <v>3388</v>
      </c>
      <c r="H584" s="4" t="str">
        <f>'Bid 2b'!B2274</f>
        <v>Belanja Upakara, Upacara dan Aci aci</v>
      </c>
      <c r="I584" s="1"/>
      <c r="J584" s="1"/>
      <c r="K584" s="73">
        <f>SUM('Bid 2b'!F2275:F2281)</f>
        <v>8792000</v>
      </c>
      <c r="L584" s="1" t="s">
        <v>1220</v>
      </c>
    </row>
    <row r="585" spans="1:14" x14ac:dyDescent="0.25">
      <c r="A585" s="1"/>
      <c r="B585" s="1"/>
      <c r="C585" s="1"/>
      <c r="D585" s="1"/>
      <c r="E585" s="1"/>
      <c r="F585" s="1"/>
      <c r="G585" s="1489" t="s">
        <v>3392</v>
      </c>
      <c r="H585" s="4" t="str">
        <f>'Bid 2b'!B2282</f>
        <v>Belanja Bahan Material</v>
      </c>
      <c r="I585" s="1"/>
      <c r="J585" s="1"/>
      <c r="K585" s="73">
        <f>SUM('Bid 2b'!F2283:F2293)</f>
        <v>13596500</v>
      </c>
      <c r="L585" s="1" t="s">
        <v>1220</v>
      </c>
    </row>
    <row r="586" spans="1:14" x14ac:dyDescent="0.25">
      <c r="A586" s="1"/>
      <c r="B586" s="1"/>
      <c r="C586" s="1"/>
      <c r="D586" s="1"/>
      <c r="E586" s="1"/>
      <c r="F586" s="1"/>
      <c r="G586" s="1489" t="s">
        <v>3392</v>
      </c>
      <c r="H586" s="4" t="str">
        <f>'Bid 2b'!B2294</f>
        <v>Belanja Seragam Atribut</v>
      </c>
      <c r="I586" s="1"/>
      <c r="J586" s="1"/>
      <c r="K586" s="73">
        <f>SUM('Bid 2b'!F2295:F2298)</f>
        <v>5992000</v>
      </c>
      <c r="L586" s="1" t="s">
        <v>1220</v>
      </c>
    </row>
    <row r="587" spans="1:14" ht="30" x14ac:dyDescent="0.25">
      <c r="A587" s="1"/>
      <c r="B587" s="1"/>
      <c r="C587" s="1"/>
      <c r="D587" s="1">
        <v>5</v>
      </c>
      <c r="E587" s="1">
        <v>2</v>
      </c>
      <c r="F587" s="1">
        <v>1</v>
      </c>
      <c r="G587" s="1489" t="s">
        <v>3419</v>
      </c>
      <c r="H587" s="4" t="str">
        <f>'Bid 2b'!B2299</f>
        <v>Belanja Obat -obat Pertanian</v>
      </c>
      <c r="I587" s="1"/>
      <c r="J587" s="1"/>
      <c r="K587" s="73">
        <f>'Bid 2b'!F2300+'Bid 2b'!F2301</f>
        <v>4546800</v>
      </c>
      <c r="L587" s="1" t="s">
        <v>1220</v>
      </c>
    </row>
    <row r="588" spans="1:14" x14ac:dyDescent="0.25">
      <c r="A588" s="1"/>
      <c r="B588" s="1"/>
      <c r="C588" s="1"/>
      <c r="D588" s="1">
        <v>5</v>
      </c>
      <c r="E588" s="1">
        <v>2</v>
      </c>
      <c r="F588" s="1">
        <v>2</v>
      </c>
      <c r="G588" s="1489"/>
      <c r="H588" s="4" t="str">
        <f>'Bid 2b'!B2302</f>
        <v>Belanja Honorarium</v>
      </c>
      <c r="I588" s="1"/>
      <c r="J588" s="1"/>
      <c r="K588" s="73"/>
      <c r="L588" s="1"/>
    </row>
    <row r="589" spans="1:14" x14ac:dyDescent="0.25">
      <c r="A589" s="1"/>
      <c r="B589" s="1"/>
      <c r="C589" s="1"/>
      <c r="D589" s="1"/>
      <c r="E589" s="1"/>
      <c r="F589" s="1"/>
      <c r="G589" s="1489" t="s">
        <v>3390</v>
      </c>
      <c r="H589" s="4" t="str">
        <f>'Bid 2b'!B2302</f>
        <v>Belanja Honorarium</v>
      </c>
      <c r="I589" s="1"/>
      <c r="J589" s="1"/>
      <c r="K589" s="73"/>
      <c r="L589" s="1"/>
    </row>
    <row r="590" spans="1:14" ht="30" x14ac:dyDescent="0.25">
      <c r="A590" s="1"/>
      <c r="B590" s="1"/>
      <c r="C590" s="1"/>
      <c r="D590" s="1"/>
      <c r="E590" s="1"/>
      <c r="F590" s="1"/>
      <c r="G590" s="1"/>
      <c r="H590" s="4" t="str">
        <f>'Bid 2b'!B2303</f>
        <v>Honor Petugas</v>
      </c>
      <c r="I590" s="1"/>
      <c r="J590" s="1"/>
      <c r="K590" s="73">
        <f>'Bid 2b'!F2304+'Bid 2b'!F2306+'Bid 2b'!F2308+'Bid 2b'!F2310</f>
        <v>42900000</v>
      </c>
      <c r="L590" s="4" t="s">
        <v>1777</v>
      </c>
    </row>
    <row r="591" spans="1:14" x14ac:dyDescent="0.25">
      <c r="A591" s="1"/>
      <c r="B591" s="1"/>
      <c r="C591" s="1"/>
      <c r="D591" s="1"/>
      <c r="E591" s="1"/>
      <c r="F591" s="1"/>
      <c r="G591" s="1"/>
      <c r="H591" s="4" t="str">
        <f>'Bid 2b'!B2303</f>
        <v>Honor Petugas</v>
      </c>
      <c r="I591" s="1"/>
      <c r="J591" s="1"/>
      <c r="K591" s="73">
        <f>'Bid 2b'!F2305+'Bid 2b'!F2307+'Bid 2b'!F2309+'Bid 2b'!F2311</f>
        <v>128700000</v>
      </c>
      <c r="L591" s="1" t="s">
        <v>1220</v>
      </c>
    </row>
    <row r="592" spans="1:14" ht="30" x14ac:dyDescent="0.25">
      <c r="A592" s="1"/>
      <c r="B592" s="1"/>
      <c r="C592" s="1"/>
      <c r="D592" s="1">
        <v>5</v>
      </c>
      <c r="E592" s="1">
        <v>2</v>
      </c>
      <c r="F592" s="1">
        <v>5</v>
      </c>
      <c r="G592" s="1"/>
      <c r="H592" s="4" t="str">
        <f>'Bid 2b'!B2312</f>
        <v>Belanja Operasional pekantoran</v>
      </c>
      <c r="I592" s="1"/>
      <c r="J592" s="1"/>
      <c r="K592" s="73"/>
      <c r="L592" s="1"/>
    </row>
    <row r="593" spans="1:13" x14ac:dyDescent="0.25">
      <c r="A593" s="1"/>
      <c r="B593" s="1"/>
      <c r="C593" s="1"/>
      <c r="D593" s="1"/>
      <c r="E593" s="1"/>
      <c r="F593" s="1"/>
      <c r="G593" s="1489" t="s">
        <v>3366</v>
      </c>
      <c r="H593" s="4" t="str">
        <f>'Bid 2b'!B2313</f>
        <v>Belanja Langganan Listrik</v>
      </c>
      <c r="I593" s="1"/>
      <c r="J593" s="1"/>
      <c r="K593" s="73">
        <f>'Bid 2b'!F2314</f>
        <v>30000000</v>
      </c>
      <c r="L593" s="1" t="s">
        <v>1220</v>
      </c>
    </row>
    <row r="594" spans="1:13" ht="30" x14ac:dyDescent="0.25">
      <c r="A594" s="1"/>
      <c r="B594" s="1"/>
      <c r="C594" s="1"/>
      <c r="D594" s="1"/>
      <c r="E594" s="1"/>
      <c r="F594" s="1"/>
      <c r="G594" s="1489" t="s">
        <v>3386</v>
      </c>
      <c r="H594" s="4" t="str">
        <f>'Bid 2b'!B2315</f>
        <v>Belanja Langganan Air Bersih</v>
      </c>
      <c r="I594" s="1"/>
      <c r="J594" s="1"/>
      <c r="K594" s="73">
        <f>'Bid 2b'!F2316</f>
        <v>480000</v>
      </c>
      <c r="L594" s="1" t="s">
        <v>1220</v>
      </c>
    </row>
    <row r="595" spans="1:13" x14ac:dyDescent="0.25">
      <c r="A595" s="1"/>
      <c r="B595" s="1"/>
      <c r="C595" s="1"/>
      <c r="D595" s="1">
        <v>5</v>
      </c>
      <c r="E595" s="1">
        <v>2</v>
      </c>
      <c r="F595" s="1">
        <v>6</v>
      </c>
      <c r="G595" s="1"/>
      <c r="H595" s="4" t="str">
        <f>'Bid 2b'!B2317</f>
        <v>Belanja Pemeliharaan</v>
      </c>
      <c r="I595" s="1"/>
      <c r="J595" s="1"/>
      <c r="K595" s="73"/>
      <c r="L595" s="1"/>
    </row>
    <row r="596" spans="1:13" ht="30" x14ac:dyDescent="0.25">
      <c r="A596" s="1"/>
      <c r="B596" s="1"/>
      <c r="C596" s="1"/>
      <c r="D596" s="1"/>
      <c r="E596" s="1"/>
      <c r="F596" s="1"/>
      <c r="G596" s="1489" t="s">
        <v>3366</v>
      </c>
      <c r="H596" s="4" t="str">
        <f>'Bid 2b'!B2318</f>
        <v>Belanja Pemeliharaan Mesin dan alat berat</v>
      </c>
      <c r="I596" s="1"/>
      <c r="J596" s="1"/>
      <c r="K596" s="73">
        <f>SUM('Bid 2b'!F2319:F2321)</f>
        <v>30000000</v>
      </c>
      <c r="L596" s="1" t="s">
        <v>1220</v>
      </c>
    </row>
    <row r="597" spans="1:13" ht="75" x14ac:dyDescent="0.25">
      <c r="A597" s="865">
        <v>2</v>
      </c>
      <c r="B597" s="865">
        <v>4</v>
      </c>
      <c r="C597" s="1490" t="s">
        <v>3392</v>
      </c>
      <c r="D597" s="865"/>
      <c r="E597" s="865"/>
      <c r="F597" s="865"/>
      <c r="G597" s="865"/>
      <c r="H597" s="1061" t="str">
        <f>'Bid 2b'!B2340</f>
        <v>: Pemeiliharaan Fasilitas Pengelolaan Sampah Desa/ Pemukiman (Operasional Kegiatan Bank Sampah Desa)</v>
      </c>
      <c r="I597" s="865"/>
      <c r="J597" s="865"/>
      <c r="K597" s="1063">
        <f>SUM(K598:K605)</f>
        <v>45256000</v>
      </c>
      <c r="L597" s="865" t="s">
        <v>1220</v>
      </c>
      <c r="M597" s="68">
        <f>'Bid 2b'!F2375</f>
        <v>45256000</v>
      </c>
    </row>
    <row r="598" spans="1:13" x14ac:dyDescent="0.25">
      <c r="A598" s="1"/>
      <c r="B598" s="1"/>
      <c r="C598" s="1"/>
      <c r="D598" s="1">
        <v>5</v>
      </c>
      <c r="E598" s="1">
        <v>2</v>
      </c>
      <c r="F598" s="1"/>
      <c r="G598" s="1"/>
      <c r="H598" s="4" t="str">
        <f>'Bid 2b'!B2345</f>
        <v>Belanja Barang Jasa :</v>
      </c>
      <c r="I598" s="1"/>
      <c r="J598" s="1"/>
      <c r="K598" s="73"/>
      <c r="L598" s="1"/>
    </row>
    <row r="599" spans="1:13" ht="30" x14ac:dyDescent="0.25">
      <c r="A599" s="1"/>
      <c r="B599" s="1"/>
      <c r="C599" s="1"/>
      <c r="D599" s="1"/>
      <c r="E599" s="1"/>
      <c r="F599" s="1">
        <v>1</v>
      </c>
      <c r="G599" s="1"/>
      <c r="H599" s="4" t="str">
        <f>'Bid 2b'!B2346</f>
        <v>Belanja barang perlengkapan</v>
      </c>
      <c r="I599" s="1"/>
      <c r="J599" s="1"/>
      <c r="K599" s="73"/>
      <c r="L599" s="1"/>
    </row>
    <row r="600" spans="1:13" ht="30" x14ac:dyDescent="0.25">
      <c r="A600" s="1"/>
      <c r="B600" s="1"/>
      <c r="C600" s="1"/>
      <c r="D600" s="1"/>
      <c r="E600" s="1"/>
      <c r="F600" s="1"/>
      <c r="G600" s="1489" t="s">
        <v>3390</v>
      </c>
      <c r="H600" s="4" t="str">
        <f>'Bid 2b'!B2347</f>
        <v>Belanja perlengkapan Cetak</v>
      </c>
      <c r="I600" s="1"/>
      <c r="J600" s="1"/>
      <c r="K600" s="73">
        <f>SUM('Bid 2b'!F2348:F2351)</f>
        <v>2892000</v>
      </c>
      <c r="L600" s="1" t="s">
        <v>1220</v>
      </c>
    </row>
    <row r="601" spans="1:13" x14ac:dyDescent="0.25">
      <c r="A601" s="1"/>
      <c r="B601" s="1"/>
      <c r="C601" s="1"/>
      <c r="D601" s="1"/>
      <c r="E601" s="1"/>
      <c r="F601" s="1"/>
      <c r="G601" s="1489" t="s">
        <v>3391</v>
      </c>
      <c r="H601" s="4" t="str">
        <f>'Bid 2b'!B2352</f>
        <v>Belanja Barang Konsumsi</v>
      </c>
      <c r="I601" s="1"/>
      <c r="J601" s="1"/>
      <c r="K601" s="73">
        <f>'Bid 2b'!F2353</f>
        <v>4800000</v>
      </c>
      <c r="L601" s="1" t="s">
        <v>1220</v>
      </c>
    </row>
    <row r="602" spans="1:13" x14ac:dyDescent="0.25">
      <c r="A602" s="1"/>
      <c r="B602" s="1"/>
      <c r="C602" s="1"/>
      <c r="D602" s="1"/>
      <c r="E602" s="1"/>
      <c r="F602" s="1"/>
      <c r="G602" s="1489" t="s">
        <v>3392</v>
      </c>
      <c r="H602" s="1" t="str">
        <f>'Bid 2b'!B2354</f>
        <v>Belanja Bahan Dan Alat</v>
      </c>
      <c r="I602" s="1"/>
      <c r="J602" s="1"/>
      <c r="K602" s="73">
        <f>SUM('Bid 2b'!F2355:F2365)</f>
        <v>6474000</v>
      </c>
      <c r="L602" s="1" t="s">
        <v>1220</v>
      </c>
    </row>
    <row r="603" spans="1:13" x14ac:dyDescent="0.25">
      <c r="A603" s="1"/>
      <c r="B603" s="1"/>
      <c r="C603" s="1"/>
      <c r="D603" s="1"/>
      <c r="E603" s="1"/>
      <c r="F603" s="1"/>
      <c r="G603" s="1489" t="s">
        <v>3394</v>
      </c>
      <c r="H603" s="1" t="str">
        <f>'Bid 2b'!B2366</f>
        <v>Belanja Paikaian Seragam</v>
      </c>
      <c r="I603" s="1"/>
      <c r="J603" s="1"/>
      <c r="K603" s="73">
        <f>SUM('Bid 2b'!F2367:F2371)</f>
        <v>7090000</v>
      </c>
      <c r="L603" s="1" t="s">
        <v>1220</v>
      </c>
    </row>
    <row r="604" spans="1:13" x14ac:dyDescent="0.25">
      <c r="A604" s="1"/>
      <c r="B604" s="1"/>
      <c r="C604" s="1"/>
      <c r="D604" s="1">
        <v>5</v>
      </c>
      <c r="E604" s="1">
        <v>2</v>
      </c>
      <c r="F604" s="1">
        <v>2</v>
      </c>
      <c r="G604" s="1"/>
      <c r="H604" s="1" t="str">
        <f>'Bid 2b'!B2372</f>
        <v>Belanja Honorarium</v>
      </c>
      <c r="I604" s="1"/>
      <c r="J604" s="1"/>
      <c r="K604" s="73"/>
      <c r="L604" s="1"/>
    </row>
    <row r="605" spans="1:13" x14ac:dyDescent="0.25">
      <c r="A605" s="1"/>
      <c r="B605" s="1"/>
      <c r="C605" s="1"/>
      <c r="D605" s="1"/>
      <c r="E605" s="1"/>
      <c r="F605" s="1"/>
      <c r="G605" s="1489" t="s">
        <v>3420</v>
      </c>
      <c r="H605" s="1" t="str">
        <f>'Bid 2b'!B2373</f>
        <v>Belanja Upah</v>
      </c>
      <c r="I605" s="1"/>
      <c r="J605" s="1"/>
      <c r="K605" s="73">
        <f>'Bid 2b'!F2374</f>
        <v>24000000</v>
      </c>
      <c r="L605" s="1" t="s">
        <v>1220</v>
      </c>
    </row>
    <row r="606" spans="1:13" ht="30" x14ac:dyDescent="0.25">
      <c r="A606" s="865">
        <v>2</v>
      </c>
      <c r="B606" s="865">
        <v>4</v>
      </c>
      <c r="C606" s="1490" t="s">
        <v>3392</v>
      </c>
      <c r="D606" s="865"/>
      <c r="E606" s="865"/>
      <c r="F606" s="865"/>
      <c r="G606" s="865"/>
      <c r="H606" s="1061" t="str">
        <f>'Bid 2b'!B2389</f>
        <v>: Operasional Tim Kebersihan Lingkungan</v>
      </c>
      <c r="I606" s="865"/>
      <c r="J606" s="865"/>
      <c r="K606" s="1063">
        <f>SUM(K607:K616)</f>
        <v>111982000</v>
      </c>
      <c r="L606" s="865"/>
      <c r="M606" s="68">
        <f>'Bid 2b'!F2423</f>
        <v>111982000</v>
      </c>
    </row>
    <row r="607" spans="1:13" x14ac:dyDescent="0.25">
      <c r="A607" s="1"/>
      <c r="B607" s="1"/>
      <c r="C607" s="1"/>
      <c r="D607" s="1">
        <v>5</v>
      </c>
      <c r="E607" s="1">
        <v>2</v>
      </c>
      <c r="F607" s="1"/>
      <c r="G607" s="1"/>
      <c r="H607" s="4" t="str">
        <f>'Bid 2b'!B2393</f>
        <v>Belanja Barang dan Jasa :</v>
      </c>
      <c r="I607" s="1"/>
      <c r="J607" s="1"/>
      <c r="K607" s="73"/>
      <c r="L607" s="1"/>
    </row>
    <row r="608" spans="1:13" ht="30" x14ac:dyDescent="0.25">
      <c r="A608" s="1"/>
      <c r="B608" s="1"/>
      <c r="C608" s="1"/>
      <c r="D608" s="1"/>
      <c r="E608" s="1"/>
      <c r="F608" s="1">
        <v>1</v>
      </c>
      <c r="G608" s="1"/>
      <c r="H608" s="4" t="str">
        <f>'Bid 2b'!B2394</f>
        <v>Belanja Barang Perlengkapan</v>
      </c>
      <c r="I608" s="1"/>
      <c r="J608" s="1"/>
      <c r="K608" s="73"/>
      <c r="L608" s="1"/>
    </row>
    <row r="609" spans="1:13" ht="60" x14ac:dyDescent="0.25">
      <c r="A609" s="1"/>
      <c r="B609" s="1"/>
      <c r="C609" s="1"/>
      <c r="D609" s="1"/>
      <c r="E609" s="1"/>
      <c r="F609" s="1"/>
      <c r="G609" s="1489" t="s">
        <v>3389</v>
      </c>
      <c r="H609" s="4" t="str">
        <f>'Bid 2b'!B2395</f>
        <v>Belanja Bahan Bakar Minyak/Gas/Isi Ulang Tabung Pemadam Kebakaran</v>
      </c>
      <c r="I609" s="1"/>
      <c r="J609" s="1"/>
      <c r="K609" s="73">
        <f>'Bid 2b'!F2396</f>
        <v>3600000</v>
      </c>
      <c r="L609" s="1" t="s">
        <v>1220</v>
      </c>
    </row>
    <row r="610" spans="1:13" x14ac:dyDescent="0.25">
      <c r="A610" s="1"/>
      <c r="B610" s="1"/>
      <c r="C610" s="1"/>
      <c r="D610" s="1"/>
      <c r="E610" s="1"/>
      <c r="F610" s="1"/>
      <c r="G610" s="1489" t="s">
        <v>3392</v>
      </c>
      <c r="H610" s="1" t="str">
        <f>'Bid 2b'!B2397</f>
        <v>Belanja Bahan Dan Alat</v>
      </c>
      <c r="I610" s="1"/>
      <c r="J610" s="1"/>
      <c r="K610" s="73">
        <f>SUM('Bid 2b'!F2398:F2401)</f>
        <v>5721000</v>
      </c>
      <c r="L610" s="1" t="s">
        <v>1220</v>
      </c>
    </row>
    <row r="611" spans="1:13" x14ac:dyDescent="0.25">
      <c r="A611" s="1"/>
      <c r="B611" s="1"/>
      <c r="C611" s="1"/>
      <c r="D611" s="1"/>
      <c r="E611" s="1"/>
      <c r="F611" s="1"/>
      <c r="G611" s="1489" t="s">
        <v>3394</v>
      </c>
      <c r="H611" s="1" t="str">
        <f>'Bid 2b'!B2402</f>
        <v>Belanja Atribut Pakaian</v>
      </c>
      <c r="I611" s="1"/>
      <c r="J611" s="1"/>
      <c r="K611" s="73">
        <f>SUM('Bid 2b'!F2403:F2408)</f>
        <v>2781000</v>
      </c>
      <c r="L611" s="1" t="s">
        <v>1220</v>
      </c>
    </row>
    <row r="612" spans="1:13" x14ac:dyDescent="0.25">
      <c r="A612" s="1"/>
      <c r="B612" s="1"/>
      <c r="C612" s="1"/>
      <c r="D612" s="1">
        <v>5</v>
      </c>
      <c r="E612" s="1">
        <v>2</v>
      </c>
      <c r="F612" s="1">
        <v>2</v>
      </c>
      <c r="G612" s="1"/>
      <c r="H612" s="1" t="str">
        <f>'Bid 2b'!B2409</f>
        <v>Belanja Jasa Honor</v>
      </c>
      <c r="I612" s="1"/>
      <c r="J612" s="1"/>
      <c r="K612" s="73"/>
      <c r="L612" s="1"/>
    </row>
    <row r="613" spans="1:13" ht="30" x14ac:dyDescent="0.25">
      <c r="A613" s="1"/>
      <c r="B613" s="1"/>
      <c r="C613" s="1"/>
      <c r="D613" s="1"/>
      <c r="E613" s="1"/>
      <c r="F613" s="1"/>
      <c r="G613" s="1489" t="s">
        <v>3420</v>
      </c>
      <c r="H613" s="1" t="str">
        <f>'Bid 2b'!B2410</f>
        <v>Belanja Upah</v>
      </c>
      <c r="I613" s="1"/>
      <c r="J613" s="1"/>
      <c r="K613" s="73">
        <f>'Bid 2b'!F2411+'Bid 2b'!F2413</f>
        <v>16200000</v>
      </c>
      <c r="L613" s="4" t="s">
        <v>1777</v>
      </c>
    </row>
    <row r="614" spans="1:13" x14ac:dyDescent="0.25">
      <c r="A614" s="1"/>
      <c r="B614" s="1"/>
      <c r="C614" s="1"/>
      <c r="D614" s="1"/>
      <c r="E614" s="1"/>
      <c r="F614" s="1"/>
      <c r="G614" s="1"/>
      <c r="H614" s="1" t="str">
        <f>'Bid 2b'!B2410</f>
        <v>Belanja Upah</v>
      </c>
      <c r="I614" s="1"/>
      <c r="J614" s="1"/>
      <c r="K614" s="73">
        <f>'Bid 2b'!F2412+'Bid 2b'!F2414+'Bid 2b'!F2415</f>
        <v>75800000</v>
      </c>
      <c r="L614" s="1" t="s">
        <v>1220</v>
      </c>
    </row>
    <row r="615" spans="1:13" x14ac:dyDescent="0.25">
      <c r="A615" s="1"/>
      <c r="B615" s="1"/>
      <c r="C615" s="1"/>
      <c r="D615" s="1">
        <v>5</v>
      </c>
      <c r="E615" s="1">
        <v>2</v>
      </c>
      <c r="F615" s="1">
        <v>6</v>
      </c>
      <c r="G615" s="1"/>
      <c r="H615" s="1" t="str">
        <f>'Bid 2b'!B2417</f>
        <v>Belanja Pemeliharaan</v>
      </c>
      <c r="I615" s="1"/>
      <c r="J615" s="1"/>
      <c r="K615" s="73"/>
      <c r="L615" s="1"/>
    </row>
    <row r="616" spans="1:13" ht="30" x14ac:dyDescent="0.25">
      <c r="A616" s="1"/>
      <c r="B616" s="1"/>
      <c r="C616" s="1"/>
      <c r="D616" s="1"/>
      <c r="E616" s="1"/>
      <c r="F616" s="1"/>
      <c r="G616" s="1489" t="s">
        <v>3366</v>
      </c>
      <c r="H616" s="4" t="str">
        <f>'Bid 2b'!B2418</f>
        <v>Belanja Pemeliharaan Peralatan</v>
      </c>
      <c r="I616" s="1"/>
      <c r="J616" s="1"/>
      <c r="K616" s="73">
        <f>SUM('Bid 2b'!F2419:F2421)</f>
        <v>7880000</v>
      </c>
      <c r="L616" s="1" t="s">
        <v>1220</v>
      </c>
    </row>
    <row r="617" spans="1:13" x14ac:dyDescent="0.25">
      <c r="A617" s="865">
        <v>2</v>
      </c>
      <c r="B617" s="865">
        <v>4</v>
      </c>
      <c r="C617" s="1490" t="s">
        <v>3392</v>
      </c>
      <c r="D617" s="865"/>
      <c r="E617" s="865"/>
      <c r="F617" s="865"/>
      <c r="G617" s="865"/>
      <c r="H617" s="865" t="str">
        <f>'Bid 2b'!B2441</f>
        <v>: TIM KEBERSIHAN SUNGAI</v>
      </c>
      <c r="I617" s="865"/>
      <c r="J617" s="865"/>
      <c r="K617" s="1063">
        <f>SUM(K618:K623)</f>
        <v>122284000</v>
      </c>
      <c r="L617" s="865" t="s">
        <v>1506</v>
      </c>
      <c r="M617" s="68">
        <f>'Bid 2b'!F2463</f>
        <v>122284000</v>
      </c>
    </row>
    <row r="618" spans="1:13" x14ac:dyDescent="0.25">
      <c r="A618" s="1"/>
      <c r="B618" s="1"/>
      <c r="C618" s="1"/>
      <c r="D618" s="1">
        <v>5</v>
      </c>
      <c r="E618" s="1">
        <v>2</v>
      </c>
      <c r="F618" s="1"/>
      <c r="G618" s="1"/>
      <c r="H618" s="1" t="str">
        <f>'Bid 2b'!B2446</f>
        <v>Belanja Barang dan Jasa :</v>
      </c>
      <c r="I618" s="1"/>
      <c r="J618" s="1"/>
      <c r="K618" s="73"/>
      <c r="L618" s="1"/>
    </row>
    <row r="619" spans="1:13" x14ac:dyDescent="0.25">
      <c r="A619" s="1"/>
      <c r="B619" s="1"/>
      <c r="C619" s="1"/>
      <c r="D619" s="1"/>
      <c r="E619" s="1"/>
      <c r="F619" s="1">
        <v>1</v>
      </c>
      <c r="G619" s="1"/>
      <c r="H619" s="1" t="str">
        <f>'Bid 2b'!B2447</f>
        <v>Belanja Barang Perlengkapan</v>
      </c>
      <c r="I619" s="1"/>
      <c r="J619" s="1"/>
      <c r="K619" s="73"/>
      <c r="L619" s="1"/>
    </row>
    <row r="620" spans="1:13" x14ac:dyDescent="0.25">
      <c r="A620" s="1"/>
      <c r="B620" s="1"/>
      <c r="C620" s="1"/>
      <c r="D620" s="1"/>
      <c r="E620" s="1"/>
      <c r="F620" s="1"/>
      <c r="G620" s="1489" t="s">
        <v>3392</v>
      </c>
      <c r="H620" s="1" t="str">
        <f>'Bid 2b'!B2448</f>
        <v>Belanja Bahan Dan Alat</v>
      </c>
      <c r="I620" s="1"/>
      <c r="J620" s="1"/>
      <c r="K620" s="73">
        <f>SUM('Bid 2b'!F2449:F2453)</f>
        <v>3634000</v>
      </c>
      <c r="L620" s="1" t="s">
        <v>1506</v>
      </c>
    </row>
    <row r="621" spans="1:13" x14ac:dyDescent="0.25">
      <c r="A621" s="1"/>
      <c r="B621" s="1"/>
      <c r="C621" s="1"/>
      <c r="D621" s="1"/>
      <c r="E621" s="1"/>
      <c r="F621" s="1"/>
      <c r="G621" s="1489" t="s">
        <v>3392</v>
      </c>
      <c r="H621" s="1" t="str">
        <f>'Bid 2b'!B2454</f>
        <v>Belanja Atribut Pakaian</v>
      </c>
      <c r="I621" s="1"/>
      <c r="J621" s="1"/>
      <c r="K621" s="73">
        <f>SUM('Bid 2b'!F2455:F2458)</f>
        <v>6650000</v>
      </c>
      <c r="L621" s="1" t="s">
        <v>1506</v>
      </c>
    </row>
    <row r="622" spans="1:13" x14ac:dyDescent="0.25">
      <c r="A622" s="1"/>
      <c r="B622" s="1"/>
      <c r="C622" s="1"/>
      <c r="D622" s="1">
        <v>5</v>
      </c>
      <c r="E622" s="1">
        <v>2</v>
      </c>
      <c r="F622" s="1">
        <v>2</v>
      </c>
      <c r="G622" s="1"/>
      <c r="H622" s="1" t="str">
        <f>'Bid 2b'!B2459</f>
        <v>Belanja Jasa Honor</v>
      </c>
      <c r="I622" s="1"/>
      <c r="J622" s="1"/>
      <c r="K622" s="73"/>
      <c r="L622" s="1"/>
    </row>
    <row r="623" spans="1:13" x14ac:dyDescent="0.25">
      <c r="A623" s="1"/>
      <c r="B623" s="1"/>
      <c r="C623" s="1"/>
      <c r="D623" s="1"/>
      <c r="E623" s="1"/>
      <c r="F623" s="1"/>
      <c r="G623" s="1489" t="s">
        <v>3420</v>
      </c>
      <c r="H623" s="1" t="str">
        <f>'Bid 2b'!B2460</f>
        <v>Belanja Upah</v>
      </c>
      <c r="I623" s="1"/>
      <c r="J623" s="1"/>
      <c r="K623" s="73">
        <f>'Bid 2b'!F2461</f>
        <v>112000000</v>
      </c>
      <c r="L623" s="1" t="s">
        <v>1506</v>
      </c>
    </row>
    <row r="624" spans="1:13" ht="75" x14ac:dyDescent="0.25">
      <c r="A624" s="865">
        <v>2</v>
      </c>
      <c r="B624" s="865">
        <v>4</v>
      </c>
      <c r="C624" s="1490">
        <v>10</v>
      </c>
      <c r="D624" s="865"/>
      <c r="E624" s="865"/>
      <c r="F624" s="865"/>
      <c r="G624" s="865"/>
      <c r="H624" s="1061" t="str">
        <f>'Bid 2b'!B2477</f>
        <v>: Pembangunan/Rehabilitasi/Peningkatan Sumur Resapan (Teba Moderen dan Tong Komposter)</v>
      </c>
      <c r="I624" s="865"/>
      <c r="J624" s="865"/>
      <c r="K624" s="1063">
        <f>SUM(K625:K628)</f>
        <v>379000000</v>
      </c>
      <c r="L624" s="865" t="s">
        <v>1506</v>
      </c>
      <c r="M624" s="68">
        <f>'Bid 2b'!F2489</f>
        <v>379000000</v>
      </c>
    </row>
    <row r="625" spans="1:13" x14ac:dyDescent="0.25">
      <c r="A625" s="1"/>
      <c r="B625" s="1"/>
      <c r="C625" s="1"/>
      <c r="D625" s="1">
        <v>5</v>
      </c>
      <c r="E625" s="1">
        <v>2</v>
      </c>
      <c r="F625" s="1"/>
      <c r="G625" s="1"/>
      <c r="H625" s="4" t="str">
        <f>'Bid 2b'!B2481</f>
        <v>Belanja Barang Jasa</v>
      </c>
      <c r="I625" s="1"/>
      <c r="J625" s="1"/>
      <c r="K625" s="98"/>
      <c r="L625" s="1"/>
      <c r="M625" s="3"/>
    </row>
    <row r="626" spans="1:13" ht="45" x14ac:dyDescent="0.25">
      <c r="A626" s="1"/>
      <c r="B626" s="1"/>
      <c r="C626" s="1"/>
      <c r="D626" s="1"/>
      <c r="E626" s="1"/>
      <c r="F626" s="1">
        <v>7</v>
      </c>
      <c r="G626" s="1"/>
      <c r="H626" s="4" t="str">
        <f>'Bid 2b'!B2482</f>
        <v>Belanja Barang dan Jasa Yang Diserhakan Kepada Masyarakat</v>
      </c>
      <c r="I626" s="1"/>
      <c r="J626" s="1"/>
      <c r="K626" s="73"/>
      <c r="L626" s="1"/>
    </row>
    <row r="627" spans="1:13" ht="75" x14ac:dyDescent="0.25">
      <c r="A627" s="1"/>
      <c r="B627" s="1"/>
      <c r="C627" s="1"/>
      <c r="D627" s="1"/>
      <c r="E627" s="1"/>
      <c r="F627" s="1"/>
      <c r="G627" s="1489" t="s">
        <v>3366</v>
      </c>
      <c r="H627" s="4" t="str">
        <f>'Bid 2b'!B2483</f>
        <v xml:space="preserve">Belanja Bahan Perlengkapan untuk Diserahkan kepada Masyarakat
</v>
      </c>
      <c r="I627" s="1"/>
      <c r="J627" s="1"/>
      <c r="K627" s="73">
        <f>SUM('Bid 2b'!F2484:F2485)</f>
        <v>254000000</v>
      </c>
      <c r="L627" s="1" t="s">
        <v>1506</v>
      </c>
    </row>
    <row r="628" spans="1:13" ht="60" x14ac:dyDescent="0.25">
      <c r="A628" s="1"/>
      <c r="B628" s="1"/>
      <c r="C628" s="1"/>
      <c r="D628" s="1"/>
      <c r="E628" s="1"/>
      <c r="F628" s="1"/>
      <c r="G628" s="1489" t="s">
        <v>3388</v>
      </c>
      <c r="H628" s="4" t="str">
        <f>'Bid 2b'!B2486</f>
        <v>Belanja Mantuan Bangunan Yang Di Serahkan Kepada Masyarakat</v>
      </c>
      <c r="I628" s="1"/>
      <c r="J628" s="1"/>
      <c r="K628" s="73">
        <f>'Bid 2b'!F2487</f>
        <v>125000000</v>
      </c>
      <c r="L628" s="1" t="s">
        <v>1506</v>
      </c>
    </row>
    <row r="629" spans="1:13" ht="30" x14ac:dyDescent="0.25">
      <c r="A629" s="865">
        <v>5</v>
      </c>
      <c r="B629" s="865">
        <v>2</v>
      </c>
      <c r="C629" s="865"/>
      <c r="D629" s="865"/>
      <c r="E629" s="865"/>
      <c r="F629" s="865"/>
      <c r="G629" s="1490"/>
      <c r="H629" s="1061" t="s">
        <v>3421</v>
      </c>
      <c r="I629" s="865"/>
      <c r="J629" s="865"/>
      <c r="K629" s="1063"/>
      <c r="L629" s="865"/>
    </row>
    <row r="630" spans="1:13" ht="75" x14ac:dyDescent="0.25">
      <c r="A630" s="865">
        <v>5</v>
      </c>
      <c r="B630" s="865">
        <v>2</v>
      </c>
      <c r="C630" s="1490" t="s">
        <v>3388</v>
      </c>
      <c r="D630" s="865"/>
      <c r="E630" s="865"/>
      <c r="F630" s="865"/>
      <c r="G630" s="865"/>
      <c r="H630" s="1061" t="str">
        <f>'Bid 2b'!B2506</f>
        <v>: Sosialisasi tentang Lingkungan Hidup dan Kehutanan (Sosialisasi Pemilihan Sampah Rumah Tangga)</v>
      </c>
      <c r="I630" s="865"/>
      <c r="J630" s="865"/>
      <c r="K630" s="1063">
        <f>SUM(K631:K642)</f>
        <v>50115000</v>
      </c>
      <c r="L630" s="865" t="s">
        <v>1220</v>
      </c>
      <c r="M630" s="68">
        <f>'Bid 2b'!F2538</f>
        <v>50115000</v>
      </c>
    </row>
    <row r="631" spans="1:13" x14ac:dyDescent="0.25">
      <c r="A631" s="1"/>
      <c r="B631" s="1"/>
      <c r="C631" s="1"/>
      <c r="D631" s="1">
        <v>5</v>
      </c>
      <c r="E631" s="1">
        <v>2</v>
      </c>
      <c r="F631" s="1"/>
      <c r="G631" s="1"/>
      <c r="H631" s="4" t="str">
        <f>'Bid 2b'!B2512</f>
        <v>Belanja Barang Dan Jasa</v>
      </c>
      <c r="I631" s="1"/>
      <c r="J631" s="1"/>
      <c r="K631" s="73"/>
      <c r="L631" s="1"/>
    </row>
    <row r="632" spans="1:13" ht="30" x14ac:dyDescent="0.25">
      <c r="A632" s="1"/>
      <c r="B632" s="1"/>
      <c r="C632" s="1"/>
      <c r="D632" s="1"/>
      <c r="E632" s="1"/>
      <c r="F632" s="1">
        <v>1</v>
      </c>
      <c r="G632" s="1"/>
      <c r="H632" s="4" t="str">
        <f>'Bid 2b'!B2513</f>
        <v>Belanja Barang Perlengkapan</v>
      </c>
      <c r="I632" s="1"/>
      <c r="J632" s="1"/>
      <c r="K632" s="73"/>
      <c r="L632" s="1"/>
    </row>
    <row r="633" spans="1:13" ht="30" x14ac:dyDescent="0.25">
      <c r="A633" s="1"/>
      <c r="B633" s="1"/>
      <c r="C633" s="1"/>
      <c r="D633" s="1"/>
      <c r="E633" s="1"/>
      <c r="F633" s="1"/>
      <c r="G633" s="1489" t="s">
        <v>3391</v>
      </c>
      <c r="H633" s="4" t="str">
        <f>'Bid 2b'!B2514</f>
        <v>Belanja Perlengkapan Barang Konsumsi</v>
      </c>
      <c r="I633" s="1"/>
      <c r="J633" s="1"/>
      <c r="K633" s="73">
        <f>SUM('Bid 2b'!F2515)</f>
        <v>26000000</v>
      </c>
      <c r="L633" s="4" t="s">
        <v>1220</v>
      </c>
    </row>
    <row r="634" spans="1:13" x14ac:dyDescent="0.25">
      <c r="A634" s="1"/>
      <c r="B634" s="1"/>
      <c r="C634" s="1"/>
      <c r="D634" s="1"/>
      <c r="E634" s="1"/>
      <c r="F634" s="1"/>
      <c r="G634" s="1489" t="s">
        <v>3393</v>
      </c>
      <c r="H634" s="1" t="str">
        <f>'Bid 2b'!B2516</f>
        <v>Belanja Bendera/ Umbul-umbul/ Spanduk</v>
      </c>
      <c r="I634" s="1"/>
      <c r="J634" s="1"/>
      <c r="K634" s="73">
        <f>'Bid 2b'!F2517</f>
        <v>90000</v>
      </c>
      <c r="L634" s="4" t="s">
        <v>1220</v>
      </c>
    </row>
    <row r="635" spans="1:13" x14ac:dyDescent="0.25">
      <c r="A635" s="1"/>
      <c r="B635" s="1"/>
      <c r="C635" s="1"/>
      <c r="D635" s="1"/>
      <c r="E635" s="1"/>
      <c r="F635" s="1"/>
      <c r="G635" s="1489" t="s">
        <v>3394</v>
      </c>
      <c r="H635" s="1" t="str">
        <f>'Bid 2b'!B2518</f>
        <v>Belanja Upakara, Upacara dan Aci</v>
      </c>
      <c r="I635" s="1"/>
      <c r="J635" s="1"/>
      <c r="K635" s="73">
        <f>SUM('Bid 2b'!F2519:F2521)</f>
        <v>75000</v>
      </c>
      <c r="L635" s="4" t="s">
        <v>1220</v>
      </c>
    </row>
    <row r="636" spans="1:13" x14ac:dyDescent="0.25">
      <c r="A636" s="1"/>
      <c r="B636" s="1"/>
      <c r="C636" s="1"/>
      <c r="D636" s="1">
        <v>5</v>
      </c>
      <c r="E636" s="1">
        <v>2</v>
      </c>
      <c r="F636" s="1">
        <v>2</v>
      </c>
      <c r="G636" s="1"/>
      <c r="H636" s="4" t="str">
        <f>'Bid 2b'!B2522</f>
        <v>Belanja Jasa Honorarium</v>
      </c>
      <c r="I636" s="1"/>
      <c r="J636" s="1"/>
      <c r="K636" s="73"/>
      <c r="L636" s="4"/>
    </row>
    <row r="637" spans="1:13" ht="45" x14ac:dyDescent="0.25">
      <c r="A637" s="1"/>
      <c r="B637" s="1"/>
      <c r="C637" s="1"/>
      <c r="D637" s="1"/>
      <c r="E637" s="1"/>
      <c r="F637" s="1"/>
      <c r="G637" s="1489" t="s">
        <v>3366</v>
      </c>
      <c r="H637" s="4" t="str">
        <f>'Bid 2b'!B2523</f>
        <v>Belanja Jasa Honorarium Tim Yang Melaksanakan Kegiatan</v>
      </c>
      <c r="I637" s="1"/>
      <c r="J637" s="1"/>
      <c r="K637" s="73">
        <f>SUM('Bid 2b'!F2524:F2526)</f>
        <v>1150000</v>
      </c>
      <c r="L637" s="4" t="s">
        <v>1220</v>
      </c>
    </row>
    <row r="638" spans="1:13" ht="45" x14ac:dyDescent="0.25">
      <c r="A638" s="1"/>
      <c r="B638" s="1"/>
      <c r="C638" s="1"/>
      <c r="D638" s="1"/>
      <c r="E638" s="1"/>
      <c r="F638" s="1"/>
      <c r="G638" s="1489" t="s">
        <v>3389</v>
      </c>
      <c r="H638" s="4" t="str">
        <f>'Bid 2b'!B2527</f>
        <v>Belanja Jasa Honorarium Ahli/Profesi/Konsultan/Narasumber</v>
      </c>
      <c r="I638" s="1"/>
      <c r="J638" s="1"/>
      <c r="K638" s="73">
        <f>'Bid 2b'!F2528</f>
        <v>1800000</v>
      </c>
      <c r="L638" s="4" t="s">
        <v>1220</v>
      </c>
    </row>
    <row r="639" spans="1:13" ht="30" x14ac:dyDescent="0.25">
      <c r="A639" s="1"/>
      <c r="B639" s="1"/>
      <c r="C639" s="1"/>
      <c r="D639" s="1"/>
      <c r="E639" s="1"/>
      <c r="F639" s="1"/>
      <c r="G639" s="1489" t="s">
        <v>3390</v>
      </c>
      <c r="H639" s="4" t="str">
        <f>'Bid 2b'!B2529</f>
        <v>Belanja Jasa Honorarium Petugas</v>
      </c>
      <c r="I639" s="1"/>
      <c r="J639" s="1"/>
      <c r="K639" s="73">
        <f>'Bid 2b'!F2530</f>
        <v>300000</v>
      </c>
      <c r="L639" s="4" t="s">
        <v>1220</v>
      </c>
    </row>
    <row r="640" spans="1:13" x14ac:dyDescent="0.25">
      <c r="A640" s="1"/>
      <c r="B640" s="1"/>
      <c r="C640" s="1"/>
      <c r="D640" s="1">
        <v>5</v>
      </c>
      <c r="E640" s="1">
        <v>2</v>
      </c>
      <c r="F640" s="1">
        <v>4</v>
      </c>
      <c r="G640" s="1"/>
      <c r="H640" s="1" t="str">
        <f>'Bid 2b'!B2531</f>
        <v>Belanja Jasa Sewa</v>
      </c>
      <c r="I640" s="1"/>
      <c r="J640" s="1"/>
      <c r="K640" s="73"/>
      <c r="L640" s="4"/>
    </row>
    <row r="641" spans="1:13" x14ac:dyDescent="0.25">
      <c r="A641" s="1"/>
      <c r="B641" s="1"/>
      <c r="C641" s="1"/>
      <c r="D641" s="1"/>
      <c r="E641" s="1"/>
      <c r="F641" s="1"/>
      <c r="G641" s="1489" t="s">
        <v>3366</v>
      </c>
      <c r="H641" s="1" t="str">
        <f>'Bid 2b'!B2532</f>
        <v>Belanja Sewa Gedung</v>
      </c>
      <c r="I641" s="1"/>
      <c r="J641" s="1"/>
      <c r="K641" s="73">
        <f>'Bid 2b'!F2533</f>
        <v>1000000</v>
      </c>
      <c r="L641" s="4" t="s">
        <v>1220</v>
      </c>
    </row>
    <row r="642" spans="1:13" ht="30" x14ac:dyDescent="0.25">
      <c r="A642" s="1"/>
      <c r="B642" s="1"/>
      <c r="C642" s="1"/>
      <c r="D642" s="1"/>
      <c r="E642" s="1"/>
      <c r="F642" s="1"/>
      <c r="G642" s="1489" t="s">
        <v>3386</v>
      </c>
      <c r="H642" s="4" t="str">
        <f>'Bid 2b'!B2534</f>
        <v>Belanaj Jasa Sewa Peralatan</v>
      </c>
      <c r="I642" s="1"/>
      <c r="J642" s="1"/>
      <c r="K642" s="73">
        <f>SUM('Bid 2b'!F2535:F2537)</f>
        <v>19700000</v>
      </c>
      <c r="L642" s="4" t="s">
        <v>1220</v>
      </c>
    </row>
    <row r="643" spans="1:13" ht="45" x14ac:dyDescent="0.25">
      <c r="A643" s="865">
        <v>2</v>
      </c>
      <c r="B643" s="865">
        <v>6</v>
      </c>
      <c r="C643" s="865"/>
      <c r="D643" s="865"/>
      <c r="E643" s="865"/>
      <c r="F643" s="865"/>
      <c r="G643" s="1490"/>
      <c r="H643" s="1061" t="s">
        <v>3422</v>
      </c>
      <c r="I643" s="865"/>
      <c r="J643" s="865"/>
      <c r="K643" s="1063"/>
      <c r="L643" s="1061"/>
    </row>
    <row r="644" spans="1:13" ht="75" x14ac:dyDescent="0.25">
      <c r="A644" s="865">
        <v>2</v>
      </c>
      <c r="B644" s="865">
        <v>6</v>
      </c>
      <c r="C644" s="1490" t="s">
        <v>3386</v>
      </c>
      <c r="D644" s="865"/>
      <c r="E644" s="865"/>
      <c r="F644" s="865"/>
      <c r="G644" s="865"/>
      <c r="H644" s="1061" t="str">
        <f>'Bid 2b'!B2551</f>
        <v>: Penyelenggaraan Informasi Publik Desa ( Pembuatan dan Pemasangan Baliho APBDesa )</v>
      </c>
      <c r="I644" s="865"/>
      <c r="J644" s="865"/>
      <c r="K644" s="1063">
        <f>K647</f>
        <v>4986000</v>
      </c>
      <c r="L644" s="865" t="s">
        <v>1506</v>
      </c>
    </row>
    <row r="645" spans="1:13" x14ac:dyDescent="0.25">
      <c r="A645" s="1"/>
      <c r="B645" s="1"/>
      <c r="C645" s="1"/>
      <c r="D645" s="1">
        <v>5</v>
      </c>
      <c r="E645" s="1">
        <v>2</v>
      </c>
      <c r="F645" s="1"/>
      <c r="G645" s="1"/>
      <c r="H645" s="4" t="str">
        <f>'Bid 2b'!B2557</f>
        <v>Belanja Barang Jasa</v>
      </c>
      <c r="I645" s="1"/>
      <c r="J645" s="1"/>
      <c r="K645" s="73"/>
      <c r="L645" s="1"/>
    </row>
    <row r="646" spans="1:13" ht="30" x14ac:dyDescent="0.25">
      <c r="A646" s="1"/>
      <c r="B646" s="1"/>
      <c r="C646" s="1"/>
      <c r="D646" s="1"/>
      <c r="E646" s="1"/>
      <c r="F646" s="1">
        <v>1</v>
      </c>
      <c r="G646" s="1"/>
      <c r="H646" s="4" t="str">
        <f>'Bid 2b'!B2558</f>
        <v>Belanaj Barang Perlengkapan</v>
      </c>
      <c r="I646" s="1"/>
      <c r="J646" s="1"/>
      <c r="K646" s="73"/>
      <c r="L646" s="1"/>
    </row>
    <row r="647" spans="1:13" ht="45" x14ac:dyDescent="0.25">
      <c r="A647" s="1"/>
      <c r="B647" s="1"/>
      <c r="C647" s="1"/>
      <c r="D647" s="1"/>
      <c r="E647" s="1"/>
      <c r="F647" s="1"/>
      <c r="G647" s="1489" t="s">
        <v>3390</v>
      </c>
      <c r="H647" s="4" t="str">
        <f>'Bid 2b'!B2559</f>
        <v>Belanja perlengkapan cetak/ pengadaan (Baliho APBDes)</v>
      </c>
      <c r="I647" s="1"/>
      <c r="J647" s="1"/>
      <c r="K647" s="73">
        <f>'Bid 2b'!F2561</f>
        <v>4986000</v>
      </c>
      <c r="L647" s="1" t="s">
        <v>1506</v>
      </c>
    </row>
    <row r="648" spans="1:13" x14ac:dyDescent="0.25">
      <c r="A648" s="865">
        <v>2</v>
      </c>
      <c r="B648" s="865">
        <v>8</v>
      </c>
      <c r="C648" s="865"/>
      <c r="D648" s="865"/>
      <c r="E648" s="865"/>
      <c r="F648" s="865"/>
      <c r="G648" s="1490"/>
      <c r="H648" s="1061"/>
      <c r="I648" s="865"/>
      <c r="J648" s="865"/>
      <c r="K648" s="1063"/>
      <c r="L648" s="865"/>
    </row>
    <row r="649" spans="1:13" ht="45" x14ac:dyDescent="0.25">
      <c r="A649" s="865">
        <v>2</v>
      </c>
      <c r="B649" s="865">
        <v>8</v>
      </c>
      <c r="C649" s="1490" t="s">
        <v>3388</v>
      </c>
      <c r="D649" s="865"/>
      <c r="E649" s="865"/>
      <c r="F649" s="865"/>
      <c r="G649" s="865"/>
      <c r="H649" s="1061" t="str">
        <f>'Bid 2b'!B2575</f>
        <v>: Pengembangan Pariwisata Tingkat Desa (Pelatihan POKDARWIS)</v>
      </c>
      <c r="I649" s="865"/>
      <c r="J649" s="865"/>
      <c r="K649" s="1063">
        <f>SUM(K650:K660)</f>
        <v>62892000</v>
      </c>
      <c r="L649" s="865" t="s">
        <v>1220</v>
      </c>
      <c r="M649" s="68">
        <f>'Bid 2b'!F2615</f>
        <v>62892000</v>
      </c>
    </row>
    <row r="650" spans="1:13" x14ac:dyDescent="0.25">
      <c r="A650" s="1"/>
      <c r="B650" s="1"/>
      <c r="C650" s="1"/>
      <c r="D650" s="1">
        <v>5</v>
      </c>
      <c r="E650" s="1">
        <v>2</v>
      </c>
      <c r="F650" s="1"/>
      <c r="G650" s="1"/>
      <c r="H650" s="4" t="str">
        <f>'Bid 2b'!B2581</f>
        <v>Belanja Barang Dan Jasa</v>
      </c>
      <c r="I650" s="1"/>
      <c r="J650" s="1"/>
      <c r="K650" s="73"/>
      <c r="L650" s="1"/>
    </row>
    <row r="651" spans="1:13" ht="30" x14ac:dyDescent="0.25">
      <c r="A651" s="1"/>
      <c r="B651" s="1"/>
      <c r="C651" s="1"/>
      <c r="D651" s="1"/>
      <c r="E651" s="1"/>
      <c r="F651" s="1">
        <v>1</v>
      </c>
      <c r="G651" s="1"/>
      <c r="H651" s="4" t="str">
        <f>'Bid 2b'!B2582</f>
        <v>Belanja Barang Perlengkapan</v>
      </c>
      <c r="I651" s="1"/>
      <c r="J651" s="1"/>
      <c r="K651" s="73"/>
      <c r="L651" s="1"/>
    </row>
    <row r="652" spans="1:13" ht="30" x14ac:dyDescent="0.25">
      <c r="A652" s="1"/>
      <c r="B652" s="1"/>
      <c r="C652" s="1"/>
      <c r="D652" s="1"/>
      <c r="E652" s="1"/>
      <c r="F652" s="1"/>
      <c r="G652" s="1489" t="s">
        <v>3391</v>
      </c>
      <c r="H652" s="4" t="str">
        <f>'Bid 2b'!B2583</f>
        <v>Belanja Perlengkapan Barang Konsumsi</v>
      </c>
      <c r="I652" s="1"/>
      <c r="J652" s="1"/>
      <c r="K652" s="73">
        <f>'Bid 2b'!F2584</f>
        <v>1400000</v>
      </c>
      <c r="L652" s="1" t="s">
        <v>1220</v>
      </c>
    </row>
    <row r="653" spans="1:13" ht="30" x14ac:dyDescent="0.25">
      <c r="A653" s="1"/>
      <c r="B653" s="1"/>
      <c r="C653" s="1"/>
      <c r="D653" s="1"/>
      <c r="E653" s="1"/>
      <c r="F653" s="1"/>
      <c r="G653" s="1489" t="s">
        <v>3366</v>
      </c>
      <c r="H653" s="4" t="str">
        <f>'Bid 2b'!B2586</f>
        <v>Belanja Alat Tulis Kantor dan Benda Pos</v>
      </c>
      <c r="I653" s="1"/>
      <c r="J653" s="1"/>
      <c r="K653" s="73">
        <f>SUM('Bid 2b'!F2587:F2592)</f>
        <v>3887000</v>
      </c>
      <c r="L653" s="1" t="s">
        <v>1220</v>
      </c>
    </row>
    <row r="654" spans="1:13" ht="30" x14ac:dyDescent="0.25">
      <c r="A654" s="1"/>
      <c r="B654" s="1"/>
      <c r="C654" s="1"/>
      <c r="D654" s="1"/>
      <c r="E654" s="1"/>
      <c r="F654" s="1"/>
      <c r="G654" s="1489" t="s">
        <v>3393</v>
      </c>
      <c r="H654" s="4" t="str">
        <f>'Bid 2b'!B2594</f>
        <v>Belanja Bendera/ Umbul-umbul/ Spanduk</v>
      </c>
      <c r="I654" s="1"/>
      <c r="J654" s="1"/>
      <c r="K654" s="73">
        <f>'Bid 2b'!F2595</f>
        <v>900000</v>
      </c>
      <c r="L654" s="1" t="s">
        <v>1220</v>
      </c>
    </row>
    <row r="655" spans="1:13" x14ac:dyDescent="0.25">
      <c r="A655" s="1"/>
      <c r="B655" s="1"/>
      <c r="C655" s="1"/>
      <c r="D655" s="1"/>
      <c r="E655" s="1"/>
      <c r="F655" s="1"/>
      <c r="G655" s="1489" t="s">
        <v>3417</v>
      </c>
      <c r="H655" s="1" t="str">
        <f>'Bid 2b'!B2597</f>
        <v>Belanja Bahan/Material</v>
      </c>
      <c r="I655" s="1"/>
      <c r="J655" s="1"/>
      <c r="K655" s="73">
        <f>SUM('Bid 2b'!F2598:F2600)</f>
        <v>65000</v>
      </c>
      <c r="L655" s="1" t="s">
        <v>1220</v>
      </c>
    </row>
    <row r="656" spans="1:13" x14ac:dyDescent="0.25">
      <c r="A656" s="1"/>
      <c r="B656" s="1"/>
      <c r="C656" s="1"/>
      <c r="D656" s="1">
        <v>5</v>
      </c>
      <c r="E656" s="1">
        <v>2</v>
      </c>
      <c r="F656" s="1">
        <v>2</v>
      </c>
      <c r="G656" s="1"/>
      <c r="H656" s="1" t="str">
        <f>'Bid 2b'!B2602</f>
        <v>Belanja Jasa Honorarium</v>
      </c>
      <c r="I656" s="1"/>
      <c r="J656" s="1"/>
      <c r="K656" s="73"/>
      <c r="L656" s="1"/>
    </row>
    <row r="657" spans="1:14" ht="45" x14ac:dyDescent="0.25">
      <c r="A657" s="1"/>
      <c r="B657" s="1"/>
      <c r="C657" s="1"/>
      <c r="D657" s="1"/>
      <c r="E657" s="1"/>
      <c r="F657" s="1"/>
      <c r="G657" s="1489" t="s">
        <v>3366</v>
      </c>
      <c r="H657" s="4" t="str">
        <f>'Bid 2b'!B2603</f>
        <v>Belanja Jasa Honorarium Tim Yang Melaksanakan Kegiatan</v>
      </c>
      <c r="I657" s="1"/>
      <c r="J657" s="1"/>
      <c r="K657" s="73">
        <f>SUM('Bid 2b'!F2604:F2606)</f>
        <v>1150000</v>
      </c>
      <c r="L657" s="1" t="s">
        <v>1220</v>
      </c>
    </row>
    <row r="658" spans="1:14" ht="30" x14ac:dyDescent="0.25">
      <c r="A658" s="1"/>
      <c r="B658" s="1"/>
      <c r="C658" s="1"/>
      <c r="D658" s="1"/>
      <c r="E658" s="1"/>
      <c r="F658" s="1"/>
      <c r="G658" s="1489" t="s">
        <v>3389</v>
      </c>
      <c r="H658" s="4" t="str">
        <f>'Bid 2b'!B2608</f>
        <v>Honorarium Narasumber/ Instruktur</v>
      </c>
      <c r="I658" s="1"/>
      <c r="J658" s="1"/>
      <c r="K658" s="73">
        <f>'Bid 2b'!F2608</f>
        <v>1800000</v>
      </c>
      <c r="L658" s="1" t="s">
        <v>1220</v>
      </c>
    </row>
    <row r="659" spans="1:14" ht="45" x14ac:dyDescent="0.25">
      <c r="A659" s="1"/>
      <c r="B659" s="1"/>
      <c r="C659" s="1"/>
      <c r="D659" s="1">
        <v>5</v>
      </c>
      <c r="E659" s="1">
        <v>2</v>
      </c>
      <c r="F659" s="1">
        <v>7</v>
      </c>
      <c r="G659" s="1"/>
      <c r="H659" s="4" t="str">
        <f>'Bid 2b'!B2609</f>
        <v>Belanja Barang Perlengkapan diserahkan Kepada Masyarakat</v>
      </c>
      <c r="I659" s="1"/>
      <c r="J659" s="1"/>
      <c r="K659" s="73"/>
      <c r="L659" s="1"/>
    </row>
    <row r="660" spans="1:14" ht="60" x14ac:dyDescent="0.25">
      <c r="A660" s="1"/>
      <c r="B660" s="1"/>
      <c r="C660" s="1"/>
      <c r="D660" s="1"/>
      <c r="E660" s="1"/>
      <c r="F660" s="1"/>
      <c r="G660" s="1489" t="s">
        <v>3366</v>
      </c>
      <c r="H660" s="4" t="str">
        <f>'Bid 2b'!B2610</f>
        <v>Belanja Bahan Perlengkapan Yang Diserahkan Ke Masyarakat</v>
      </c>
      <c r="I660" s="1"/>
      <c r="J660" s="1"/>
      <c r="K660" s="73">
        <f>SUM('Bid 2b'!F2611:F2614)</f>
        <v>53690000</v>
      </c>
      <c r="L660" s="1" t="s">
        <v>1220</v>
      </c>
    </row>
    <row r="661" spans="1:14" ht="28.5" customHeight="1" x14ac:dyDescent="0.25">
      <c r="A661" s="1537">
        <v>3</v>
      </c>
      <c r="B661" s="1537"/>
      <c r="C661" s="1537"/>
      <c r="D661" s="1537"/>
      <c r="E661" s="1537"/>
      <c r="F661" s="1537"/>
      <c r="G661" s="1537"/>
      <c r="H661" s="1538" t="str">
        <f>'Bid 3b'!B5</f>
        <v>: Pembinaan Kemasyarakatan Desa</v>
      </c>
      <c r="I661" s="1537"/>
      <c r="J661" s="1537"/>
      <c r="K661" s="1539">
        <f>K663+K671+K679+K689+K700+K724+K735+K743+K753+K759+K763+K770+K774+K778+K795+K817+K827+K835+K843+K848+K857+K867+K879</f>
        <v>3777466716.8400002</v>
      </c>
      <c r="L661" s="1537"/>
      <c r="M661" s="68">
        <f>' Hitungan 2026'!X10</f>
        <v>3777466716.8399997</v>
      </c>
      <c r="N661" s="23">
        <f>K661-M661</f>
        <v>0</v>
      </c>
    </row>
    <row r="662" spans="1:14" ht="45" x14ac:dyDescent="0.25">
      <c r="A662" s="865">
        <v>3</v>
      </c>
      <c r="B662" s="865">
        <v>1</v>
      </c>
      <c r="C662" s="865"/>
      <c r="D662" s="865"/>
      <c r="E662" s="865"/>
      <c r="F662" s="865"/>
      <c r="G662" s="865"/>
      <c r="H662" s="1061" t="str">
        <f>'Bid 3b'!B6</f>
        <v>: Ketentraman, Ketertiban Umum, dan Perlindungan Masyarakat</v>
      </c>
      <c r="I662" s="865"/>
      <c r="J662" s="865"/>
      <c r="K662" s="1063"/>
      <c r="L662" s="865"/>
    </row>
    <row r="663" spans="1:14" ht="75" x14ac:dyDescent="0.25">
      <c r="A663" s="865">
        <v>3</v>
      </c>
      <c r="B663" s="865">
        <v>1</v>
      </c>
      <c r="C663" s="1490" t="s">
        <v>3388</v>
      </c>
      <c r="D663" s="865"/>
      <c r="E663" s="865"/>
      <c r="F663" s="865"/>
      <c r="G663" s="865"/>
      <c r="H663" s="1061" t="str">
        <f>'Bid 3b'!B7</f>
        <v>:Koordinasi Pembinaan Ketentraman, Ketertiban, dan Perlindungan Masyarakat (Pengamanan Pengerupukan)</v>
      </c>
      <c r="I663" s="865"/>
      <c r="J663" s="865"/>
      <c r="K663" s="1063">
        <f>SUM(K664:K670)</f>
        <v>7825000</v>
      </c>
      <c r="L663" s="1061" t="s">
        <v>1220</v>
      </c>
      <c r="M663" s="68">
        <f>'Bid 3b'!F26</f>
        <v>7825000</v>
      </c>
    </row>
    <row r="664" spans="1:14" x14ac:dyDescent="0.25">
      <c r="A664" s="1"/>
      <c r="B664" s="1"/>
      <c r="C664" s="1"/>
      <c r="D664" s="1">
        <v>5</v>
      </c>
      <c r="E664" s="1">
        <v>2</v>
      </c>
      <c r="F664" s="1"/>
      <c r="G664" s="1"/>
      <c r="H664" s="4" t="str">
        <f>'Bid 3b'!B13</f>
        <v>Belanja Barang dan Jasa</v>
      </c>
      <c r="I664" s="1"/>
      <c r="J664" s="1"/>
      <c r="K664" s="98"/>
      <c r="L664" s="4"/>
      <c r="M664" s="3"/>
    </row>
    <row r="665" spans="1:14" ht="30" x14ac:dyDescent="0.25">
      <c r="A665" s="1"/>
      <c r="B665" s="1"/>
      <c r="C665" s="1"/>
      <c r="D665" s="1"/>
      <c r="E665" s="1"/>
      <c r="F665" s="1">
        <v>1</v>
      </c>
      <c r="G665" s="1"/>
      <c r="H665" s="4" t="str">
        <f>'Bid 3b'!B14</f>
        <v>Belanja Barang Perlengkapan</v>
      </c>
      <c r="I665" s="1"/>
      <c r="J665" s="1"/>
      <c r="K665" s="73"/>
      <c r="L665" s="4"/>
    </row>
    <row r="666" spans="1:14" ht="30" x14ac:dyDescent="0.25">
      <c r="A666" s="1"/>
      <c r="B666" s="1"/>
      <c r="C666" s="1"/>
      <c r="D666" s="1"/>
      <c r="E666" s="1"/>
      <c r="F666" s="1"/>
      <c r="G666" s="1489" t="s">
        <v>3391</v>
      </c>
      <c r="H666" s="4" t="str">
        <f>'Bid 3b'!B15</f>
        <v>Belanja Perlengkapan Barang Konsumsi</v>
      </c>
      <c r="I666" s="1"/>
      <c r="J666" s="1"/>
      <c r="K666" s="73">
        <f>'Bid 3b'!F16+'Bid 3b'!F17</f>
        <v>4460000</v>
      </c>
      <c r="L666" s="4" t="s">
        <v>1220</v>
      </c>
    </row>
    <row r="667" spans="1:14" x14ac:dyDescent="0.25">
      <c r="A667" s="1"/>
      <c r="B667" s="1"/>
      <c r="C667" s="1"/>
      <c r="D667" s="1"/>
      <c r="E667" s="1"/>
      <c r="F667" s="1"/>
      <c r="G667" s="1489" t="s">
        <v>3392</v>
      </c>
      <c r="H667" s="1" t="str">
        <f>'Bid 3b'!B18</f>
        <v>Belanaja Bahan Meterial</v>
      </c>
      <c r="I667" s="1"/>
      <c r="J667" s="1"/>
      <c r="K667" s="73"/>
      <c r="L667" s="4"/>
    </row>
    <row r="668" spans="1:14" ht="30" x14ac:dyDescent="0.25">
      <c r="A668" s="1"/>
      <c r="B668" s="1"/>
      <c r="C668" s="1"/>
      <c r="D668" s="1"/>
      <c r="E668" s="1"/>
      <c r="F668" s="1"/>
      <c r="G668" s="1">
        <v>90</v>
      </c>
      <c r="H668" s="4" t="str">
        <f>'Bid 3b'!B19</f>
        <v>Belanja Upakara, Upacara Dan Aci</v>
      </c>
      <c r="I668" s="1"/>
      <c r="J668" s="1"/>
      <c r="K668" s="73">
        <f>SUM('Bid 3b'!F20:F22)</f>
        <v>65000</v>
      </c>
      <c r="L668" s="4" t="s">
        <v>1220</v>
      </c>
    </row>
    <row r="669" spans="1:14" x14ac:dyDescent="0.25">
      <c r="A669" s="1"/>
      <c r="B669" s="1"/>
      <c r="C669" s="1"/>
      <c r="D669" s="1">
        <v>5</v>
      </c>
      <c r="E669" s="1">
        <v>2</v>
      </c>
      <c r="F669" s="1">
        <v>2</v>
      </c>
      <c r="G669" s="1"/>
      <c r="H669" s="4" t="str">
        <f>'Bid 3b'!B23</f>
        <v>Belanja Jasa Honorarium</v>
      </c>
      <c r="I669" s="1"/>
      <c r="J669" s="1"/>
      <c r="K669" s="73"/>
      <c r="L669" s="4"/>
    </row>
    <row r="670" spans="1:14" ht="30" x14ac:dyDescent="0.25">
      <c r="A670" s="1"/>
      <c r="B670" s="1"/>
      <c r="C670" s="1"/>
      <c r="D670" s="1"/>
      <c r="E670" s="1"/>
      <c r="F670" s="1"/>
      <c r="G670" s="1489" t="s">
        <v>3390</v>
      </c>
      <c r="H670" s="4" t="str">
        <f>'Bid 3b'!B24</f>
        <v>Belanja Jasa Honorarium Petugas (Linmas 33 orang)</v>
      </c>
      <c r="I670" s="1"/>
      <c r="J670" s="1"/>
      <c r="K670" s="73">
        <f>'Bid 3b'!F24</f>
        <v>3300000</v>
      </c>
      <c r="L670" s="4" t="s">
        <v>1220</v>
      </c>
    </row>
    <row r="671" spans="1:14" ht="75" x14ac:dyDescent="0.25">
      <c r="A671" s="865">
        <v>3</v>
      </c>
      <c r="B671" s="865">
        <v>1</v>
      </c>
      <c r="C671" s="1490" t="s">
        <v>3388</v>
      </c>
      <c r="D671" s="865"/>
      <c r="E671" s="865"/>
      <c r="F671" s="865"/>
      <c r="G671" s="865"/>
      <c r="H671" s="1061" t="str">
        <f>'Bid 3b'!B40</f>
        <v>: Koordinasi Pembinaan Ketentraman, Ketertiban, dan Perlindungan Masyarakat (Pengamanan Tahun Baru)</v>
      </c>
      <c r="I671" s="865"/>
      <c r="J671" s="865"/>
      <c r="K671" s="1063">
        <f>SUM(K672:K678)</f>
        <v>9720132.1799999997</v>
      </c>
      <c r="L671" s="1061" t="s">
        <v>2253</v>
      </c>
      <c r="M671" s="68">
        <f>'Bid 3b'!F60</f>
        <v>9720132.1799999997</v>
      </c>
    </row>
    <row r="672" spans="1:14" x14ac:dyDescent="0.25">
      <c r="A672" s="1"/>
      <c r="B672" s="1"/>
      <c r="C672" s="1"/>
      <c r="D672" s="1">
        <v>5</v>
      </c>
      <c r="E672" s="1">
        <v>2</v>
      </c>
      <c r="F672" s="1"/>
      <c r="G672" s="1"/>
      <c r="H672" s="4" t="str">
        <f>'Bid 3b'!B46</f>
        <v>Belanja Barang dan Jasa</v>
      </c>
      <c r="I672" s="1"/>
      <c r="J672" s="1"/>
      <c r="K672" s="98"/>
      <c r="L672" s="1"/>
      <c r="M672" s="3"/>
    </row>
    <row r="673" spans="1:13" ht="30" x14ac:dyDescent="0.25">
      <c r="A673" s="1"/>
      <c r="B673" s="1"/>
      <c r="C673" s="1"/>
      <c r="D673" s="1"/>
      <c r="E673" s="1"/>
      <c r="F673" s="1">
        <v>1</v>
      </c>
      <c r="G673" s="1"/>
      <c r="H673" s="4" t="str">
        <f>'Bid 3b'!B47</f>
        <v>Belanja Barang Perlengkapan</v>
      </c>
      <c r="I673" s="1"/>
      <c r="J673" s="1"/>
      <c r="K673" s="73"/>
      <c r="L673" s="1"/>
    </row>
    <row r="674" spans="1:13" ht="30" x14ac:dyDescent="0.25">
      <c r="A674" s="1"/>
      <c r="B674" s="1"/>
      <c r="C674" s="1"/>
      <c r="D674" s="1"/>
      <c r="E674" s="1"/>
      <c r="F674" s="1"/>
      <c r="G674" s="1489" t="s">
        <v>3391</v>
      </c>
      <c r="H674" s="4" t="str">
        <f>'Bid 3b'!B48</f>
        <v>Belanja Perlengkapan Barang Konsumsi</v>
      </c>
      <c r="I674" s="1"/>
      <c r="J674" s="1"/>
      <c r="K674" s="73">
        <f>SUM('Bid 3b'!F49:F50)</f>
        <v>4500000</v>
      </c>
      <c r="L674" s="4" t="s">
        <v>2253</v>
      </c>
    </row>
    <row r="675" spans="1:13" ht="30" x14ac:dyDescent="0.25">
      <c r="A675" s="1"/>
      <c r="B675" s="1"/>
      <c r="C675" s="1"/>
      <c r="D675" s="1"/>
      <c r="E675" s="1"/>
      <c r="F675" s="1"/>
      <c r="G675" s="1489"/>
      <c r="H675" s="4" t="str">
        <f>'Bid 3b'!B51</f>
        <v>Belanja Alat Material</v>
      </c>
      <c r="I675" s="1"/>
      <c r="J675" s="1"/>
      <c r="K675" s="73">
        <f>'Bid 3b'!F52</f>
        <v>255132.1799999997</v>
      </c>
      <c r="L675" s="4" t="s">
        <v>2253</v>
      </c>
    </row>
    <row r="676" spans="1:13" ht="30" x14ac:dyDescent="0.25">
      <c r="A676" s="1"/>
      <c r="B676" s="1"/>
      <c r="C676" s="1"/>
      <c r="D676" s="1"/>
      <c r="E676" s="1"/>
      <c r="F676" s="1"/>
      <c r="G676" s="1">
        <v>90</v>
      </c>
      <c r="H676" s="4" t="str">
        <f>'Bid 3b'!B53</f>
        <v>Belanja Upakara, Upacara Dan Aci</v>
      </c>
      <c r="I676" s="1"/>
      <c r="J676" s="1"/>
      <c r="K676" s="73">
        <f>SUM('Bid 3b'!F54:F56)</f>
        <v>65000</v>
      </c>
      <c r="L676" s="4" t="s">
        <v>2253</v>
      </c>
    </row>
    <row r="677" spans="1:13" x14ac:dyDescent="0.25">
      <c r="A677" s="1"/>
      <c r="B677" s="1"/>
      <c r="C677" s="1"/>
      <c r="D677" s="1">
        <v>5</v>
      </c>
      <c r="E677" s="1">
        <v>2</v>
      </c>
      <c r="F677" s="1">
        <v>2</v>
      </c>
      <c r="G677" s="1"/>
      <c r="H677" s="4" t="str">
        <f>'Bid 3b'!B57</f>
        <v>Belanja Jasa Honorarium</v>
      </c>
      <c r="I677" s="1"/>
      <c r="J677" s="1"/>
      <c r="K677" s="73"/>
      <c r="L677" s="4"/>
    </row>
    <row r="678" spans="1:13" ht="60" x14ac:dyDescent="0.25">
      <c r="A678" s="1"/>
      <c r="B678" s="1"/>
      <c r="C678" s="1"/>
      <c r="D678" s="1"/>
      <c r="E678" s="1"/>
      <c r="F678" s="1"/>
      <c r="G678" s="1489" t="s">
        <v>3390</v>
      </c>
      <c r="H678" s="4" t="str">
        <f>'Bid 3b'!B58</f>
        <v>Belanja Jasa Honorarium Petugas Linmas 33or, Bendesa 3or, 13kelihan banjar</v>
      </c>
      <c r="I678" s="1"/>
      <c r="J678" s="1"/>
      <c r="K678" s="73">
        <f>'Bid 3b'!F58</f>
        <v>4900000</v>
      </c>
      <c r="L678" s="4" t="s">
        <v>2253</v>
      </c>
    </row>
    <row r="679" spans="1:13" ht="75" x14ac:dyDescent="0.25">
      <c r="A679" s="865">
        <v>3</v>
      </c>
      <c r="B679" s="865">
        <v>1</v>
      </c>
      <c r="C679" s="1490" t="s">
        <v>3388</v>
      </c>
      <c r="D679" s="865"/>
      <c r="E679" s="865"/>
      <c r="F679" s="865"/>
      <c r="G679" s="865"/>
      <c r="H679" s="1061" t="str">
        <f>'Bid 3b'!B74</f>
        <v>:Koordinasi Pembinaan Ketentraman, Ketertiban, dan Perlindungan Masyarakat (Penjagaan Linmas Desa)</v>
      </c>
      <c r="I679" s="865"/>
      <c r="J679" s="865"/>
      <c r="K679" s="1063">
        <f>SUM(K680:K688)</f>
        <v>317636000</v>
      </c>
      <c r="L679" s="865"/>
      <c r="M679" s="68">
        <f>'Bid 3b'!F101</f>
        <v>317636000</v>
      </c>
    </row>
    <row r="680" spans="1:13" x14ac:dyDescent="0.25">
      <c r="A680" s="1"/>
      <c r="B680" s="1"/>
      <c r="C680" s="1"/>
      <c r="D680" s="1">
        <v>5</v>
      </c>
      <c r="E680" s="1">
        <v>2</v>
      </c>
      <c r="F680" s="1"/>
      <c r="G680" s="1"/>
      <c r="H680" s="4" t="str">
        <f>'Bid 3b'!B79</f>
        <v>Belanja Barang Dan Jasa</v>
      </c>
      <c r="I680" s="1"/>
      <c r="J680" s="1"/>
      <c r="K680" s="73"/>
      <c r="L680" s="1"/>
    </row>
    <row r="681" spans="1:13" ht="30" x14ac:dyDescent="0.25">
      <c r="A681" s="1"/>
      <c r="B681" s="1"/>
      <c r="C681" s="1"/>
      <c r="D681" s="1"/>
      <c r="E681" s="1"/>
      <c r="F681" s="1">
        <v>1</v>
      </c>
      <c r="G681" s="1"/>
      <c r="H681" s="4" t="str">
        <f>'Bid 3b'!B80</f>
        <v>Belanja Barang Perlengkapan</v>
      </c>
      <c r="I681" s="1"/>
      <c r="J681" s="1"/>
      <c r="K681" s="73"/>
      <c r="L681" s="1"/>
    </row>
    <row r="682" spans="1:13" ht="30" x14ac:dyDescent="0.25">
      <c r="A682" s="1"/>
      <c r="B682" s="1"/>
      <c r="C682" s="1"/>
      <c r="D682" s="1"/>
      <c r="E682" s="1"/>
      <c r="F682" s="1"/>
      <c r="G682" s="1489" t="s">
        <v>3390</v>
      </c>
      <c r="H682" s="4" t="str">
        <f>'Bid 3b'!B81</f>
        <v>Belanja perlengkapan Cetak</v>
      </c>
      <c r="I682" s="1"/>
      <c r="J682" s="1"/>
      <c r="K682" s="73">
        <f>SUM('Bid 3b'!F82:F83)</f>
        <v>186000</v>
      </c>
      <c r="L682" s="1" t="s">
        <v>1220</v>
      </c>
    </row>
    <row r="683" spans="1:13" ht="60" x14ac:dyDescent="0.25">
      <c r="A683" s="1"/>
      <c r="B683" s="1"/>
      <c r="C683" s="1"/>
      <c r="D683" s="1"/>
      <c r="E683" s="1"/>
      <c r="F683" s="1"/>
      <c r="G683" s="1489" t="s">
        <v>3389</v>
      </c>
      <c r="H683" s="4" t="str">
        <f>'Bid 3b'!B84</f>
        <v>Belanja Bahan Bakar Minyak/ gas/ isi Ulang Tabung Pemadam Kebakaran</v>
      </c>
      <c r="I683" s="1"/>
      <c r="J683" s="1"/>
      <c r="K683" s="73">
        <f>SUM('Bid 3b'!F85:F86)</f>
        <v>15000000</v>
      </c>
      <c r="L683" s="1" t="s">
        <v>1220</v>
      </c>
    </row>
    <row r="684" spans="1:13" x14ac:dyDescent="0.25">
      <c r="A684" s="1"/>
      <c r="B684" s="1"/>
      <c r="C684" s="1"/>
      <c r="D684" s="1">
        <v>5</v>
      </c>
      <c r="E684" s="1">
        <v>2</v>
      </c>
      <c r="F684" s="1">
        <v>2</v>
      </c>
      <c r="G684" s="1"/>
      <c r="H684" s="4" t="str">
        <f>'Bid 3b'!B87</f>
        <v>Belanja Jasa Honorarium</v>
      </c>
      <c r="I684" s="1"/>
      <c r="J684" s="1"/>
      <c r="K684" s="73"/>
      <c r="L684" s="1"/>
    </row>
    <row r="685" spans="1:13" ht="45" x14ac:dyDescent="0.25">
      <c r="A685" s="1"/>
      <c r="B685" s="1"/>
      <c r="C685" s="1"/>
      <c r="D685" s="1"/>
      <c r="E685" s="1"/>
      <c r="F685" s="1"/>
      <c r="G685" s="1489" t="s">
        <v>3366</v>
      </c>
      <c r="H685" s="4" t="str">
        <f>'Bid 3b'!B88</f>
        <v>Belanja Jasa Honorarium Tim yang Melaksanakan Kegiatan</v>
      </c>
      <c r="I685" s="1"/>
      <c r="J685" s="1"/>
      <c r="K685" s="73">
        <f>SUM('Bid 3b'!F89:F90)</f>
        <v>700000</v>
      </c>
      <c r="L685" s="1" t="s">
        <v>1220</v>
      </c>
    </row>
    <row r="686" spans="1:13" ht="30" x14ac:dyDescent="0.25">
      <c r="A686" s="1"/>
      <c r="B686" s="1"/>
      <c r="C686" s="1"/>
      <c r="D686" s="1"/>
      <c r="E686" s="1"/>
      <c r="F686" s="1"/>
      <c r="G686" s="1489" t="s">
        <v>3389</v>
      </c>
      <c r="H686" s="4" t="str">
        <f>'Bid 3b'!B91</f>
        <v>Belanja Jasa Honorarium Petugas</v>
      </c>
      <c r="I686" s="1"/>
      <c r="J686" s="1"/>
      <c r="K686" s="73">
        <f>'Bid 3b'!F92</f>
        <v>255500000</v>
      </c>
      <c r="L686" s="4" t="s">
        <v>1777</v>
      </c>
    </row>
    <row r="687" spans="1:13" x14ac:dyDescent="0.25">
      <c r="A687" s="1"/>
      <c r="B687" s="1"/>
      <c r="C687" s="1"/>
      <c r="D687" s="1">
        <v>5</v>
      </c>
      <c r="E687" s="1">
        <v>2</v>
      </c>
      <c r="F687" s="1">
        <v>6</v>
      </c>
      <c r="G687" s="1"/>
      <c r="H687" s="4" t="str">
        <f>'Bid 3b'!B93</f>
        <v>Belanja Pemeliharaan</v>
      </c>
      <c r="I687" s="1"/>
      <c r="J687" s="1"/>
      <c r="K687" s="73"/>
      <c r="L687" s="1"/>
    </row>
    <row r="688" spans="1:13" ht="30" x14ac:dyDescent="0.25">
      <c r="A688" s="1"/>
      <c r="B688" s="1"/>
      <c r="C688" s="1"/>
      <c r="D688" s="1"/>
      <c r="E688" s="1"/>
      <c r="F688" s="1"/>
      <c r="G688" s="1489" t="s">
        <v>3386</v>
      </c>
      <c r="H688" s="4" t="str">
        <f>'Bid 3b'!B94</f>
        <v>Belanja Pemeliharaan Kendaraan Bermotor</v>
      </c>
      <c r="I688" s="1"/>
      <c r="J688" s="1"/>
      <c r="K688" s="73">
        <f>SUM('Bid 3b'!F95:F99)</f>
        <v>46250000</v>
      </c>
      <c r="L688" s="1" t="s">
        <v>1506</v>
      </c>
    </row>
    <row r="689" spans="1:14" ht="75" x14ac:dyDescent="0.25">
      <c r="A689" s="865">
        <v>3</v>
      </c>
      <c r="B689" s="865">
        <v>1</v>
      </c>
      <c r="C689" s="1490" t="s">
        <v>3389</v>
      </c>
      <c r="D689" s="865"/>
      <c r="E689" s="865"/>
      <c r="F689" s="865"/>
      <c r="G689" s="865"/>
      <c r="H689" s="1061" t="str">
        <f>'Bid 3b'!B115</f>
        <v>: Pelatihan Kesiapsiagaan/Tanggap Bencana Skala Lokal Desa ( Pelatihan Tanggap Darurat Bencana )</v>
      </c>
      <c r="I689" s="865"/>
      <c r="J689" s="865"/>
      <c r="K689" s="1063">
        <f>SUM(K690:K698)</f>
        <v>34770000</v>
      </c>
      <c r="L689" s="865" t="s">
        <v>1506</v>
      </c>
      <c r="M689" s="68">
        <f>'Bid 3b'!F140</f>
        <v>34770000</v>
      </c>
    </row>
    <row r="690" spans="1:14" x14ac:dyDescent="0.25">
      <c r="A690" s="1"/>
      <c r="B690" s="1"/>
      <c r="C690" s="1"/>
      <c r="D690" s="1">
        <v>5</v>
      </c>
      <c r="E690" s="1">
        <v>2</v>
      </c>
      <c r="F690" s="1"/>
      <c r="G690" s="1"/>
      <c r="H690" s="4" t="str">
        <f>'Bid 3b'!B120</f>
        <v>Belanja Barang Dan Jasa</v>
      </c>
      <c r="I690" s="1"/>
      <c r="J690" s="1"/>
      <c r="K690" s="73"/>
      <c r="L690" s="1"/>
    </row>
    <row r="691" spans="1:14" ht="30" x14ac:dyDescent="0.25">
      <c r="A691" s="1"/>
      <c r="B691" s="1"/>
      <c r="C691" s="1"/>
      <c r="D691" s="1"/>
      <c r="E691" s="1"/>
      <c r="F691" s="1">
        <v>1</v>
      </c>
      <c r="G691" s="1"/>
      <c r="H691" s="4" t="str">
        <f>'Bid 3b'!B121</f>
        <v>Belanja Barang Perlengkapan</v>
      </c>
      <c r="I691" s="1"/>
      <c r="J691" s="1"/>
      <c r="K691" s="73"/>
      <c r="L691" s="1"/>
    </row>
    <row r="692" spans="1:14" ht="30" x14ac:dyDescent="0.25">
      <c r="A692" s="1"/>
      <c r="B692" s="1"/>
      <c r="C692" s="1"/>
      <c r="D692" s="1"/>
      <c r="E692" s="1"/>
      <c r="F692" s="1"/>
      <c r="G692" s="1489" t="s">
        <v>3391</v>
      </c>
      <c r="H692" s="4" t="str">
        <f>'Bid 3b'!B122</f>
        <v>Belanja Perlengkapan Barang Konsumsi</v>
      </c>
      <c r="I692" s="1"/>
      <c r="J692" s="1"/>
      <c r="K692" s="73">
        <f>'Bid 3b'!F123</f>
        <v>900000</v>
      </c>
      <c r="L692" s="1" t="s">
        <v>1506</v>
      </c>
    </row>
    <row r="693" spans="1:14" x14ac:dyDescent="0.25">
      <c r="A693" s="1"/>
      <c r="B693" s="1"/>
      <c r="C693" s="1"/>
      <c r="D693" s="1"/>
      <c r="E693" s="1"/>
      <c r="F693" s="1"/>
      <c r="G693" s="1489" t="s">
        <v>3394</v>
      </c>
      <c r="H693" s="4" t="str">
        <f>'Bid 3b'!B124</f>
        <v>Belanja Pakaian Seragam</v>
      </c>
      <c r="I693" s="1"/>
      <c r="J693" s="1"/>
      <c r="K693" s="73">
        <f>SUM('Bid 3b'!F125:F128)</f>
        <v>23450000</v>
      </c>
      <c r="L693" s="1" t="s">
        <v>1506</v>
      </c>
    </row>
    <row r="694" spans="1:14" ht="30" x14ac:dyDescent="0.25">
      <c r="A694" s="1"/>
      <c r="B694" s="1"/>
      <c r="C694" s="1"/>
      <c r="D694" s="1"/>
      <c r="E694" s="1"/>
      <c r="F694" s="1"/>
      <c r="G694" s="1489" t="s">
        <v>3393</v>
      </c>
      <c r="H694" s="4" t="str">
        <f>'Bid 3b'!B129</f>
        <v>Belanja Bendera/ Umbul-umbul/ Spanduk</v>
      </c>
      <c r="I694" s="1"/>
      <c r="J694" s="1"/>
      <c r="K694" s="73">
        <f>'Bid 3b'!F130</f>
        <v>90000</v>
      </c>
      <c r="L694" s="1" t="s">
        <v>1506</v>
      </c>
    </row>
    <row r="695" spans="1:14" x14ac:dyDescent="0.25">
      <c r="A695" s="1"/>
      <c r="B695" s="1"/>
      <c r="C695" s="1"/>
      <c r="D695" s="1"/>
      <c r="E695" s="1"/>
      <c r="F695" s="1"/>
      <c r="G695" s="1489" t="s">
        <v>3394</v>
      </c>
      <c r="H695" s="4" t="str">
        <f>'Bid 3b'!B131</f>
        <v>Belanja Bahan Material</v>
      </c>
      <c r="I695" s="1"/>
      <c r="J695" s="1"/>
      <c r="K695" s="73">
        <f>SUM('Bid 3b'!F132:F133)</f>
        <v>9680000</v>
      </c>
      <c r="L695" s="1" t="s">
        <v>1506</v>
      </c>
    </row>
    <row r="696" spans="1:14" ht="30" x14ac:dyDescent="0.25">
      <c r="A696" s="1"/>
      <c r="B696" s="1"/>
      <c r="C696" s="1"/>
      <c r="D696" s="1"/>
      <c r="E696" s="1"/>
      <c r="F696" s="1"/>
      <c r="G696" s="1489" t="s">
        <v>3417</v>
      </c>
      <c r="H696" s="4" t="str">
        <f>'Bid 3b'!B134</f>
        <v>Belanja Upakara, Upacara Dan Aci</v>
      </c>
      <c r="I696" s="1"/>
      <c r="J696" s="1"/>
      <c r="K696" s="73">
        <f>'Bid 3b'!E135</f>
        <v>50000</v>
      </c>
      <c r="L696" s="1" t="s">
        <v>1506</v>
      </c>
    </row>
    <row r="697" spans="1:14" x14ac:dyDescent="0.25">
      <c r="A697" s="1"/>
      <c r="B697" s="1"/>
      <c r="C697" s="1"/>
      <c r="D697" s="1">
        <v>5</v>
      </c>
      <c r="E697" s="1">
        <v>2</v>
      </c>
      <c r="F697" s="1">
        <v>2</v>
      </c>
      <c r="G697" s="1"/>
      <c r="H697" s="4" t="str">
        <f>'Bid 3b'!B136</f>
        <v>Belanja Jasa Honorarium</v>
      </c>
      <c r="I697" s="1"/>
      <c r="J697" s="1"/>
      <c r="K697" s="73"/>
      <c r="L697" s="1"/>
    </row>
    <row r="698" spans="1:14" ht="45" x14ac:dyDescent="0.25">
      <c r="A698" s="1"/>
      <c r="B698" s="1"/>
      <c r="C698" s="1"/>
      <c r="D698" s="1"/>
      <c r="E698" s="1"/>
      <c r="F698" s="1"/>
      <c r="G698" s="1489" t="s">
        <v>3389</v>
      </c>
      <c r="H698" s="4" t="str">
        <f>'Bid 3b'!B137</f>
        <v>Belanja Jasa Honorarium Ahli/Profesi/Konsultan/Narasumber</v>
      </c>
      <c r="I698" s="1"/>
      <c r="J698" s="1"/>
      <c r="K698" s="73">
        <f>'Bid 3b'!F138</f>
        <v>600000</v>
      </c>
      <c r="L698" s="1" t="s">
        <v>1506</v>
      </c>
    </row>
    <row r="699" spans="1:14" ht="30" x14ac:dyDescent="0.25">
      <c r="A699" s="865">
        <v>3</v>
      </c>
      <c r="B699" s="865">
        <v>2</v>
      </c>
      <c r="C699" s="865"/>
      <c r="D699" s="865"/>
      <c r="E699" s="865"/>
      <c r="F699" s="865"/>
      <c r="G699" s="1490"/>
      <c r="H699" s="1061" t="s">
        <v>3423</v>
      </c>
      <c r="I699" s="865"/>
      <c r="J699" s="865"/>
      <c r="K699" s="1063"/>
      <c r="L699" s="865"/>
    </row>
    <row r="700" spans="1:14" ht="180" x14ac:dyDescent="0.25">
      <c r="A700" s="865">
        <v>3</v>
      </c>
      <c r="B700" s="865">
        <v>2</v>
      </c>
      <c r="C700" s="1490" t="s">
        <v>3388</v>
      </c>
      <c r="D700" s="865"/>
      <c r="E700" s="865"/>
      <c r="F700" s="865"/>
      <c r="G700" s="865"/>
      <c r="H700" s="1061" t="str">
        <f>'Bid 3b'!B154</f>
        <v xml:space="preserve">  : Penyelenggaraan Festival Kesenian, Adat / Kebudayaan, dan Keagamaan (Pembinaan dan Lomba Nyurat Aksara Bali Anak Umur 7 - 12 Tahun, Ngwacen Lontar Anak Remaja Umur 16 - 18 tahun Nyatua Bali Krama Istri Dalam Rangka Penyelenggaraan Bulan Bahasa Bali )</v>
      </c>
      <c r="I700" s="865"/>
      <c r="J700" s="865"/>
      <c r="K700" s="1063">
        <f>SUM(K701:K723)</f>
        <v>42947000</v>
      </c>
      <c r="L700" s="1061" t="s">
        <v>3658</v>
      </c>
      <c r="M700" s="68">
        <f>'Bid 3b'!F220</f>
        <v>42947000</v>
      </c>
      <c r="N700" s="23">
        <f>M700-K700</f>
        <v>0</v>
      </c>
    </row>
    <row r="701" spans="1:14" x14ac:dyDescent="0.25">
      <c r="A701" s="1"/>
      <c r="B701" s="1"/>
      <c r="C701" s="1"/>
      <c r="D701" s="1">
        <v>5</v>
      </c>
      <c r="E701" s="1">
        <v>2</v>
      </c>
      <c r="F701" s="1"/>
      <c r="G701" s="1"/>
      <c r="H701" s="4" t="str">
        <f>'Bid 3b'!B159</f>
        <v>Belanja Barang Jasa</v>
      </c>
      <c r="I701" s="1"/>
      <c r="J701" s="1"/>
      <c r="K701" s="73"/>
      <c r="L701" s="4"/>
    </row>
    <row r="702" spans="1:14" ht="30" x14ac:dyDescent="0.25">
      <c r="A702" s="1"/>
      <c r="B702" s="1"/>
      <c r="C702" s="1"/>
      <c r="D702" s="1"/>
      <c r="E702" s="1"/>
      <c r="F702" s="1">
        <v>1</v>
      </c>
      <c r="G702" s="1"/>
      <c r="H702" s="4" t="str">
        <f>'Bid 3b'!B160</f>
        <v>Belanja Barang Perlengkapan</v>
      </c>
      <c r="I702" s="1"/>
      <c r="J702" s="1"/>
      <c r="K702" s="73"/>
      <c r="L702" s="4"/>
    </row>
    <row r="703" spans="1:14" ht="30" x14ac:dyDescent="0.25">
      <c r="A703" s="1"/>
      <c r="B703" s="1"/>
      <c r="C703" s="1"/>
      <c r="D703" s="1"/>
      <c r="E703" s="1"/>
      <c r="F703" s="1"/>
      <c r="G703" s="1489" t="s">
        <v>3366</v>
      </c>
      <c r="H703" s="4" t="str">
        <f>'Bid 3b'!B161</f>
        <v>Belanja Alat Tulis Kantor dan Benda Pos</v>
      </c>
      <c r="I703" s="1"/>
      <c r="J703" s="1"/>
      <c r="K703" s="73">
        <f>SUM('Bid 3b'!F162:F163)</f>
        <v>165000</v>
      </c>
      <c r="L703" s="4" t="s">
        <v>1777</v>
      </c>
    </row>
    <row r="704" spans="1:14" ht="30" x14ac:dyDescent="0.25">
      <c r="A704" s="1"/>
      <c r="B704" s="1"/>
      <c r="C704" s="1"/>
      <c r="D704" s="1"/>
      <c r="E704" s="1"/>
      <c r="F704" s="1"/>
      <c r="G704" s="1489" t="s">
        <v>3391</v>
      </c>
      <c r="H704" s="4" t="str">
        <f>'Bid 3b'!B164</f>
        <v>Belanja Perlengkapan Barang Konsumsi</v>
      </c>
      <c r="I704" s="1"/>
      <c r="J704" s="1"/>
      <c r="K704" s="73">
        <f>SUM('Bid 3b'!F166:F172)</f>
        <v>8280000</v>
      </c>
      <c r="L704" s="4" t="s">
        <v>1777</v>
      </c>
    </row>
    <row r="705" spans="1:12" ht="30" x14ac:dyDescent="0.25">
      <c r="A705" s="1"/>
      <c r="B705" s="1"/>
      <c r="C705" s="1"/>
      <c r="D705" s="1"/>
      <c r="E705" s="1"/>
      <c r="F705" s="1"/>
      <c r="G705" s="1489" t="s">
        <v>3393</v>
      </c>
      <c r="H705" s="4" t="str">
        <f>'Bid 3b'!B173</f>
        <v>Belanja Bendera/Umbul - umbul/ Spanduk</v>
      </c>
      <c r="I705" s="1"/>
      <c r="J705" s="1"/>
      <c r="K705" s="73">
        <f>SUM('Bid 3b'!F174)</f>
        <v>270000</v>
      </c>
      <c r="L705" s="4" t="s">
        <v>1777</v>
      </c>
    </row>
    <row r="706" spans="1:12" ht="30" x14ac:dyDescent="0.25">
      <c r="A706" s="1"/>
      <c r="B706" s="1"/>
      <c r="C706" s="1"/>
      <c r="D706" s="1"/>
      <c r="E706" s="1"/>
      <c r="F706" s="1"/>
      <c r="G706" s="1489" t="s">
        <v>3417</v>
      </c>
      <c r="H706" s="4" t="str">
        <f>'Bid 3b'!B175</f>
        <v>Belanja Upakara, Upacara Dan Aci</v>
      </c>
      <c r="I706" s="1"/>
      <c r="J706" s="1"/>
      <c r="K706" s="73">
        <f>SUM('Bid 3b'!F176:F179)</f>
        <v>160000</v>
      </c>
      <c r="L706" s="4" t="s">
        <v>1777</v>
      </c>
    </row>
    <row r="707" spans="1:12" x14ac:dyDescent="0.25">
      <c r="A707" s="1"/>
      <c r="B707" s="1"/>
      <c r="C707" s="1"/>
      <c r="D707" s="1">
        <v>5</v>
      </c>
      <c r="E707" s="1">
        <v>2</v>
      </c>
      <c r="F707" s="1">
        <v>2</v>
      </c>
      <c r="G707" s="1"/>
      <c r="H707" s="4" t="str">
        <f>'Bid 3b'!B180</f>
        <v>Belanja Jasa Honorarium</v>
      </c>
      <c r="I707" s="1"/>
      <c r="J707" s="1"/>
      <c r="K707" s="73"/>
      <c r="L707" s="4"/>
    </row>
    <row r="708" spans="1:12" ht="60" x14ac:dyDescent="0.25">
      <c r="A708" s="1"/>
      <c r="B708" s="1"/>
      <c r="C708" s="1"/>
      <c r="D708" s="1"/>
      <c r="E708" s="1"/>
      <c r="F708" s="1"/>
      <c r="G708" s="1489" t="s">
        <v>3389</v>
      </c>
      <c r="H708" s="4" t="str">
        <f>'Bid 3b'!B181</f>
        <v>Belanja Jasa Honorarium Ahli Profesi/Konsultan/Narasumber</v>
      </c>
      <c r="I708" s="1"/>
      <c r="J708" s="1"/>
      <c r="K708" s="73">
        <f>SUM('Bid 3b'!F182:F184)</f>
        <v>12702000</v>
      </c>
      <c r="L708" s="4" t="s">
        <v>1777</v>
      </c>
    </row>
    <row r="709" spans="1:12" x14ac:dyDescent="0.25">
      <c r="A709" s="1"/>
      <c r="B709" s="1"/>
      <c r="C709" s="1"/>
      <c r="D709" s="1">
        <v>5</v>
      </c>
      <c r="E709" s="1">
        <v>2</v>
      </c>
      <c r="F709" s="1">
        <v>4</v>
      </c>
      <c r="G709" s="1"/>
      <c r="H709" s="4" t="str">
        <f>'Bid 3b'!B185</f>
        <v>Belanja Jasa Sewa</v>
      </c>
      <c r="I709" s="1"/>
      <c r="J709" s="1"/>
      <c r="K709" s="73"/>
      <c r="L709" s="4"/>
    </row>
    <row r="710" spans="1:12" ht="30" x14ac:dyDescent="0.25">
      <c r="A710" s="1"/>
      <c r="B710" s="1"/>
      <c r="C710" s="1"/>
      <c r="D710" s="1"/>
      <c r="E710" s="1"/>
      <c r="F710" s="1"/>
      <c r="G710" s="1489" t="s">
        <v>3386</v>
      </c>
      <c r="H710" s="4" t="str">
        <f>'Bid 3b'!B186</f>
        <v>Belanja Jasa Sewa Perlengkapan</v>
      </c>
      <c r="I710" s="1"/>
      <c r="J710" s="1"/>
      <c r="K710" s="73">
        <f>SUM('Bid 3b'!F187)</f>
        <v>1000000</v>
      </c>
      <c r="L710" s="4" t="s">
        <v>1777</v>
      </c>
    </row>
    <row r="711" spans="1:12" ht="45" x14ac:dyDescent="0.25">
      <c r="A711" s="1"/>
      <c r="B711" s="1"/>
      <c r="C711" s="1"/>
      <c r="D711" s="1">
        <v>5</v>
      </c>
      <c r="E711" s="1">
        <v>2</v>
      </c>
      <c r="F711" s="1">
        <v>7</v>
      </c>
      <c r="G711" s="1"/>
      <c r="H711" s="4" t="str">
        <f>'Bid 3b'!B188</f>
        <v>Belanja Barang dan Jasa yang Diserahkan Kepada Masyarakat</v>
      </c>
      <c r="I711" s="1"/>
      <c r="J711" s="1"/>
      <c r="K711" s="73"/>
      <c r="L711" s="4"/>
    </row>
    <row r="712" spans="1:12" ht="30" x14ac:dyDescent="0.25">
      <c r="A712" s="1"/>
      <c r="B712" s="1"/>
      <c r="C712" s="1"/>
      <c r="D712" s="1"/>
      <c r="E712" s="1"/>
      <c r="F712" s="1"/>
      <c r="G712" s="1489" t="s">
        <v>3417</v>
      </c>
      <c r="H712" s="4" t="str">
        <f>'Bid 3b'!B189</f>
        <v>Belanja Jasa Atlit dan Seniman Berprestasi</v>
      </c>
      <c r="I712" s="1"/>
      <c r="J712" s="1"/>
      <c r="K712" s="73">
        <f>SUM('Bid 3b'!F192:F200)</f>
        <v>13620000</v>
      </c>
      <c r="L712" s="4" t="s">
        <v>1777</v>
      </c>
    </row>
    <row r="713" spans="1:12" ht="30" x14ac:dyDescent="0.25">
      <c r="A713" s="1"/>
      <c r="B713" s="1"/>
      <c r="C713" s="1"/>
      <c r="D713" s="1"/>
      <c r="E713" s="1"/>
      <c r="F713" s="1"/>
      <c r="G713" s="1"/>
      <c r="H713" s="4" t="str">
        <f>'Bid 3b'!B201</f>
        <v>Pengiriman Peserta Bulan Bahasa Bali Ke Kota</v>
      </c>
      <c r="I713" s="1"/>
      <c r="J713" s="1"/>
      <c r="K713" s="73"/>
      <c r="L713" s="4"/>
    </row>
    <row r="714" spans="1:12" x14ac:dyDescent="0.25">
      <c r="A714" s="1"/>
      <c r="B714" s="1"/>
      <c r="C714" s="1"/>
      <c r="D714" s="1"/>
      <c r="E714" s="1"/>
      <c r="F714" s="1"/>
      <c r="G714" s="1"/>
      <c r="H714" s="4" t="str">
        <f>'Bid 3b'!B202</f>
        <v>Belanja Barang Jasa</v>
      </c>
      <c r="I714" s="1"/>
      <c r="J714" s="1"/>
      <c r="K714" s="73"/>
      <c r="L714" s="4"/>
    </row>
    <row r="715" spans="1:12" ht="30" x14ac:dyDescent="0.25">
      <c r="A715" s="1"/>
      <c r="B715" s="1"/>
      <c r="C715" s="1"/>
      <c r="D715" s="1">
        <v>5</v>
      </c>
      <c r="E715" s="1">
        <v>2</v>
      </c>
      <c r="F715" s="1">
        <v>1</v>
      </c>
      <c r="G715" s="1"/>
      <c r="H715" s="4" t="str">
        <f>'Bid 3b'!B203</f>
        <v>Belanja Barang Perlengkapan</v>
      </c>
      <c r="I715" s="1"/>
      <c r="J715" s="1"/>
      <c r="K715" s="73"/>
      <c r="L715" s="4"/>
    </row>
    <row r="716" spans="1:12" ht="45" x14ac:dyDescent="0.25">
      <c r="A716" s="1"/>
      <c r="B716" s="1"/>
      <c r="C716" s="1"/>
      <c r="D716" s="1"/>
      <c r="E716" s="1"/>
      <c r="F716" s="1"/>
      <c r="G716" s="1489" t="s">
        <v>3391</v>
      </c>
      <c r="H716" s="4" t="str">
        <f>'Bid 3b'!B204</f>
        <v>Belanja Barang Perlengkapan Barang Konsumsi</v>
      </c>
      <c r="I716" s="1"/>
      <c r="J716" s="1"/>
      <c r="K716" s="73">
        <f>'Bid 3b'!F205</f>
        <v>900000</v>
      </c>
      <c r="L716" s="4" t="s">
        <v>1777</v>
      </c>
    </row>
    <row r="717" spans="1:12" ht="45" x14ac:dyDescent="0.25">
      <c r="A717" s="1"/>
      <c r="B717" s="1"/>
      <c r="C717" s="1"/>
      <c r="D717" s="1"/>
      <c r="E717" s="1"/>
      <c r="F717" s="1"/>
      <c r="G717" s="1489" t="s">
        <v>3391</v>
      </c>
      <c r="H717" s="4" t="str">
        <f>'Bid 3b'!B204</f>
        <v>Belanja Barang Perlengkapan Barang Konsumsi</v>
      </c>
      <c r="I717" s="1"/>
      <c r="J717" s="1"/>
      <c r="K717" s="73">
        <f>'Bid 3b'!F206</f>
        <v>500000</v>
      </c>
      <c r="L717" s="4" t="s">
        <v>1506</v>
      </c>
    </row>
    <row r="718" spans="1:12" ht="30" x14ac:dyDescent="0.25">
      <c r="A718" s="1"/>
      <c r="B718" s="1"/>
      <c r="C718" s="1"/>
      <c r="D718" s="1"/>
      <c r="E718" s="1"/>
      <c r="F718" s="1"/>
      <c r="G718" s="1489" t="s">
        <v>3392</v>
      </c>
      <c r="H718" s="4" t="str">
        <f>'Bid 3b'!B207</f>
        <v>Belanja Bahan Material</v>
      </c>
      <c r="I718" s="1"/>
      <c r="J718" s="1"/>
      <c r="K718" s="73">
        <f>SUM('Bid 3b'!F208+'Bid 3b'!F209)</f>
        <v>2700000</v>
      </c>
      <c r="L718" s="4" t="s">
        <v>1777</v>
      </c>
    </row>
    <row r="719" spans="1:12" x14ac:dyDescent="0.25">
      <c r="A719" s="1"/>
      <c r="B719" s="1"/>
      <c r="C719" s="1"/>
      <c r="D719" s="1">
        <v>5</v>
      </c>
      <c r="E719" s="1">
        <v>2</v>
      </c>
      <c r="F719" s="1">
        <v>2</v>
      </c>
      <c r="G719" s="1"/>
      <c r="H719" s="4" t="str">
        <f>'Bid 3b'!B210</f>
        <v>Belanja Jasa Honorarium</v>
      </c>
      <c r="I719" s="1"/>
      <c r="J719" s="1"/>
      <c r="K719" s="73"/>
      <c r="L719" s="4"/>
    </row>
    <row r="720" spans="1:12" ht="30" x14ac:dyDescent="0.25">
      <c r="A720" s="1"/>
      <c r="B720" s="1"/>
      <c r="C720" s="1"/>
      <c r="D720" s="1"/>
      <c r="E720" s="1"/>
      <c r="F720" s="1"/>
      <c r="G720" s="1489" t="s">
        <v>3366</v>
      </c>
      <c r="H720" s="4" t="str">
        <f>'Bid 3b'!B211</f>
        <v>Honor Tim Pelaksana Kegiatan</v>
      </c>
      <c r="I720" s="1"/>
      <c r="J720" s="1"/>
      <c r="K720" s="73">
        <f>SUM('Bid 3b'!F212:F214)</f>
        <v>1150000</v>
      </c>
      <c r="L720" s="4" t="s">
        <v>1777</v>
      </c>
    </row>
    <row r="721" spans="1:13" ht="60" x14ac:dyDescent="0.25">
      <c r="A721" s="1"/>
      <c r="B721" s="1"/>
      <c r="C721" s="1"/>
      <c r="D721" s="1"/>
      <c r="E721" s="1"/>
      <c r="F721" s="1"/>
      <c r="G721" s="1489" t="s">
        <v>3389</v>
      </c>
      <c r="H721" s="4" t="str">
        <f>'Bid 3b'!B215</f>
        <v>Belanja Jasa Honorarium Ahli/ Profesi/Konsultan/Narasumber</v>
      </c>
      <c r="I721" s="1"/>
      <c r="J721" s="1"/>
      <c r="K721" s="73">
        <f>'Bid 3b'!F216</f>
        <v>1350000</v>
      </c>
      <c r="L721" s="4" t="s">
        <v>1506</v>
      </c>
    </row>
    <row r="722" spans="1:13" ht="45" x14ac:dyDescent="0.25">
      <c r="A722" s="1"/>
      <c r="B722" s="1"/>
      <c r="C722" s="1"/>
      <c r="D722" s="1">
        <v>5</v>
      </c>
      <c r="E722" s="1">
        <v>2</v>
      </c>
      <c r="F722" s="1">
        <v>7</v>
      </c>
      <c r="G722" s="1"/>
      <c r="H722" s="4" t="str">
        <f>'Bid 3b'!B217</f>
        <v>Belanja Barang dan Jasa yang Diserahkan Kepada Masyarakat</v>
      </c>
      <c r="I722" s="1"/>
      <c r="J722" s="1"/>
      <c r="K722" s="73"/>
      <c r="L722" s="4"/>
    </row>
    <row r="723" spans="1:13" ht="30" x14ac:dyDescent="0.25">
      <c r="A723" s="1"/>
      <c r="B723" s="1"/>
      <c r="C723" s="1"/>
      <c r="D723" s="1"/>
      <c r="E723" s="1"/>
      <c r="F723" s="1"/>
      <c r="G723" s="1">
        <v>91</v>
      </c>
      <c r="H723" s="4" t="str">
        <f>'Bid 3b'!B218</f>
        <v>Belanja Uang Saku Peserta</v>
      </c>
      <c r="I723" s="1"/>
      <c r="J723" s="1"/>
      <c r="K723" s="73">
        <f>'Bid 3b'!F218</f>
        <v>150000</v>
      </c>
      <c r="L723" s="4" t="s">
        <v>1777</v>
      </c>
    </row>
    <row r="724" spans="1:13" ht="69.75" customHeight="1" x14ac:dyDescent="0.25">
      <c r="A724" s="865">
        <v>3</v>
      </c>
      <c r="B724" s="865">
        <v>2</v>
      </c>
      <c r="C724" s="1490" t="s">
        <v>3366</v>
      </c>
      <c r="D724" s="865"/>
      <c r="E724" s="865"/>
      <c r="F724" s="865"/>
      <c r="G724" s="865"/>
      <c r="H724" s="1061" t="str">
        <f>'Bid 3b'!B361</f>
        <v>Pembinaan Grup Kesenian dan Kebudayaan Tingkat Desa (Grup Sekaa Pesantian)</v>
      </c>
      <c r="I724" s="865"/>
      <c r="J724" s="865"/>
      <c r="K724" s="1063">
        <f>SUM(K725:K734)</f>
        <v>246660000</v>
      </c>
      <c r="L724" s="1061" t="s">
        <v>1775</v>
      </c>
    </row>
    <row r="725" spans="1:13" x14ac:dyDescent="0.25">
      <c r="A725" s="1"/>
      <c r="B725" s="1"/>
      <c r="C725" s="1"/>
      <c r="D725" s="1">
        <v>5</v>
      </c>
      <c r="E725" s="1">
        <v>2</v>
      </c>
      <c r="F725" s="1"/>
      <c r="G725" s="1"/>
      <c r="H725" s="4" t="str">
        <f>'Bid 3b'!B366</f>
        <v>Belanja Barang Jasa</v>
      </c>
      <c r="I725" s="1"/>
      <c r="J725" s="1"/>
      <c r="K725" s="73"/>
      <c r="L725" s="4"/>
    </row>
    <row r="726" spans="1:13" ht="30" x14ac:dyDescent="0.25">
      <c r="A726" s="1"/>
      <c r="B726" s="1"/>
      <c r="C726" s="1"/>
      <c r="D726" s="1"/>
      <c r="E726" s="1"/>
      <c r="F726" s="1">
        <v>1</v>
      </c>
      <c r="G726" s="1"/>
      <c r="H726" s="4" t="str">
        <f>'Bid 3b'!B367</f>
        <v>Belanja Barang Perlengkapan</v>
      </c>
      <c r="I726" s="1"/>
      <c r="J726" s="1"/>
      <c r="K726" s="73"/>
      <c r="L726" s="4"/>
    </row>
    <row r="727" spans="1:13" ht="30" x14ac:dyDescent="0.25">
      <c r="A727" s="1"/>
      <c r="B727" s="1"/>
      <c r="C727" s="1"/>
      <c r="D727" s="1"/>
      <c r="E727" s="1"/>
      <c r="F727" s="1"/>
      <c r="G727" s="1489" t="s">
        <v>3366</v>
      </c>
      <c r="H727" s="4" t="str">
        <f>'Bid 3b'!B368</f>
        <v>Belanja Alat Tulis Kantor dan Benda Pos</v>
      </c>
      <c r="I727" s="1"/>
      <c r="J727" s="1"/>
      <c r="K727" s="73">
        <f>SUM('Bid 3b'!F369:F370)</f>
        <v>420000</v>
      </c>
      <c r="L727" s="4" t="s">
        <v>1775</v>
      </c>
    </row>
    <row r="728" spans="1:13" ht="28.5" customHeight="1" x14ac:dyDescent="0.25">
      <c r="A728" s="1"/>
      <c r="B728" s="1"/>
      <c r="C728" s="1"/>
      <c r="D728" s="1"/>
      <c r="E728" s="1"/>
      <c r="F728" s="1"/>
      <c r="G728" s="1489" t="s">
        <v>3391</v>
      </c>
      <c r="H728" s="4" t="str">
        <f>'Bid 3b'!B371</f>
        <v>Belanja Perlengkapan Barang Konsumsi</v>
      </c>
      <c r="I728" s="1"/>
      <c r="J728" s="1"/>
      <c r="K728" s="73">
        <f>'Bid 3b'!F373</f>
        <v>77760000</v>
      </c>
      <c r="L728" s="4" t="s">
        <v>1775</v>
      </c>
    </row>
    <row r="729" spans="1:13" ht="28.5" customHeight="1" x14ac:dyDescent="0.25">
      <c r="A729" s="1"/>
      <c r="B729" s="1"/>
      <c r="C729" s="1"/>
      <c r="D729" s="1"/>
      <c r="E729" s="1"/>
      <c r="F729" s="1"/>
      <c r="G729" s="1489" t="s">
        <v>3393</v>
      </c>
      <c r="H729" s="4" t="str">
        <f>'Bid 3b'!B374</f>
        <v>Belanja Bendera/Umbul - umbul/ Spanduk</v>
      </c>
      <c r="I729" s="1"/>
      <c r="J729" s="1"/>
      <c r="K729" s="73">
        <f>'Bid 3b'!F375</f>
        <v>1080000</v>
      </c>
      <c r="L729" s="4" t="s">
        <v>1775</v>
      </c>
    </row>
    <row r="730" spans="1:13" ht="30" x14ac:dyDescent="0.25">
      <c r="A730" s="1"/>
      <c r="B730" s="1"/>
      <c r="C730" s="1"/>
      <c r="D730" s="1"/>
      <c r="E730" s="1"/>
      <c r="F730" s="1"/>
      <c r="G730" s="1489" t="s">
        <v>3394</v>
      </c>
      <c r="H730" s="4" t="str">
        <f>'Bid 3b'!B376</f>
        <v>Belanja Seragam/Atribut</v>
      </c>
      <c r="I730" s="1"/>
      <c r="J730" s="1"/>
      <c r="K730" s="73">
        <f>'Bid 3b'!F377</f>
        <v>45000000</v>
      </c>
      <c r="L730" s="4" t="s">
        <v>1775</v>
      </c>
    </row>
    <row r="731" spans="1:13" x14ac:dyDescent="0.25">
      <c r="A731" s="1"/>
      <c r="B731" s="1"/>
      <c r="C731" s="1"/>
      <c r="D731" s="1">
        <v>5</v>
      </c>
      <c r="E731" s="1">
        <v>2</v>
      </c>
      <c r="F731" s="1">
        <v>2</v>
      </c>
      <c r="G731" s="1"/>
      <c r="H731" s="4" t="str">
        <f>'Bid 3b'!B378</f>
        <v>Belanja Jasa Honorarium</v>
      </c>
      <c r="I731" s="1"/>
      <c r="J731" s="1"/>
      <c r="K731" s="73"/>
      <c r="L731" s="4"/>
    </row>
    <row r="732" spans="1:13" ht="60" x14ac:dyDescent="0.25">
      <c r="A732" s="1"/>
      <c r="B732" s="1"/>
      <c r="C732" s="1"/>
      <c r="D732" s="1"/>
      <c r="E732" s="1"/>
      <c r="F732" s="1"/>
      <c r="G732" s="1489" t="s">
        <v>3389</v>
      </c>
      <c r="H732" s="4" t="str">
        <f>'Bid 3b'!B379</f>
        <v>Belanja Jasa Honorarium Ahli Profesi/Konsultan/Narasumber</v>
      </c>
      <c r="I732" s="1"/>
      <c r="J732" s="1"/>
      <c r="K732" s="73">
        <f>SUM('Bid 3b'!F380)</f>
        <v>86400000</v>
      </c>
      <c r="L732" s="4" t="s">
        <v>1775</v>
      </c>
    </row>
    <row r="733" spans="1:13" ht="45" x14ac:dyDescent="0.25">
      <c r="A733" s="1"/>
      <c r="B733" s="1"/>
      <c r="C733" s="1"/>
      <c r="D733" s="1">
        <v>5</v>
      </c>
      <c r="E733" s="1">
        <v>2</v>
      </c>
      <c r="F733" s="1">
        <v>7</v>
      </c>
      <c r="G733" s="1"/>
      <c r="H733" s="4" t="str">
        <f>'Bid 3b'!B381</f>
        <v>Belanja Barang dan Jasa yang Diserahkan Kepada Masyarakat</v>
      </c>
      <c r="I733" s="1"/>
      <c r="J733" s="1"/>
      <c r="K733" s="73"/>
      <c r="L733" s="4"/>
    </row>
    <row r="734" spans="1:13" ht="60" x14ac:dyDescent="0.25">
      <c r="A734" s="1"/>
      <c r="B734" s="1"/>
      <c r="C734" s="1"/>
      <c r="D734" s="1"/>
      <c r="E734" s="1"/>
      <c r="F734" s="1"/>
      <c r="G734" s="1489" t="s">
        <v>3366</v>
      </c>
      <c r="H734" s="4" t="str">
        <f>'Bid 3b'!B382</f>
        <v>Belanja Bahan Perlengkapan Yang Diserahkan Kepada Masayarakat</v>
      </c>
      <c r="I734" s="1"/>
      <c r="J734" s="1"/>
      <c r="K734" s="73">
        <f>'Bid 3b'!F383+'Bid 3b'!F384</f>
        <v>36000000</v>
      </c>
      <c r="L734" s="4" t="s">
        <v>1775</v>
      </c>
    </row>
    <row r="735" spans="1:13" ht="75" x14ac:dyDescent="0.25">
      <c r="A735" s="865">
        <v>3</v>
      </c>
      <c r="B735" s="865">
        <v>2</v>
      </c>
      <c r="C735" s="1490" t="s">
        <v>3366</v>
      </c>
      <c r="D735" s="865"/>
      <c r="E735" s="865"/>
      <c r="F735" s="865"/>
      <c r="G735" s="865"/>
      <c r="H735" s="1061" t="str">
        <f>'Bid 3b'!B398</f>
        <v>Pembinaan Grup Kesenian dan Kebudayaan Tingkat Desa (Grup Kesenian Tari Baris Gede)</v>
      </c>
      <c r="I735" s="865"/>
      <c r="J735" s="865"/>
      <c r="K735" s="1063">
        <f>SUM(K736:K742)</f>
        <v>46600000</v>
      </c>
      <c r="L735" s="1061" t="s">
        <v>1775</v>
      </c>
      <c r="M735" s="68">
        <f>'Bid 3b'!F416</f>
        <v>46600000</v>
      </c>
    </row>
    <row r="736" spans="1:13" x14ac:dyDescent="0.25">
      <c r="A736" s="1"/>
      <c r="B736" s="1"/>
      <c r="C736" s="1"/>
      <c r="D736" s="1">
        <v>5</v>
      </c>
      <c r="E736" s="1">
        <v>2</v>
      </c>
      <c r="F736" s="1"/>
      <c r="G736" s="1"/>
      <c r="H736" s="4" t="str">
        <f>'Bid 3b'!B403</f>
        <v>Belanja Barang Jasa</v>
      </c>
      <c r="I736" s="1"/>
      <c r="J736" s="1"/>
      <c r="K736" s="73"/>
      <c r="L736" s="4"/>
    </row>
    <row r="737" spans="1:13" ht="30" x14ac:dyDescent="0.25">
      <c r="A737" s="1"/>
      <c r="B737" s="1"/>
      <c r="C737" s="1"/>
      <c r="D737" s="1"/>
      <c r="E737" s="1"/>
      <c r="F737" s="1">
        <v>1</v>
      </c>
      <c r="G737" s="1"/>
      <c r="H737" s="4" t="str">
        <f>'Bid 3b'!B404</f>
        <v>Belanja Barang Perlengkapan</v>
      </c>
      <c r="I737" s="1"/>
      <c r="J737" s="1"/>
      <c r="K737" s="73"/>
      <c r="L737" s="4"/>
    </row>
    <row r="738" spans="1:13" ht="30" x14ac:dyDescent="0.25">
      <c r="A738" s="1"/>
      <c r="B738" s="1"/>
      <c r="C738" s="1"/>
      <c r="D738" s="1"/>
      <c r="E738" s="1"/>
      <c r="F738" s="1"/>
      <c r="G738" s="1489" t="s">
        <v>3366</v>
      </c>
      <c r="H738" s="4" t="str">
        <f>'Bid 3b'!B405</f>
        <v>Belanja Alat Tulis Kantor dan Benda Pos</v>
      </c>
      <c r="I738" s="1"/>
      <c r="J738" s="1"/>
      <c r="K738" s="73">
        <f>SUM('Bid 3b'!F406:F407)</f>
        <v>420000</v>
      </c>
      <c r="L738" s="4" t="s">
        <v>1775</v>
      </c>
    </row>
    <row r="739" spans="1:13" ht="30" x14ac:dyDescent="0.25">
      <c r="A739" s="1"/>
      <c r="B739" s="1"/>
      <c r="C739" s="1"/>
      <c r="D739" s="1"/>
      <c r="E739" s="1"/>
      <c r="F739" s="1"/>
      <c r="G739" s="1489" t="s">
        <v>3391</v>
      </c>
      <c r="H739" s="4" t="str">
        <f>'Bid 3b'!B408</f>
        <v>Belanja Perlengkapan Barang Konsumsi</v>
      </c>
      <c r="I739" s="1"/>
      <c r="J739" s="1"/>
      <c r="K739" s="73">
        <f>SUM('Bid 3b'!F410)</f>
        <v>31000000</v>
      </c>
      <c r="L739" s="4" t="s">
        <v>1775</v>
      </c>
    </row>
    <row r="740" spans="1:13" ht="30" x14ac:dyDescent="0.25">
      <c r="A740" s="1"/>
      <c r="B740" s="1"/>
      <c r="C740" s="1"/>
      <c r="D740" s="1"/>
      <c r="E740" s="1"/>
      <c r="F740" s="1"/>
      <c r="G740" s="1489" t="s">
        <v>3393</v>
      </c>
      <c r="H740" s="4" t="str">
        <f>'Bid 3b'!B411</f>
        <v>Belanja Bendera/Umbul - umbul/ Spanduk</v>
      </c>
      <c r="I740" s="1"/>
      <c r="J740" s="1"/>
      <c r="K740" s="73">
        <f>'Bid 3b'!F412</f>
        <v>180000</v>
      </c>
      <c r="L740" s="4" t="s">
        <v>1775</v>
      </c>
    </row>
    <row r="741" spans="1:13" x14ac:dyDescent="0.25">
      <c r="A741" s="1"/>
      <c r="B741" s="1"/>
      <c r="C741" s="1"/>
      <c r="D741" s="1">
        <v>5</v>
      </c>
      <c r="E741" s="1">
        <v>2</v>
      </c>
      <c r="F741" s="1">
        <v>2</v>
      </c>
      <c r="G741" s="1"/>
      <c r="H741" s="4" t="str">
        <f>'Bid 3b'!B413</f>
        <v>Belanja Jasa Honorarium</v>
      </c>
      <c r="I741" s="1"/>
      <c r="J741" s="1"/>
      <c r="K741" s="73"/>
      <c r="L741" s="4"/>
    </row>
    <row r="742" spans="1:13" ht="60" x14ac:dyDescent="0.25">
      <c r="A742" s="1"/>
      <c r="B742" s="1"/>
      <c r="C742" s="1"/>
      <c r="D742" s="1"/>
      <c r="E742" s="1"/>
      <c r="F742" s="1"/>
      <c r="G742" s="1489" t="s">
        <v>3389</v>
      </c>
      <c r="H742" s="4" t="str">
        <f>'Bid 3b'!B414</f>
        <v>Belanja Jasa Honorarium Ahli Profesi/Konsultan/Narasumber</v>
      </c>
      <c r="I742" s="1"/>
      <c r="J742" s="1"/>
      <c r="K742" s="73">
        <f>'Bid 3b'!F415</f>
        <v>15000000</v>
      </c>
      <c r="L742" s="4" t="s">
        <v>1775</v>
      </c>
    </row>
    <row r="743" spans="1:13" ht="75" x14ac:dyDescent="0.25">
      <c r="A743" s="865">
        <v>3</v>
      </c>
      <c r="B743" s="865">
        <v>2</v>
      </c>
      <c r="C743" s="1490" t="s">
        <v>3386</v>
      </c>
      <c r="D743" s="865"/>
      <c r="E743" s="865"/>
      <c r="F743" s="865"/>
      <c r="G743" s="865"/>
      <c r="H743" s="1061" t="str">
        <f>'Bid 3b'!B493</f>
        <v>:Pengiriman Kontingen Group Kesenian &amp; Kebudayaan Ke tingkat Kota ( Lomba Lagu Jendela Dunia)</v>
      </c>
      <c r="I743" s="865"/>
      <c r="J743" s="865"/>
      <c r="K743" s="1063">
        <f>SUM(K744:K752)</f>
        <v>114950000</v>
      </c>
      <c r="L743" s="865" t="s">
        <v>1506</v>
      </c>
      <c r="M743" s="68">
        <f>'Bid 3b'!F519</f>
        <v>114950000</v>
      </c>
    </row>
    <row r="744" spans="1:13" x14ac:dyDescent="0.25">
      <c r="A744" s="1"/>
      <c r="B744" s="1"/>
      <c r="C744" s="1"/>
      <c r="D744" s="1">
        <v>5</v>
      </c>
      <c r="E744" s="1">
        <v>2</v>
      </c>
      <c r="F744" s="1"/>
      <c r="G744" s="1"/>
      <c r="H744" s="4" t="str">
        <f>'Bid 3b'!B498</f>
        <v>Belanja Barang Jasa</v>
      </c>
      <c r="I744" s="1"/>
      <c r="J744" s="1"/>
      <c r="K744" s="73"/>
      <c r="L744" s="1"/>
    </row>
    <row r="745" spans="1:13" ht="30" x14ac:dyDescent="0.25">
      <c r="A745" s="1"/>
      <c r="B745" s="1"/>
      <c r="C745" s="1"/>
      <c r="D745" s="1"/>
      <c r="E745" s="1"/>
      <c r="F745" s="1">
        <v>1</v>
      </c>
      <c r="G745" s="1"/>
      <c r="H745" s="4" t="str">
        <f>'Bid 3b'!B499</f>
        <v>Belanja Barang Perlengkapan</v>
      </c>
      <c r="I745" s="1"/>
      <c r="J745" s="1"/>
      <c r="K745" s="73"/>
      <c r="L745" s="1"/>
    </row>
    <row r="746" spans="1:13" ht="30" x14ac:dyDescent="0.25">
      <c r="A746" s="1"/>
      <c r="B746" s="1"/>
      <c r="C746" s="1"/>
      <c r="D746" s="1"/>
      <c r="E746" s="1"/>
      <c r="F746" s="1"/>
      <c r="G746" s="1489" t="s">
        <v>3391</v>
      </c>
      <c r="H746" s="4" t="str">
        <f>'Bid 3b'!B500</f>
        <v>Belanja Perlengkapan Barang Konsumsi</v>
      </c>
      <c r="I746" s="1"/>
      <c r="J746" s="1"/>
      <c r="K746" s="73">
        <f>SUM('Bid 3b'!F502:F503)</f>
        <v>21400000</v>
      </c>
      <c r="L746" s="1" t="s">
        <v>1506</v>
      </c>
    </row>
    <row r="747" spans="1:13" ht="30" x14ac:dyDescent="0.25">
      <c r="A747" s="1"/>
      <c r="B747" s="1"/>
      <c r="C747" s="1"/>
      <c r="D747" s="1"/>
      <c r="E747" s="1"/>
      <c r="F747" s="1"/>
      <c r="G747" s="1489" t="s">
        <v>3394</v>
      </c>
      <c r="H747" s="4" t="str">
        <f>'Bid 3b'!B504</f>
        <v>Belanja Pakaian Dinas/Seragam/Atribut</v>
      </c>
      <c r="I747" s="1"/>
      <c r="J747" s="1"/>
      <c r="K747" s="73">
        <f>SUM('Bid 3b'!F505:F506)</f>
        <v>20057000</v>
      </c>
      <c r="L747" s="1" t="s">
        <v>1506</v>
      </c>
    </row>
    <row r="748" spans="1:13" x14ac:dyDescent="0.25">
      <c r="A748" s="1"/>
      <c r="B748" s="1"/>
      <c r="C748" s="1"/>
      <c r="D748" s="1">
        <v>5</v>
      </c>
      <c r="E748" s="1">
        <v>2</v>
      </c>
      <c r="F748" s="1">
        <v>2</v>
      </c>
      <c r="G748" s="1"/>
      <c r="H748" s="4" t="str">
        <f>'Bid 3b'!B507</f>
        <v>Belanja Jasa Honorarium</v>
      </c>
      <c r="I748" s="1"/>
      <c r="J748" s="1"/>
      <c r="K748" s="73"/>
      <c r="L748" s="1"/>
    </row>
    <row r="749" spans="1:13" ht="45" x14ac:dyDescent="0.25">
      <c r="A749" s="1"/>
      <c r="B749" s="1"/>
      <c r="C749" s="1"/>
      <c r="D749" s="1"/>
      <c r="E749" s="1"/>
      <c r="F749" s="1"/>
      <c r="G749" s="1489" t="s">
        <v>3366</v>
      </c>
      <c r="H749" s="4" t="str">
        <f>'Bid 3b'!B508</f>
        <v>Belanja Jasa Honorarium Tim Yang Melaksanakan Kegiatan</v>
      </c>
      <c r="I749" s="1"/>
      <c r="J749" s="1"/>
      <c r="K749" s="73">
        <f>SUM('Bid 3b'!F509:F511)</f>
        <v>750000</v>
      </c>
      <c r="L749" s="1" t="s">
        <v>1506</v>
      </c>
    </row>
    <row r="750" spans="1:13" ht="60" x14ac:dyDescent="0.25">
      <c r="A750" s="1"/>
      <c r="B750" s="1"/>
      <c r="C750" s="1"/>
      <c r="D750" s="1"/>
      <c r="E750" s="1"/>
      <c r="F750" s="1"/>
      <c r="G750" s="1489" t="s">
        <v>3389</v>
      </c>
      <c r="H750" s="4" t="str">
        <f>'Bid 3b'!B512</f>
        <v>Belanja Jasa Honorarium Ahli Profesi/Konsultan/Narasumber</v>
      </c>
      <c r="I750" s="1"/>
      <c r="J750" s="1"/>
      <c r="K750" s="73">
        <f>SUM('Bid 3b'!F513:F515)</f>
        <v>24743000</v>
      </c>
      <c r="L750" s="1" t="s">
        <v>1506</v>
      </c>
    </row>
    <row r="751" spans="1:13" ht="30" x14ac:dyDescent="0.25">
      <c r="A751" s="1"/>
      <c r="B751" s="1"/>
      <c r="C751" s="1"/>
      <c r="D751" s="1">
        <v>5</v>
      </c>
      <c r="E751" s="1">
        <v>2</v>
      </c>
      <c r="F751" s="1">
        <v>7</v>
      </c>
      <c r="G751" s="1"/>
      <c r="H751" s="4" t="str">
        <f>'Bid 3b'!B516</f>
        <v>Belanja Barang Yang Diserahkan</v>
      </c>
      <c r="I751" s="1"/>
      <c r="J751" s="1"/>
      <c r="K751" s="73"/>
      <c r="L751" s="1"/>
    </row>
    <row r="752" spans="1:13" ht="30" x14ac:dyDescent="0.25">
      <c r="A752" s="1"/>
      <c r="B752" s="1"/>
      <c r="C752" s="1"/>
      <c r="D752" s="1"/>
      <c r="E752" s="1"/>
      <c r="F752" s="1"/>
      <c r="G752" s="1">
        <v>91</v>
      </c>
      <c r="H752" s="4" t="str">
        <f>'Bid 3b'!B517</f>
        <v>Belanja Uang Saku 30or x 32kl</v>
      </c>
      <c r="I752" s="1"/>
      <c r="J752" s="1"/>
      <c r="K752" s="73">
        <f>'Bid 3b'!F517</f>
        <v>48000000</v>
      </c>
      <c r="L752" s="1" t="s">
        <v>1506</v>
      </c>
    </row>
    <row r="753" spans="1:13" ht="45" x14ac:dyDescent="0.25">
      <c r="A753" s="865">
        <v>3</v>
      </c>
      <c r="B753" s="865">
        <v>2</v>
      </c>
      <c r="C753" s="865">
        <v>90</v>
      </c>
      <c r="D753" s="865"/>
      <c r="E753" s="865"/>
      <c r="F753" s="865"/>
      <c r="G753" s="865"/>
      <c r="H753" s="1061" t="str">
        <f>'Bid 3b'!B533</f>
        <v xml:space="preserve"> : Pembinaan Adat dan Keagamaan (Piodalan Padmasana)</v>
      </c>
      <c r="I753" s="865"/>
      <c r="J753" s="865"/>
      <c r="K753" s="1063">
        <f>SUM(K754:K758)</f>
        <v>8560000</v>
      </c>
      <c r="L753" s="865"/>
      <c r="M753" s="68">
        <f>'Bid 3b'!F559</f>
        <v>8560000</v>
      </c>
    </row>
    <row r="754" spans="1:13" x14ac:dyDescent="0.25">
      <c r="A754" s="1"/>
      <c r="B754" s="1"/>
      <c r="C754" s="1"/>
      <c r="D754" s="1">
        <v>5</v>
      </c>
      <c r="E754" s="1">
        <v>2</v>
      </c>
      <c r="F754" s="1"/>
      <c r="G754" s="1"/>
      <c r="H754" s="4" t="str">
        <f>'Bid 3b'!B539</f>
        <v xml:space="preserve">Belanja Barang dan Jasa </v>
      </c>
      <c r="I754" s="1"/>
      <c r="J754" s="1"/>
      <c r="K754" s="73"/>
      <c r="L754" s="1"/>
    </row>
    <row r="755" spans="1:13" ht="30" x14ac:dyDescent="0.25">
      <c r="A755" s="1"/>
      <c r="B755" s="1"/>
      <c r="C755" s="1"/>
      <c r="D755" s="1"/>
      <c r="E755" s="1"/>
      <c r="F755" s="1">
        <v>1</v>
      </c>
      <c r="G755" s="1"/>
      <c r="H755" s="4" t="str">
        <f>'Bid 3b'!B540</f>
        <v>Belanja Barang Perlengkapan</v>
      </c>
      <c r="I755" s="1"/>
      <c r="J755" s="1"/>
      <c r="K755" s="73"/>
      <c r="L755" s="1"/>
    </row>
    <row r="756" spans="1:13" ht="30" x14ac:dyDescent="0.25">
      <c r="A756" s="1"/>
      <c r="B756" s="1"/>
      <c r="C756" s="1"/>
      <c r="D756" s="1"/>
      <c r="E756" s="1"/>
      <c r="F756" s="1"/>
      <c r="G756" s="1489" t="s">
        <v>3391</v>
      </c>
      <c r="H756" s="4" t="str">
        <f>'Bid 3b'!B541</f>
        <v>Belanja Perlengkapan Barang Konsumsi</v>
      </c>
      <c r="I756" s="1"/>
      <c r="J756" s="1"/>
      <c r="K756" s="73">
        <f>SUM('Bid 3b'!F542)</f>
        <v>2000000</v>
      </c>
      <c r="L756" s="4" t="s">
        <v>2177</v>
      </c>
    </row>
    <row r="757" spans="1:13" ht="30" x14ac:dyDescent="0.25">
      <c r="A757" s="1"/>
      <c r="B757" s="1"/>
      <c r="C757" s="1"/>
      <c r="D757" s="1"/>
      <c r="E757" s="1"/>
      <c r="F757" s="1"/>
      <c r="G757" s="1">
        <v>90</v>
      </c>
      <c r="H757" s="4" t="str">
        <f>'Bid 3b'!B543</f>
        <v>Belanja Upakara dan Upacara</v>
      </c>
      <c r="I757" s="1"/>
      <c r="J757" s="1"/>
      <c r="K757" s="73">
        <f>'Bid 3b'!F544+'Bid 3b'!F545+'Bid 3b'!F546+'Bid 3b'!F547+'Bid 3b'!F548+'Bid 3b'!F549+'Bid 3b'!F550+'Bid 3b'!F551+'Bid 3b'!F552+'Bid 3b'!F553+'Bid 3b'!F554+'Bid 3b'!F555+'Bid 3b'!F557</f>
        <v>6440000</v>
      </c>
      <c r="L757" s="4" t="s">
        <v>2177</v>
      </c>
    </row>
    <row r="758" spans="1:13" ht="60" x14ac:dyDescent="0.25">
      <c r="A758" s="1"/>
      <c r="B758" s="1"/>
      <c r="C758" s="1"/>
      <c r="D758" s="1"/>
      <c r="E758" s="1"/>
      <c r="F758" s="1"/>
      <c r="G758" s="1">
        <v>90</v>
      </c>
      <c r="H758" s="4" t="str">
        <f>'Bid 3b'!B543</f>
        <v>Belanja Upakara dan Upacara</v>
      </c>
      <c r="I758" s="1"/>
      <c r="J758" s="1"/>
      <c r="K758" s="98">
        <f>'Bid 3b'!F556</f>
        <v>120000</v>
      </c>
      <c r="L758" s="4" t="s">
        <v>3344</v>
      </c>
      <c r="M758" s="3"/>
    </row>
    <row r="759" spans="1:13" ht="45" x14ac:dyDescent="0.25">
      <c r="A759" s="865">
        <v>3</v>
      </c>
      <c r="B759" s="865">
        <v>2</v>
      </c>
      <c r="C759" s="865">
        <v>90</v>
      </c>
      <c r="D759" s="865"/>
      <c r="E759" s="865"/>
      <c r="F759" s="865"/>
      <c r="G759" s="865"/>
      <c r="H759" s="1061" t="str">
        <f>'Bid 3b'!B572</f>
        <v>: Pembinaan Adat dan Keagamaan (Upakara dan Upacara)</v>
      </c>
      <c r="I759" s="865"/>
      <c r="J759" s="865"/>
      <c r="K759" s="1063">
        <f>K762</f>
        <v>5700000</v>
      </c>
      <c r="L759" s="865" t="s">
        <v>2177</v>
      </c>
    </row>
    <row r="760" spans="1:13" x14ac:dyDescent="0.25">
      <c r="A760" s="1"/>
      <c r="B760" s="1"/>
      <c r="C760" s="1"/>
      <c r="D760" s="1">
        <v>5</v>
      </c>
      <c r="E760" s="1">
        <v>2</v>
      </c>
      <c r="F760" s="1"/>
      <c r="G760" s="1"/>
      <c r="H760" s="4" t="str">
        <f>'Bid 3b'!B579</f>
        <v xml:space="preserve">Belanja Barang dan Jasa </v>
      </c>
      <c r="I760" s="1"/>
      <c r="J760" s="1"/>
      <c r="K760" s="73"/>
      <c r="L760" s="1"/>
    </row>
    <row r="761" spans="1:13" ht="30" x14ac:dyDescent="0.25">
      <c r="A761" s="1"/>
      <c r="B761" s="1"/>
      <c r="C761" s="1"/>
      <c r="D761" s="1"/>
      <c r="E761" s="1"/>
      <c r="F761" s="1">
        <v>1</v>
      </c>
      <c r="G761" s="1"/>
      <c r="H761" s="4" t="str">
        <f>'Bid 3b'!B580</f>
        <v>Belanja Barang Perlengkapan</v>
      </c>
      <c r="I761" s="1"/>
      <c r="J761" s="1"/>
      <c r="K761" s="73"/>
      <c r="L761" s="1"/>
    </row>
    <row r="762" spans="1:13" ht="30" x14ac:dyDescent="0.25">
      <c r="A762" s="1"/>
      <c r="B762" s="1"/>
      <c r="C762" s="1"/>
      <c r="D762" s="1"/>
      <c r="E762" s="1"/>
      <c r="F762" s="1"/>
      <c r="G762" s="1">
        <v>90</v>
      </c>
      <c r="H762" s="4" t="str">
        <f>'Bid 3b'!B581</f>
        <v>Belanja Upakara dan Upacara</v>
      </c>
      <c r="I762" s="1"/>
      <c r="J762" s="1"/>
      <c r="K762" s="73">
        <f>SUM('Bid 3b'!F582:F589)</f>
        <v>5700000</v>
      </c>
      <c r="L762" s="1" t="s">
        <v>2177</v>
      </c>
    </row>
    <row r="763" spans="1:13" ht="45" x14ac:dyDescent="0.25">
      <c r="A763" s="865">
        <v>3</v>
      </c>
      <c r="B763" s="865">
        <v>2</v>
      </c>
      <c r="C763" s="865">
        <v>90</v>
      </c>
      <c r="D763" s="865"/>
      <c r="E763" s="865"/>
      <c r="F763" s="865"/>
      <c r="G763" s="865"/>
      <c r="H763" s="1061" t="str">
        <f>'Bid 3b'!B604</f>
        <v>: Pembinaan Adat dan Keagamaan (Tumpek Landep)</v>
      </c>
      <c r="I763" s="865"/>
      <c r="J763" s="865"/>
      <c r="K763" s="1063">
        <f>SUM(K764:K769)</f>
        <v>27700000</v>
      </c>
      <c r="L763" s="1061" t="s">
        <v>1775</v>
      </c>
      <c r="M763" s="68">
        <f>'Bid 3b'!F621</f>
        <v>27700000</v>
      </c>
    </row>
    <row r="764" spans="1:13" x14ac:dyDescent="0.25">
      <c r="A764" s="1"/>
      <c r="B764" s="1"/>
      <c r="C764" s="1"/>
      <c r="D764" s="1">
        <v>5</v>
      </c>
      <c r="E764" s="1">
        <v>2</v>
      </c>
      <c r="F764" s="1"/>
      <c r="G764" s="1"/>
      <c r="H764" s="4" t="str">
        <f>'Bid 3b'!B610</f>
        <v xml:space="preserve">Belanja Barang dan Jasa </v>
      </c>
      <c r="I764" s="1"/>
      <c r="J764" s="1"/>
      <c r="K764" s="73"/>
      <c r="L764" s="4"/>
    </row>
    <row r="765" spans="1:13" ht="30" x14ac:dyDescent="0.25">
      <c r="A765" s="1"/>
      <c r="B765" s="1"/>
      <c r="C765" s="1"/>
      <c r="D765" s="1"/>
      <c r="E765" s="1"/>
      <c r="F765" s="1">
        <v>1</v>
      </c>
      <c r="G765" s="1"/>
      <c r="H765" s="4" t="str">
        <f>'Bid 3b'!B611</f>
        <v>Belanja Barang Perlengkapan</v>
      </c>
      <c r="I765" s="1"/>
      <c r="J765" s="1"/>
      <c r="K765" s="73"/>
      <c r="L765" s="4"/>
    </row>
    <row r="766" spans="1:13" ht="30" x14ac:dyDescent="0.25">
      <c r="A766" s="1"/>
      <c r="B766" s="1"/>
      <c r="C766" s="1"/>
      <c r="D766" s="1"/>
      <c r="E766" s="1"/>
      <c r="F766" s="1"/>
      <c r="G766" s="1489" t="s">
        <v>3391</v>
      </c>
      <c r="H766" s="4" t="str">
        <f>'Bid 3b'!B612</f>
        <v>Belanja Barang Konsumsi</v>
      </c>
      <c r="I766" s="1"/>
      <c r="J766" s="1"/>
      <c r="K766" s="73">
        <f>SUM('Bid 3b'!F613)</f>
        <v>7500000</v>
      </c>
      <c r="L766" s="4" t="s">
        <v>1775</v>
      </c>
    </row>
    <row r="767" spans="1:13" ht="30" x14ac:dyDescent="0.25">
      <c r="A767" s="1"/>
      <c r="B767" s="1"/>
      <c r="C767" s="1"/>
      <c r="D767" s="1"/>
      <c r="E767" s="1"/>
      <c r="F767" s="1"/>
      <c r="G767" s="1">
        <v>90</v>
      </c>
      <c r="H767" s="4" t="str">
        <f>'Bid 3b'!B614</f>
        <v>Belanja Upakara dan Upacara</v>
      </c>
      <c r="I767" s="1"/>
      <c r="J767" s="1"/>
      <c r="K767" s="73">
        <f>'Bid 3b'!F615</f>
        <v>18000000</v>
      </c>
      <c r="L767" s="4" t="s">
        <v>1775</v>
      </c>
    </row>
    <row r="768" spans="1:13" x14ac:dyDescent="0.25">
      <c r="A768" s="1"/>
      <c r="B768" s="1"/>
      <c r="C768" s="1"/>
      <c r="D768" s="1">
        <v>5</v>
      </c>
      <c r="E768" s="1">
        <v>2</v>
      </c>
      <c r="F768" s="1">
        <v>4</v>
      </c>
      <c r="G768" s="1"/>
      <c r="H768" s="4" t="str">
        <f>'Bid 3b'!B616</f>
        <v>Belanja Jasa Sewa</v>
      </c>
      <c r="I768" s="1"/>
      <c r="J768" s="1"/>
      <c r="K768" s="73"/>
      <c r="L768" s="4"/>
    </row>
    <row r="769" spans="1:13" ht="30" x14ac:dyDescent="0.25">
      <c r="A769" s="1"/>
      <c r="B769" s="1"/>
      <c r="C769" s="1"/>
      <c r="D769" s="1"/>
      <c r="E769" s="1"/>
      <c r="F769" s="1"/>
      <c r="G769" s="1489" t="s">
        <v>3386</v>
      </c>
      <c r="H769" s="4" t="str">
        <f>'Bid 3b'!B617</f>
        <v>Belanja Jasa Sewa Peralatan/Perlengkapan</v>
      </c>
      <c r="I769" s="1"/>
      <c r="J769" s="1"/>
      <c r="K769" s="73">
        <f>SUM('Bid 3b'!F618:F619)</f>
        <v>2200000</v>
      </c>
      <c r="L769" s="4" t="s">
        <v>1775</v>
      </c>
    </row>
    <row r="770" spans="1:13" ht="45" x14ac:dyDescent="0.25">
      <c r="A770" s="865">
        <v>3</v>
      </c>
      <c r="B770" s="865">
        <v>2</v>
      </c>
      <c r="C770" s="865">
        <v>91</v>
      </c>
      <c r="D770" s="865"/>
      <c r="E770" s="865"/>
      <c r="F770" s="865"/>
      <c r="G770" s="865"/>
      <c r="H770" s="1061" t="str">
        <f>'Bid 3b'!B634</f>
        <v xml:space="preserve"> : Penunjang Oprasional Subak/Subak Abian (BKKProvinsi)</v>
      </c>
      <c r="I770" s="865"/>
      <c r="J770" s="865"/>
      <c r="K770" s="1063">
        <f>K773</f>
        <v>45000000</v>
      </c>
      <c r="L770" s="1061" t="s">
        <v>3300</v>
      </c>
    </row>
    <row r="771" spans="1:13" x14ac:dyDescent="0.25">
      <c r="A771" s="1"/>
      <c r="B771" s="1"/>
      <c r="C771" s="1"/>
      <c r="D771" s="1">
        <v>5</v>
      </c>
      <c r="E771" s="1">
        <v>2</v>
      </c>
      <c r="F771" s="1"/>
      <c r="G771" s="1"/>
      <c r="H771" s="4" t="str">
        <f>'Bid 3b'!B639</f>
        <v>Belanja Barang Jasa</v>
      </c>
      <c r="I771" s="1"/>
      <c r="J771" s="1"/>
      <c r="K771" s="73"/>
      <c r="L771" s="4"/>
    </row>
    <row r="772" spans="1:13" ht="45" x14ac:dyDescent="0.25">
      <c r="A772" s="1"/>
      <c r="B772" s="1"/>
      <c r="C772" s="1"/>
      <c r="D772" s="1"/>
      <c r="E772" s="1"/>
      <c r="F772" s="1">
        <v>7</v>
      </c>
      <c r="G772" s="1"/>
      <c r="H772" s="4" t="str">
        <f>'Bid 3b'!B640</f>
        <v>Belanja Barang dan Jasa yang Diserahkan Kepada Masyarakat</v>
      </c>
      <c r="I772" s="1"/>
      <c r="J772" s="1"/>
      <c r="K772" s="73"/>
      <c r="L772" s="4"/>
    </row>
    <row r="773" spans="1:13" ht="45" x14ac:dyDescent="0.25">
      <c r="A773" s="1"/>
      <c r="B773" s="1"/>
      <c r="C773" s="1"/>
      <c r="D773" s="1"/>
      <c r="E773" s="1"/>
      <c r="F773" s="1"/>
      <c r="G773" s="1489" t="s">
        <v>3366</v>
      </c>
      <c r="H773" s="4" t="str">
        <f>'Bid 3b'!B641</f>
        <v>Belanaja Barang  Yang Diserahkan</v>
      </c>
      <c r="I773" s="1"/>
      <c r="J773" s="1"/>
      <c r="K773" s="73">
        <f>'Bid 3b'!F642</f>
        <v>45000000</v>
      </c>
      <c r="L773" s="4" t="s">
        <v>3300</v>
      </c>
    </row>
    <row r="774" spans="1:13" ht="30" x14ac:dyDescent="0.25">
      <c r="A774" s="865">
        <v>3</v>
      </c>
      <c r="B774" s="865">
        <v>2</v>
      </c>
      <c r="C774" s="865">
        <v>94</v>
      </c>
      <c r="D774" s="865"/>
      <c r="E774" s="865"/>
      <c r="F774" s="865"/>
      <c r="G774" s="865"/>
      <c r="H774" s="1061" t="str">
        <f>'Bid 3b'!B657</f>
        <v xml:space="preserve"> : Penunjang Oprasional Desa Pakraman(BKK Kota)</v>
      </c>
      <c r="I774" s="865"/>
      <c r="J774" s="865"/>
      <c r="K774" s="1063">
        <f>K777</f>
        <v>2030000000</v>
      </c>
      <c r="L774" s="1061" t="s">
        <v>1365</v>
      </c>
      <c r="M774" s="68">
        <f>'Bid 3b'!F668</f>
        <v>2030000000</v>
      </c>
    </row>
    <row r="775" spans="1:13" x14ac:dyDescent="0.25">
      <c r="A775" s="1"/>
      <c r="B775" s="1"/>
      <c r="C775" s="1"/>
      <c r="D775" s="1">
        <v>5</v>
      </c>
      <c r="E775" s="1">
        <v>2</v>
      </c>
      <c r="F775" s="1"/>
      <c r="G775" s="1"/>
      <c r="H775" s="4" t="str">
        <f>'Bid 3b'!B662</f>
        <v>Belanja Barang Dan Jasa</v>
      </c>
      <c r="I775" s="1"/>
      <c r="J775" s="1"/>
      <c r="K775" s="73"/>
      <c r="L775" s="4"/>
    </row>
    <row r="776" spans="1:13" ht="45" x14ac:dyDescent="0.25">
      <c r="A776" s="1"/>
      <c r="B776" s="1"/>
      <c r="C776" s="1"/>
      <c r="D776" s="1"/>
      <c r="E776" s="1"/>
      <c r="F776" s="1">
        <v>7</v>
      </c>
      <c r="G776" s="1"/>
      <c r="H776" s="4" t="str">
        <f>'Bid 3b'!B663</f>
        <v>Belanja Barang dan Jasa yang Diserahkan Kepada Masyarakat</v>
      </c>
      <c r="I776" s="1"/>
      <c r="J776" s="1"/>
      <c r="K776" s="73"/>
      <c r="L776" s="4"/>
    </row>
    <row r="777" spans="1:13" ht="30" x14ac:dyDescent="0.25">
      <c r="A777" s="1"/>
      <c r="B777" s="1"/>
      <c r="C777" s="1"/>
      <c r="D777" s="1"/>
      <c r="E777" s="1"/>
      <c r="F777" s="1"/>
      <c r="G777" s="1489" t="s">
        <v>3366</v>
      </c>
      <c r="H777" s="4" t="str">
        <f>'Bid 3b'!B664</f>
        <v>Belanaja Barang  Yang Diserahkan</v>
      </c>
      <c r="I777" s="1"/>
      <c r="J777" s="1"/>
      <c r="K777" s="73">
        <f>'Bid 3b'!F665+'Bid 3b'!F666</f>
        <v>2030000000</v>
      </c>
      <c r="L777" s="4" t="s">
        <v>1365</v>
      </c>
    </row>
    <row r="778" spans="1:13" ht="30" x14ac:dyDescent="0.25">
      <c r="A778" s="865">
        <v>3</v>
      </c>
      <c r="B778" s="865">
        <v>2</v>
      </c>
      <c r="C778" s="865">
        <v>95</v>
      </c>
      <c r="D778" s="865"/>
      <c r="E778" s="865"/>
      <c r="F778" s="865"/>
      <c r="G778" s="865"/>
      <c r="H778" s="1061" t="str">
        <f>'Bid 3b'!B681</f>
        <v>: Kegiatan Bakti Penganyaran</v>
      </c>
      <c r="I778" s="865"/>
      <c r="J778" s="865"/>
      <c r="K778" s="1063">
        <f>SUM(K779:K793)</f>
        <v>180000000</v>
      </c>
      <c r="L778" s="865"/>
      <c r="M778" s="68">
        <f>'Bid 3b'!F709</f>
        <v>180000000</v>
      </c>
    </row>
    <row r="779" spans="1:13" x14ac:dyDescent="0.25">
      <c r="A779" s="1"/>
      <c r="B779" s="1"/>
      <c r="C779" s="1"/>
      <c r="D779" s="1"/>
      <c r="E779" s="1"/>
      <c r="F779" s="1"/>
      <c r="G779" s="1"/>
      <c r="H779" s="4" t="str">
        <f>'Bid 3b'!B688</f>
        <v xml:space="preserve">Nganyarin ke Pura Batur </v>
      </c>
      <c r="I779" s="1"/>
      <c r="J779" s="1"/>
      <c r="K779" s="73"/>
      <c r="L779" s="1"/>
    </row>
    <row r="780" spans="1:13" x14ac:dyDescent="0.25">
      <c r="A780" s="1"/>
      <c r="B780" s="1"/>
      <c r="C780" s="1"/>
      <c r="D780" s="1">
        <v>5</v>
      </c>
      <c r="E780" s="1">
        <v>2</v>
      </c>
      <c r="F780" s="1"/>
      <c r="G780" s="1"/>
      <c r="H780" s="4" t="str">
        <f>'Bid 3b'!B689</f>
        <v xml:space="preserve">Belanja Barang dan Jasa </v>
      </c>
      <c r="I780" s="1"/>
      <c r="J780" s="1"/>
      <c r="K780" s="73"/>
      <c r="L780" s="1"/>
    </row>
    <row r="781" spans="1:13" x14ac:dyDescent="0.25">
      <c r="A781" s="1"/>
      <c r="B781" s="1"/>
      <c r="C781" s="1"/>
      <c r="D781" s="1"/>
      <c r="E781" s="1"/>
      <c r="F781" s="1">
        <v>4</v>
      </c>
      <c r="G781" s="1489"/>
      <c r="H781" s="4" t="str">
        <f>'Bid 3b'!B690</f>
        <v xml:space="preserve">Belanja Jasa Sewa </v>
      </c>
      <c r="I781" s="1"/>
      <c r="J781" s="1"/>
      <c r="K781" s="73"/>
      <c r="L781" s="1"/>
    </row>
    <row r="782" spans="1:13" ht="30" x14ac:dyDescent="0.25">
      <c r="A782" s="1"/>
      <c r="B782" s="1"/>
      <c r="C782" s="1"/>
      <c r="D782" s="1"/>
      <c r="E782" s="1"/>
      <c r="F782" s="1"/>
      <c r="G782" s="1489" t="s">
        <v>3388</v>
      </c>
      <c r="H782" s="4" t="str">
        <f>'Bid 3b'!B691</f>
        <v>Belanja Jasa Sewa Sarana Mobilitas</v>
      </c>
      <c r="I782" s="1"/>
      <c r="J782" s="1"/>
      <c r="K782" s="73">
        <f>'Bid 3b'!F692</f>
        <v>11250000</v>
      </c>
      <c r="L782" s="4" t="s">
        <v>1775</v>
      </c>
    </row>
    <row r="783" spans="1:13" ht="30" x14ac:dyDescent="0.25">
      <c r="A783" s="1"/>
      <c r="B783" s="1"/>
      <c r="C783" s="1"/>
      <c r="D783" s="1"/>
      <c r="E783" s="1"/>
      <c r="F783" s="1"/>
      <c r="G783" s="1"/>
      <c r="H783" s="4" t="str">
        <f>'Bid 3b'!B693</f>
        <v>Nganyarin ke Pura  Besakih</v>
      </c>
      <c r="I783" s="1"/>
      <c r="J783" s="1"/>
      <c r="K783" s="73"/>
      <c r="L783" s="4"/>
    </row>
    <row r="784" spans="1:13" x14ac:dyDescent="0.25">
      <c r="A784" s="1"/>
      <c r="B784" s="1"/>
      <c r="C784" s="1"/>
      <c r="D784" s="1">
        <v>5</v>
      </c>
      <c r="E784" s="1">
        <v>2</v>
      </c>
      <c r="F784" s="1">
        <v>4</v>
      </c>
      <c r="G784" s="1"/>
      <c r="H784" s="4" t="str">
        <f>'Bid 3b'!B694</f>
        <v xml:space="preserve">Belanja Barang dan Jasa </v>
      </c>
      <c r="I784" s="1"/>
      <c r="J784" s="1"/>
      <c r="K784" s="73"/>
      <c r="L784" s="4"/>
    </row>
    <row r="785" spans="1:13" ht="30" x14ac:dyDescent="0.25">
      <c r="A785" s="1"/>
      <c r="B785" s="1"/>
      <c r="C785" s="1"/>
      <c r="D785" s="1"/>
      <c r="E785" s="1"/>
      <c r="F785" s="1"/>
      <c r="G785" s="1489" t="s">
        <v>3388</v>
      </c>
      <c r="H785" s="4" t="str">
        <f>'Bid 3b'!B695</f>
        <v xml:space="preserve">Belanja Jasa Sewa </v>
      </c>
      <c r="I785" s="1"/>
      <c r="J785" s="1"/>
      <c r="K785" s="73">
        <f>'Bid 3b'!F697</f>
        <v>11250000</v>
      </c>
      <c r="L785" s="4" t="s">
        <v>1775</v>
      </c>
    </row>
    <row r="786" spans="1:13" ht="30" x14ac:dyDescent="0.25">
      <c r="A786" s="1"/>
      <c r="B786" s="1"/>
      <c r="C786" s="1"/>
      <c r="D786" s="1"/>
      <c r="E786" s="1"/>
      <c r="F786" s="1"/>
      <c r="G786" s="1"/>
      <c r="H786" s="4" t="str">
        <f>'Bid 3b'!B698</f>
        <v>Nganyarin ke Pura Mandara Giri Lumajang</v>
      </c>
      <c r="I786" s="1"/>
      <c r="J786" s="1"/>
      <c r="K786" s="73"/>
      <c r="L786" s="4"/>
    </row>
    <row r="787" spans="1:13" x14ac:dyDescent="0.25">
      <c r="A787" s="1"/>
      <c r="B787" s="1"/>
      <c r="C787" s="1"/>
      <c r="D787" s="1">
        <v>5</v>
      </c>
      <c r="E787" s="1">
        <v>2</v>
      </c>
      <c r="F787" s="1"/>
      <c r="G787" s="1"/>
      <c r="H787" s="4" t="str">
        <f>'Bid 3b'!B699</f>
        <v xml:space="preserve">Belanja Barang dan Jasa </v>
      </c>
      <c r="I787" s="1"/>
      <c r="J787" s="1"/>
      <c r="K787" s="73"/>
      <c r="L787" s="4"/>
    </row>
    <row r="788" spans="1:13" x14ac:dyDescent="0.25">
      <c r="A788" s="1"/>
      <c r="B788" s="1"/>
      <c r="C788" s="1"/>
      <c r="D788" s="1"/>
      <c r="E788" s="1"/>
      <c r="F788" s="1">
        <v>4</v>
      </c>
      <c r="G788" s="1"/>
      <c r="H788" s="4" t="str">
        <f>'Bid 3b'!B700</f>
        <v xml:space="preserve">Belanja Jasa Sewa </v>
      </c>
      <c r="I788" s="1"/>
      <c r="J788" s="1"/>
      <c r="K788" s="73"/>
      <c r="L788" s="4"/>
    </row>
    <row r="789" spans="1:13" ht="30" x14ac:dyDescent="0.25">
      <c r="A789" s="1"/>
      <c r="B789" s="1"/>
      <c r="C789" s="1"/>
      <c r="D789" s="1"/>
      <c r="E789" s="1"/>
      <c r="F789" s="1"/>
      <c r="G789" s="1489" t="s">
        <v>3388</v>
      </c>
      <c r="H789" s="4" t="str">
        <f>'Bid 3b'!B701</f>
        <v>Belanja Jasa Sewa Sarana Mobilitas</v>
      </c>
      <c r="I789" s="1"/>
      <c r="J789" s="1"/>
      <c r="K789" s="73">
        <f>'Bid 3b'!F702</f>
        <v>67500000</v>
      </c>
      <c r="L789" s="4" t="s">
        <v>1775</v>
      </c>
    </row>
    <row r="790" spans="1:13" ht="30" x14ac:dyDescent="0.25">
      <c r="A790" s="1"/>
      <c r="B790" s="1"/>
      <c r="C790" s="1"/>
      <c r="D790" s="1"/>
      <c r="E790" s="1"/>
      <c r="F790" s="1"/>
      <c r="G790" s="1"/>
      <c r="H790" s="4" t="str">
        <f>'Bid 3b'!B703</f>
        <v>Nganyarin ke Pura Penataran Agung Rinjani</v>
      </c>
      <c r="I790" s="1"/>
      <c r="J790" s="1"/>
      <c r="K790" s="73"/>
      <c r="L790" s="4"/>
    </row>
    <row r="791" spans="1:13" x14ac:dyDescent="0.25">
      <c r="A791" s="1"/>
      <c r="B791" s="1"/>
      <c r="C791" s="1"/>
      <c r="D791" s="1">
        <v>5</v>
      </c>
      <c r="E791" s="1">
        <v>2</v>
      </c>
      <c r="F791" s="1"/>
      <c r="G791" s="1"/>
      <c r="H791" s="4" t="str">
        <f>'Bid 3b'!B704</f>
        <v xml:space="preserve">Belanja Barang dan Jasa </v>
      </c>
      <c r="I791" s="1"/>
      <c r="J791" s="1"/>
      <c r="K791" s="73"/>
      <c r="L791" s="4"/>
    </row>
    <row r="792" spans="1:13" x14ac:dyDescent="0.25">
      <c r="A792" s="1"/>
      <c r="B792" s="1"/>
      <c r="C792" s="1"/>
      <c r="D792" s="1"/>
      <c r="E792" s="1"/>
      <c r="F792" s="1">
        <v>4</v>
      </c>
      <c r="G792" s="1"/>
      <c r="H792" s="4" t="str">
        <f>'Bid 3b'!B705</f>
        <v xml:space="preserve">Belanja Jasa Sewa </v>
      </c>
      <c r="I792" s="1"/>
      <c r="J792" s="1"/>
      <c r="K792" s="73"/>
      <c r="L792" s="4"/>
    </row>
    <row r="793" spans="1:13" ht="30" x14ac:dyDescent="0.25">
      <c r="A793" s="1"/>
      <c r="B793" s="1"/>
      <c r="C793" s="1"/>
      <c r="D793" s="1"/>
      <c r="E793" s="1"/>
      <c r="F793" s="1"/>
      <c r="G793" s="1489" t="s">
        <v>3388</v>
      </c>
      <c r="H793" s="4" t="str">
        <f>'Bid 3b'!B706</f>
        <v>Belanja Jasa Sewa Sarana Mobilitas</v>
      </c>
      <c r="I793" s="1"/>
      <c r="J793" s="1"/>
      <c r="K793" s="73">
        <f>'Bid 3b'!F707</f>
        <v>90000000</v>
      </c>
      <c r="L793" s="4" t="s">
        <v>1775</v>
      </c>
    </row>
    <row r="794" spans="1:13" ht="30" x14ac:dyDescent="0.25">
      <c r="A794" s="865">
        <v>3</v>
      </c>
      <c r="B794" s="865">
        <v>3</v>
      </c>
      <c r="C794" s="865"/>
      <c r="D794" s="865"/>
      <c r="E794" s="865"/>
      <c r="F794" s="865"/>
      <c r="G794" s="1490"/>
      <c r="H794" s="1061" t="s">
        <v>3424</v>
      </c>
      <c r="I794" s="865"/>
      <c r="J794" s="865"/>
      <c r="K794" s="1063"/>
      <c r="L794" s="1061"/>
    </row>
    <row r="795" spans="1:13" ht="150" x14ac:dyDescent="0.25">
      <c r="A795" s="865">
        <v>3</v>
      </c>
      <c r="B795" s="865">
        <v>3</v>
      </c>
      <c r="C795" s="1490" t="s">
        <v>3386</v>
      </c>
      <c r="D795" s="865"/>
      <c r="E795" s="865"/>
      <c r="F795" s="865"/>
      <c r="G795" s="865"/>
      <c r="H795" s="1061" t="str">
        <f>'Bid 3b'!B723</f>
        <v xml:space="preserve">: Penyelenggaraan Pelatihan Kepemudaan  ( Pelatihan dan Lomba Pidato Bungkarno Tingkat Sekaa Truna, Membaca Puisi Karya Bungkarno Tingkat Umur 13 - 15 tahun, Menyanyi Lagu Kebangsaan Tingkat umur 7 - 12 ) </v>
      </c>
      <c r="I795" s="865"/>
      <c r="J795" s="865"/>
      <c r="K795" s="1063">
        <f>SUM(K796:K816)</f>
        <v>40892000</v>
      </c>
      <c r="L795" s="1061" t="s">
        <v>1775</v>
      </c>
      <c r="M795" s="68">
        <f>'Bid 3b'!F783</f>
        <v>40892000</v>
      </c>
    </row>
    <row r="796" spans="1:13" x14ac:dyDescent="0.25">
      <c r="A796" s="1"/>
      <c r="B796" s="1"/>
      <c r="C796" s="1"/>
      <c r="D796" s="1">
        <v>5</v>
      </c>
      <c r="E796" s="1">
        <v>2</v>
      </c>
      <c r="F796" s="1"/>
      <c r="G796" s="1"/>
      <c r="H796" s="4" t="str">
        <f>'Bid 3b'!B728</f>
        <v>Belanja Barang Jasa</v>
      </c>
      <c r="I796" s="1"/>
      <c r="J796" s="1"/>
      <c r="K796" s="98"/>
      <c r="L796" s="4"/>
      <c r="M796" s="3"/>
    </row>
    <row r="797" spans="1:13" ht="30" x14ac:dyDescent="0.25">
      <c r="A797" s="1"/>
      <c r="B797" s="1"/>
      <c r="C797" s="1"/>
      <c r="D797" s="1"/>
      <c r="E797" s="1"/>
      <c r="F797" s="1">
        <v>1</v>
      </c>
      <c r="G797" s="1"/>
      <c r="H797" s="4" t="str">
        <f>'Bid 3b'!B729</f>
        <v>Belanja Barang Perlengkapan</v>
      </c>
      <c r="I797" s="1"/>
      <c r="J797" s="1"/>
      <c r="K797" s="73"/>
      <c r="L797" s="4"/>
    </row>
    <row r="798" spans="1:13" ht="30" x14ac:dyDescent="0.25">
      <c r="A798" s="1"/>
      <c r="B798" s="1"/>
      <c r="C798" s="1"/>
      <c r="D798" s="1"/>
      <c r="E798" s="1"/>
      <c r="F798" s="1"/>
      <c r="G798" s="1489" t="s">
        <v>3391</v>
      </c>
      <c r="H798" s="4" t="str">
        <f>'Bid 3b'!B730</f>
        <v>Belanja Perlengkapan Barang Konsumsi</v>
      </c>
      <c r="I798" s="1"/>
      <c r="J798" s="1"/>
      <c r="K798" s="73">
        <f>SUM('Bid 3b'!F731:F734)</f>
        <v>9300000</v>
      </c>
      <c r="L798" s="4" t="s">
        <v>1775</v>
      </c>
    </row>
    <row r="799" spans="1:13" ht="30" x14ac:dyDescent="0.25">
      <c r="A799" s="1"/>
      <c r="B799" s="1"/>
      <c r="C799" s="1"/>
      <c r="D799" s="1"/>
      <c r="E799" s="1"/>
      <c r="F799" s="1"/>
      <c r="G799" s="1489" t="s">
        <v>3393</v>
      </c>
      <c r="H799" s="4" t="str">
        <f>'Bid 3b'!B735</f>
        <v>Belanja Bendera/Umbul - umbul/Spanduk</v>
      </c>
      <c r="I799" s="1"/>
      <c r="J799" s="1"/>
      <c r="K799" s="73">
        <f>'Bid 3b'!F736</f>
        <v>540000</v>
      </c>
      <c r="L799" s="4" t="s">
        <v>1775</v>
      </c>
    </row>
    <row r="800" spans="1:13" ht="30" x14ac:dyDescent="0.25">
      <c r="A800" s="1"/>
      <c r="B800" s="1"/>
      <c r="C800" s="1"/>
      <c r="D800" s="1"/>
      <c r="E800" s="1"/>
      <c r="F800" s="1"/>
      <c r="G800" s="1">
        <v>90</v>
      </c>
      <c r="H800" s="4" t="str">
        <f>'Bid 3b'!B737</f>
        <v>Belanja Upakara, Upacara Dan Aci</v>
      </c>
      <c r="I800" s="1"/>
      <c r="J800" s="1"/>
      <c r="K800" s="73">
        <f>SUM('Bid 3b'!F738:F741)</f>
        <v>145000</v>
      </c>
      <c r="L800" s="4" t="s">
        <v>1775</v>
      </c>
    </row>
    <row r="801" spans="1:12" x14ac:dyDescent="0.25">
      <c r="A801" s="1"/>
      <c r="B801" s="1"/>
      <c r="C801" s="1"/>
      <c r="D801" s="1">
        <v>5</v>
      </c>
      <c r="E801" s="1">
        <v>2</v>
      </c>
      <c r="F801" s="1">
        <v>2</v>
      </c>
      <c r="G801" s="1"/>
      <c r="H801" s="4" t="str">
        <f>'Bid 3b'!B742</f>
        <v>Belanja Jasa Honorarium</v>
      </c>
      <c r="I801" s="1"/>
      <c r="J801" s="1"/>
      <c r="K801" s="73"/>
      <c r="L801" s="4"/>
    </row>
    <row r="802" spans="1:12" ht="60" x14ac:dyDescent="0.25">
      <c r="A802" s="1"/>
      <c r="B802" s="1"/>
      <c r="C802" s="1"/>
      <c r="D802" s="1"/>
      <c r="E802" s="1"/>
      <c r="F802" s="1"/>
      <c r="G802" s="1489" t="s">
        <v>3389</v>
      </c>
      <c r="H802" s="4" t="str">
        <f>'Bid 3b'!B743</f>
        <v>Belanja Jasa Honorarium Ahli Profesi/Konsultan/Narasumber</v>
      </c>
      <c r="I802" s="1"/>
      <c r="J802" s="1"/>
      <c r="K802" s="73">
        <f>SUM('Bid 3b'!F744:F746)</f>
        <v>8202000</v>
      </c>
      <c r="L802" s="4" t="s">
        <v>1775</v>
      </c>
    </row>
    <row r="803" spans="1:12" ht="45" x14ac:dyDescent="0.25">
      <c r="A803" s="1"/>
      <c r="B803" s="1"/>
      <c r="C803" s="1"/>
      <c r="D803" s="1">
        <v>5</v>
      </c>
      <c r="E803" s="1">
        <v>2</v>
      </c>
      <c r="F803" s="1">
        <v>7</v>
      </c>
      <c r="G803" s="1"/>
      <c r="H803" s="4" t="str">
        <f>'Bid 3b'!B747</f>
        <v>Belanja Barang dan Jasa yang Diserahkan Kepada Masyarakat</v>
      </c>
      <c r="I803" s="1"/>
      <c r="J803" s="1"/>
      <c r="K803" s="73"/>
      <c r="L803" s="4"/>
    </row>
    <row r="804" spans="1:12" ht="30" x14ac:dyDescent="0.25">
      <c r="A804" s="1"/>
      <c r="B804" s="1"/>
      <c r="C804" s="1"/>
      <c r="D804" s="1"/>
      <c r="E804" s="1"/>
      <c r="F804" s="1"/>
      <c r="G804" s="1">
        <v>90</v>
      </c>
      <c r="H804" s="4" t="str">
        <f>'Bid 3b'!B748</f>
        <v>Belanja Jasa Atlit dan Seniman Berprestasi</v>
      </c>
      <c r="I804" s="1"/>
      <c r="J804" s="1"/>
      <c r="K804" s="73">
        <f>SUM('Bid 3b'!F750:F759)</f>
        <v>10605000</v>
      </c>
      <c r="L804" s="4" t="s">
        <v>1775</v>
      </c>
    </row>
    <row r="805" spans="1:12" x14ac:dyDescent="0.25">
      <c r="A805" s="1"/>
      <c r="B805" s="1"/>
      <c r="C805" s="1"/>
      <c r="D805" s="1">
        <v>5</v>
      </c>
      <c r="E805" s="1">
        <v>2</v>
      </c>
      <c r="F805" s="1">
        <v>1</v>
      </c>
      <c r="G805" s="1"/>
      <c r="H805" s="4" t="str">
        <f>'Bid 3b'!B760</f>
        <v>Belanja Jasa Sewa</v>
      </c>
      <c r="I805" s="1"/>
      <c r="J805" s="1"/>
      <c r="K805" s="73"/>
      <c r="L805" s="4"/>
    </row>
    <row r="806" spans="1:12" ht="30" x14ac:dyDescent="0.25">
      <c r="A806" s="1"/>
      <c r="B806" s="1"/>
      <c r="C806" s="1"/>
      <c r="D806" s="1"/>
      <c r="E806" s="1"/>
      <c r="F806" s="1"/>
      <c r="G806" s="1489" t="s">
        <v>3391</v>
      </c>
      <c r="H806" s="4" t="str">
        <f>'Bid 3b'!B761</f>
        <v>Belanja Jasa Sewa Peralatan perlengkapan</v>
      </c>
      <c r="I806" s="1"/>
      <c r="J806" s="1"/>
      <c r="K806" s="73">
        <f>'Bid 3b'!F762</f>
        <v>1000000</v>
      </c>
      <c r="L806" s="4" t="s">
        <v>1775</v>
      </c>
    </row>
    <row r="807" spans="1:12" ht="135" x14ac:dyDescent="0.25">
      <c r="A807" s="1"/>
      <c r="B807" s="1"/>
      <c r="C807" s="1"/>
      <c r="D807" s="1"/>
      <c r="E807" s="1"/>
      <c r="F807" s="1"/>
      <c r="G807" s="1"/>
      <c r="H807" s="4" t="str">
        <f>'Bid 3b'!B763</f>
        <v xml:space="preserve">Pengiriman lomba Pidato Bungkarno Tingkat Sekaa Truna 1 orang, Membaca Puisi Karya Bungkarno Tingkat SMP 1 Orang, Menyanyi Lagu Kebangsaan Tingkat SD 1 Orang Ke Tingkat Kecamatan </v>
      </c>
      <c r="I807" s="1"/>
      <c r="J807" s="1"/>
      <c r="K807" s="73"/>
      <c r="L807" s="4"/>
    </row>
    <row r="808" spans="1:12" x14ac:dyDescent="0.25">
      <c r="A808" s="1"/>
      <c r="B808" s="1"/>
      <c r="C808" s="1"/>
      <c r="D808" s="1">
        <v>5</v>
      </c>
      <c r="E808" s="1">
        <v>2</v>
      </c>
      <c r="F808" s="1"/>
      <c r="G808" s="1"/>
      <c r="H808" s="4" t="str">
        <f>'Bid 3b'!B764</f>
        <v>Belanja Barang Jasa</v>
      </c>
      <c r="I808" s="1"/>
      <c r="J808" s="1"/>
      <c r="K808" s="73"/>
      <c r="L808" s="4"/>
    </row>
    <row r="809" spans="1:12" ht="30" x14ac:dyDescent="0.25">
      <c r="A809" s="1"/>
      <c r="B809" s="1"/>
      <c r="C809" s="1"/>
      <c r="D809" s="1"/>
      <c r="E809" s="1"/>
      <c r="F809" s="1">
        <v>1</v>
      </c>
      <c r="G809" s="1"/>
      <c r="H809" s="4" t="str">
        <f>'Bid 3b'!B765</f>
        <v>Belanja Barang Perlengkapan</v>
      </c>
      <c r="I809" s="1"/>
      <c r="J809" s="1"/>
      <c r="K809" s="73"/>
      <c r="L809" s="4"/>
    </row>
    <row r="810" spans="1:12" ht="45" x14ac:dyDescent="0.25">
      <c r="A810" s="1"/>
      <c r="B810" s="1"/>
      <c r="C810" s="1"/>
      <c r="D810" s="1"/>
      <c r="E810" s="1"/>
      <c r="F810" s="1"/>
      <c r="G810" s="1489" t="s">
        <v>3391</v>
      </c>
      <c r="H810" s="4" t="str">
        <f>'Bid 3b'!B766</f>
        <v>Belanja Barang Perlengkapan Barang Konsumsi</v>
      </c>
      <c r="I810" s="1"/>
      <c r="J810" s="1"/>
      <c r="K810" s="73">
        <f>'Bid 3b'!F767+'Bid 3b'!F768</f>
        <v>2300000</v>
      </c>
      <c r="L810" s="4" t="s">
        <v>1775</v>
      </c>
    </row>
    <row r="811" spans="1:12" ht="30" x14ac:dyDescent="0.25">
      <c r="A811" s="1"/>
      <c r="B811" s="1"/>
      <c r="C811" s="1"/>
      <c r="D811" s="1"/>
      <c r="E811" s="1"/>
      <c r="F811" s="1"/>
      <c r="G811" s="1489" t="s">
        <v>3392</v>
      </c>
      <c r="H811" s="4" t="str">
        <f>'Bid 3b'!B769</f>
        <v>Belanja Bahan Material</v>
      </c>
      <c r="I811" s="1"/>
      <c r="J811" s="1"/>
      <c r="K811" s="73">
        <f>'Bid 3b'!F770+'Bid 3b'!F771</f>
        <v>2250000</v>
      </c>
      <c r="L811" s="4" t="s">
        <v>1775</v>
      </c>
    </row>
    <row r="812" spans="1:12" x14ac:dyDescent="0.25">
      <c r="A812" s="1"/>
      <c r="B812" s="1"/>
      <c r="C812" s="1"/>
      <c r="D812" s="1">
        <v>5</v>
      </c>
      <c r="E812" s="1">
        <v>2</v>
      </c>
      <c r="F812" s="1">
        <v>2</v>
      </c>
      <c r="G812" s="1"/>
      <c r="H812" s="4" t="str">
        <f>'Bid 3b'!B772</f>
        <v>Belanja Honorarium</v>
      </c>
      <c r="I812" s="1"/>
      <c r="J812" s="1"/>
      <c r="K812" s="73"/>
      <c r="L812" s="4"/>
    </row>
    <row r="813" spans="1:12" ht="30" x14ac:dyDescent="0.25">
      <c r="A813" s="1"/>
      <c r="B813" s="1"/>
      <c r="C813" s="1"/>
      <c r="D813" s="1"/>
      <c r="E813" s="1"/>
      <c r="F813" s="1"/>
      <c r="G813" s="1489" t="s">
        <v>3389</v>
      </c>
      <c r="H813" s="4" t="str">
        <f>'Bid 3b'!B773</f>
        <v>Belanja Honorarium Pelatih</v>
      </c>
      <c r="I813" s="1"/>
      <c r="J813" s="1"/>
      <c r="K813" s="73">
        <f>'Bid 3b'!F774</f>
        <v>4500000</v>
      </c>
      <c r="L813" s="4" t="s">
        <v>1775</v>
      </c>
    </row>
    <row r="814" spans="1:12" ht="45" x14ac:dyDescent="0.25">
      <c r="A814" s="1"/>
      <c r="B814" s="1"/>
      <c r="C814" s="1"/>
      <c r="D814" s="1"/>
      <c r="E814" s="1"/>
      <c r="F814" s="1"/>
      <c r="G814" s="1489" t="s">
        <v>3366</v>
      </c>
      <c r="H814" s="4" t="str">
        <f>'Bid 3b'!B775</f>
        <v>Belanja Jasa Honor Tim yang Melaksanakan Kegiatan</v>
      </c>
      <c r="I814" s="1"/>
      <c r="J814" s="1"/>
      <c r="K814" s="73">
        <f>'Bid 3b'!F776+'Bid 3b'!F777+'Bid 3b'!F778</f>
        <v>1150000</v>
      </c>
      <c r="L814" s="4" t="s">
        <v>1775</v>
      </c>
    </row>
    <row r="815" spans="1:12" ht="45" x14ac:dyDescent="0.25">
      <c r="A815" s="1"/>
      <c r="B815" s="1"/>
      <c r="C815" s="1"/>
      <c r="D815" s="1">
        <v>5</v>
      </c>
      <c r="E815" s="1">
        <v>2</v>
      </c>
      <c r="F815" s="1">
        <v>7</v>
      </c>
      <c r="G815" s="1"/>
      <c r="H815" s="4" t="str">
        <f>'Bid 3b'!B779</f>
        <v>Belanja Barang dan Jasa yang Diserahkan Kepada Masyarakat</v>
      </c>
      <c r="I815" s="1"/>
      <c r="J815" s="1"/>
      <c r="K815" s="73"/>
      <c r="L815" s="4"/>
    </row>
    <row r="816" spans="1:12" ht="30" x14ac:dyDescent="0.25">
      <c r="A816" s="1"/>
      <c r="B816" s="1"/>
      <c r="C816" s="1"/>
      <c r="D816" s="1"/>
      <c r="E816" s="1"/>
      <c r="F816" s="1"/>
      <c r="G816" s="1">
        <v>91</v>
      </c>
      <c r="H816" s="4" t="str">
        <f>'Bid 3b'!B780</f>
        <v>Belanja Uang Saku</v>
      </c>
      <c r="I816" s="1"/>
      <c r="J816" s="1"/>
      <c r="K816" s="73">
        <f>'Bid 3b'!F781+'Bid 3b'!F782</f>
        <v>900000</v>
      </c>
      <c r="L816" s="4" t="s">
        <v>1775</v>
      </c>
    </row>
    <row r="817" spans="1:14" ht="75" x14ac:dyDescent="0.25">
      <c r="A817" s="865">
        <v>3</v>
      </c>
      <c r="B817" s="865">
        <v>3</v>
      </c>
      <c r="C817" s="1490" t="s">
        <v>3386</v>
      </c>
      <c r="D817" s="865"/>
      <c r="E817" s="865"/>
      <c r="F817" s="865"/>
      <c r="G817" s="865"/>
      <c r="H817" s="1061" t="str">
        <f>'Bid 3b'!B796</f>
        <v>: Pengiriman Kontingen Group Kesenian &amp; Kebudayaan (Wakil Desa tkt. Kec/Kab/Kot) (Lomba Defile Budaya Kader PKK)</v>
      </c>
      <c r="I817" s="865"/>
      <c r="J817" s="865"/>
      <c r="K817" s="1063">
        <f>SUM(K818:K826)</f>
        <v>44630000</v>
      </c>
      <c r="L817" s="1061" t="s">
        <v>1775</v>
      </c>
      <c r="M817" s="68">
        <f>'Bid 3b'!F821</f>
        <v>44630000</v>
      </c>
      <c r="N817" s="23">
        <f>K817-M817</f>
        <v>0</v>
      </c>
    </row>
    <row r="818" spans="1:14" x14ac:dyDescent="0.25">
      <c r="A818" s="1"/>
      <c r="B818" s="1"/>
      <c r="C818" s="1"/>
      <c r="D818" s="1">
        <v>5</v>
      </c>
      <c r="E818" s="1">
        <v>2</v>
      </c>
      <c r="F818" s="1"/>
      <c r="G818" s="1"/>
      <c r="H818" s="4" t="str">
        <f>'Bid 3b'!B802</f>
        <v>Belanja Barang Jasa</v>
      </c>
      <c r="I818" s="1"/>
      <c r="J818" s="1"/>
      <c r="K818" s="73"/>
      <c r="L818" s="1"/>
    </row>
    <row r="819" spans="1:14" ht="30" x14ac:dyDescent="0.25">
      <c r="A819" s="1"/>
      <c r="B819" s="1"/>
      <c r="C819" s="1"/>
      <c r="D819" s="1"/>
      <c r="E819" s="1"/>
      <c r="F819" s="1">
        <v>1</v>
      </c>
      <c r="G819" s="1"/>
      <c r="H819" s="4" t="str">
        <f>'Bid 3b'!B803</f>
        <v>Belanja Barang Perlengkapan</v>
      </c>
      <c r="I819" s="1"/>
      <c r="J819" s="1"/>
      <c r="K819" s="73"/>
      <c r="L819" s="1"/>
    </row>
    <row r="820" spans="1:14" ht="45" x14ac:dyDescent="0.25">
      <c r="A820" s="1"/>
      <c r="B820" s="1"/>
      <c r="C820" s="1"/>
      <c r="D820" s="1"/>
      <c r="E820" s="1"/>
      <c r="F820" s="1"/>
      <c r="G820" s="1489" t="s">
        <v>3391</v>
      </c>
      <c r="H820" s="4" t="str">
        <f>'Bid 3b'!B804</f>
        <v>Belanja Barang Perlengkapan Barang Konsumsi</v>
      </c>
      <c r="I820" s="1"/>
      <c r="J820" s="1"/>
      <c r="K820" s="73">
        <f>SUM('Bid 3b'!F805:F806)</f>
        <v>10280000</v>
      </c>
      <c r="L820" s="4" t="s">
        <v>1775</v>
      </c>
    </row>
    <row r="821" spans="1:14" ht="30" x14ac:dyDescent="0.25">
      <c r="A821" s="1"/>
      <c r="B821" s="1"/>
      <c r="C821" s="1"/>
      <c r="D821" s="1"/>
      <c r="E821" s="1"/>
      <c r="F821" s="1"/>
      <c r="G821" s="1489" t="s">
        <v>3392</v>
      </c>
      <c r="H821" s="1" t="str">
        <f>'Bid 3b'!B807</f>
        <v>Belanja Bahan Material</v>
      </c>
      <c r="I821" s="1"/>
      <c r="J821" s="1"/>
      <c r="K821" s="73">
        <f>SUM('Bid 3b'!F808:F809)</f>
        <v>8500000</v>
      </c>
      <c r="L821" s="4" t="s">
        <v>1775</v>
      </c>
    </row>
    <row r="822" spans="1:14" x14ac:dyDescent="0.25">
      <c r="A822" s="1"/>
      <c r="B822" s="1"/>
      <c r="C822" s="1"/>
      <c r="D822" s="1">
        <v>5</v>
      </c>
      <c r="E822" s="1">
        <v>2</v>
      </c>
      <c r="F822" s="1">
        <v>2</v>
      </c>
      <c r="G822" s="1"/>
      <c r="H822" s="4" t="str">
        <f>'Bid 3b'!B810</f>
        <v>Belanja Honorarium</v>
      </c>
      <c r="I822" s="1"/>
      <c r="J822" s="1"/>
      <c r="K822" s="73"/>
      <c r="L822" s="1"/>
    </row>
    <row r="823" spans="1:14" ht="60" x14ac:dyDescent="0.25">
      <c r="A823" s="1"/>
      <c r="B823" s="1"/>
      <c r="C823" s="1"/>
      <c r="D823" s="1"/>
      <c r="E823" s="1"/>
      <c r="F823" s="1"/>
      <c r="G823" s="1489" t="s">
        <v>3389</v>
      </c>
      <c r="H823" s="4" t="str">
        <f>'Bid 3b'!B811</f>
        <v>Belanja Jasa Honorarium Ahli Profesi/Konsultan/Narasumber</v>
      </c>
      <c r="I823" s="1"/>
      <c r="J823" s="1"/>
      <c r="K823" s="73">
        <f>SUM('Bid 3b'!F812:F813)</f>
        <v>23000000</v>
      </c>
      <c r="L823" s="4" t="s">
        <v>1775</v>
      </c>
    </row>
    <row r="824" spans="1:14" ht="45" x14ac:dyDescent="0.25">
      <c r="A824" s="1"/>
      <c r="B824" s="1"/>
      <c r="C824" s="1"/>
      <c r="D824" s="1"/>
      <c r="E824" s="1"/>
      <c r="F824" s="1"/>
      <c r="G824" s="1489" t="s">
        <v>3366</v>
      </c>
      <c r="H824" s="4" t="str">
        <f>'Bid 3b'!B814</f>
        <v>Belanja Jasa Honor Tim yang Melaksanakan Kegiatan</v>
      </c>
      <c r="I824" s="1"/>
      <c r="J824" s="1"/>
      <c r="K824" s="73">
        <f>SUM('Bid 3b'!F815:F817)</f>
        <v>1150000</v>
      </c>
      <c r="L824" s="4" t="s">
        <v>1775</v>
      </c>
    </row>
    <row r="825" spans="1:14" ht="45" x14ac:dyDescent="0.25">
      <c r="A825" s="1"/>
      <c r="B825" s="1"/>
      <c r="C825" s="1"/>
      <c r="D825" s="1">
        <v>5</v>
      </c>
      <c r="E825" s="1">
        <v>2</v>
      </c>
      <c r="F825" s="1">
        <v>7</v>
      </c>
      <c r="G825" s="1"/>
      <c r="H825" s="4" t="str">
        <f>'Bid 3b'!B818</f>
        <v>Belanja Barang dan Jasa yang Diserahkan Kepada Masyarakat</v>
      </c>
      <c r="I825" s="1"/>
      <c r="J825" s="1"/>
      <c r="K825" s="73"/>
      <c r="L825" s="1"/>
    </row>
    <row r="826" spans="1:14" ht="45" x14ac:dyDescent="0.25">
      <c r="A826" s="1"/>
      <c r="B826" s="1"/>
      <c r="C826" s="1"/>
      <c r="D826" s="1"/>
      <c r="E826" s="1"/>
      <c r="F826" s="1"/>
      <c r="G826" s="1">
        <v>91</v>
      </c>
      <c r="H826" s="4" t="str">
        <f>'Bid 3b'!B819</f>
        <v>Uang Saku Peserta Lomba ( 15or peserta , 2or Cadangan  x 2 Kl )</v>
      </c>
      <c r="I826" s="1"/>
      <c r="J826" s="1"/>
      <c r="K826" s="73">
        <f>'Bid 3b'!F819</f>
        <v>1700000</v>
      </c>
      <c r="L826" s="4" t="s">
        <v>1775</v>
      </c>
    </row>
    <row r="827" spans="1:14" ht="30" x14ac:dyDescent="0.25">
      <c r="A827" s="865">
        <v>3</v>
      </c>
      <c r="B827" s="865">
        <v>3</v>
      </c>
      <c r="C827" s="1490" t="s">
        <v>3391</v>
      </c>
      <c r="D827" s="865"/>
      <c r="E827" s="865"/>
      <c r="F827" s="865"/>
      <c r="G827" s="865"/>
      <c r="H827" s="1061" t="str">
        <f>'Bid 3b'!B836</f>
        <v>: Pembinaan Karang Taruna</v>
      </c>
      <c r="I827" s="865"/>
      <c r="J827" s="865"/>
      <c r="K827" s="1063">
        <f>SUM(K828:K834)</f>
        <v>20600000</v>
      </c>
      <c r="L827" s="865" t="s">
        <v>1220</v>
      </c>
    </row>
    <row r="828" spans="1:14" x14ac:dyDescent="0.25">
      <c r="A828" s="1"/>
      <c r="B828" s="1"/>
      <c r="C828" s="1"/>
      <c r="D828" s="1">
        <v>5</v>
      </c>
      <c r="E828" s="1">
        <v>2</v>
      </c>
      <c r="F828" s="1"/>
      <c r="G828" s="1"/>
      <c r="H828" s="4" t="str">
        <f>'Bid 3b'!B842</f>
        <v>Belanja Barang Jasa</v>
      </c>
      <c r="I828" s="1"/>
      <c r="J828" s="1"/>
      <c r="K828" s="73"/>
      <c r="L828" s="1"/>
    </row>
    <row r="829" spans="1:14" ht="30" x14ac:dyDescent="0.25">
      <c r="A829" s="1"/>
      <c r="B829" s="1"/>
      <c r="C829" s="1"/>
      <c r="D829" s="1"/>
      <c r="E829" s="1"/>
      <c r="F829" s="1">
        <v>1</v>
      </c>
      <c r="G829" s="1"/>
      <c r="H829" s="4" t="str">
        <f>'Bid 3b'!B843</f>
        <v>Belanja Barang Perlengkapan</v>
      </c>
      <c r="I829" s="1"/>
      <c r="J829" s="1"/>
      <c r="K829" s="73"/>
      <c r="L829" s="1"/>
    </row>
    <row r="830" spans="1:14" ht="30" x14ac:dyDescent="0.25">
      <c r="A830" s="1"/>
      <c r="B830" s="1"/>
      <c r="C830" s="1"/>
      <c r="D830" s="1"/>
      <c r="E830" s="1"/>
      <c r="F830" s="1"/>
      <c r="G830" s="1489" t="s">
        <v>3391</v>
      </c>
      <c r="H830" s="4" t="str">
        <f>'Bid 3b'!B844</f>
        <v>Belanja Perlengkapan Barang Konsumsi</v>
      </c>
      <c r="I830" s="1"/>
      <c r="J830" s="1"/>
      <c r="K830" s="73">
        <f>'Bid 3b'!F845+'Bid 3b'!F846</f>
        <v>11700000</v>
      </c>
      <c r="L830" s="1" t="s">
        <v>1220</v>
      </c>
    </row>
    <row r="831" spans="1:14" ht="30" x14ac:dyDescent="0.25">
      <c r="A831" s="1"/>
      <c r="B831" s="1"/>
      <c r="C831" s="1"/>
      <c r="D831" s="1"/>
      <c r="E831" s="1"/>
      <c r="F831" s="1"/>
      <c r="G831" s="1489" t="s">
        <v>3393</v>
      </c>
      <c r="H831" s="4" t="str">
        <f>'Bid 3b'!B847</f>
        <v>Belanja Bendera/ Umbul-umbul/ Spanduk</v>
      </c>
      <c r="I831" s="1"/>
      <c r="J831" s="1"/>
      <c r="K831" s="73">
        <f>'Bid 3b'!F848</f>
        <v>200000</v>
      </c>
      <c r="L831" s="1" t="s">
        <v>1220</v>
      </c>
    </row>
    <row r="832" spans="1:14" x14ac:dyDescent="0.25">
      <c r="A832" s="1"/>
      <c r="B832" s="1"/>
      <c r="C832" s="1"/>
      <c r="D832" s="1"/>
      <c r="E832" s="1"/>
      <c r="F832" s="1"/>
      <c r="G832" s="1489" t="s">
        <v>3394</v>
      </c>
      <c r="H832" s="1" t="str">
        <f>'Bid 3b'!B849</f>
        <v>Belanja Seragam</v>
      </c>
      <c r="I832" s="1"/>
      <c r="J832" s="1"/>
      <c r="K832" s="73">
        <f>'Bid 3b'!F850</f>
        <v>8400000</v>
      </c>
      <c r="L832" s="1" t="s">
        <v>1220</v>
      </c>
    </row>
    <row r="833" spans="1:13" x14ac:dyDescent="0.25">
      <c r="A833" s="1"/>
      <c r="B833" s="1"/>
      <c r="C833" s="1"/>
      <c r="D833" s="1">
        <v>5</v>
      </c>
      <c r="E833" s="1">
        <v>2</v>
      </c>
      <c r="F833" s="1">
        <v>2</v>
      </c>
      <c r="G833" s="1"/>
      <c r="H833" s="4" t="str">
        <f>'Bid 3b'!B851</f>
        <v>Belanja  Jasa Honorarium</v>
      </c>
      <c r="I833" s="1"/>
      <c r="J833" s="1"/>
      <c r="K833" s="73"/>
      <c r="L833" s="1"/>
    </row>
    <row r="834" spans="1:13" ht="30" x14ac:dyDescent="0.25">
      <c r="A834" s="1"/>
      <c r="B834" s="1"/>
      <c r="C834" s="1"/>
      <c r="D834" s="1"/>
      <c r="E834" s="1"/>
      <c r="F834" s="1"/>
      <c r="G834" s="1489" t="s">
        <v>3389</v>
      </c>
      <c r="H834" s="4" t="str">
        <f>'Bid 3b'!B852</f>
        <v>Belanja Jasa Honorarium Ahli/Profesi/Narasumber</v>
      </c>
      <c r="I834" s="1"/>
      <c r="J834" s="1"/>
      <c r="K834" s="73">
        <f>SUM('Bid 3b'!F853)</f>
        <v>300000</v>
      </c>
      <c r="L834" s="1" t="s">
        <v>1220</v>
      </c>
    </row>
    <row r="835" spans="1:13" ht="45" x14ac:dyDescent="0.25">
      <c r="A835" s="865">
        <v>3</v>
      </c>
      <c r="B835" s="865">
        <v>3</v>
      </c>
      <c r="C835" s="1490" t="s">
        <v>3391</v>
      </c>
      <c r="D835" s="865"/>
      <c r="E835" s="865"/>
      <c r="F835" s="865"/>
      <c r="G835" s="865"/>
      <c r="H835" s="1061" t="str">
        <f>'Bid 3b'!B868</f>
        <v>: Pembinaan Karang Taruna (Sosialisasi Pemuda Pelopor Desa)</v>
      </c>
      <c r="I835" s="865"/>
      <c r="J835" s="865"/>
      <c r="K835" s="1063">
        <f>SUM(K836:K842)</f>
        <v>9840000</v>
      </c>
      <c r="L835" s="865" t="s">
        <v>1220</v>
      </c>
    </row>
    <row r="836" spans="1:13" x14ac:dyDescent="0.25">
      <c r="A836" s="1"/>
      <c r="B836" s="1"/>
      <c r="C836" s="1"/>
      <c r="D836" s="1">
        <v>5</v>
      </c>
      <c r="E836" s="1">
        <v>2</v>
      </c>
      <c r="F836" s="1"/>
      <c r="G836" s="1"/>
      <c r="H836" s="4" t="str">
        <f>'Bid 3b'!B874</f>
        <v>Belanja Barang Jasa</v>
      </c>
      <c r="I836" s="1"/>
      <c r="J836" s="1"/>
      <c r="K836" s="73"/>
      <c r="L836" s="1"/>
    </row>
    <row r="837" spans="1:13" ht="30" x14ac:dyDescent="0.25">
      <c r="A837" s="1"/>
      <c r="B837" s="1"/>
      <c r="C837" s="1"/>
      <c r="D837" s="1"/>
      <c r="E837" s="1"/>
      <c r="F837" s="1">
        <v>1</v>
      </c>
      <c r="G837" s="1"/>
      <c r="H837" s="4" t="str">
        <f>'Bid 3b'!B875</f>
        <v>Belanja Barang Perlengkapan</v>
      </c>
      <c r="I837" s="1"/>
      <c r="J837" s="1"/>
      <c r="K837" s="73"/>
      <c r="L837" s="1"/>
    </row>
    <row r="838" spans="1:13" ht="30" x14ac:dyDescent="0.25">
      <c r="A838" s="1"/>
      <c r="B838" s="1"/>
      <c r="C838" s="1"/>
      <c r="D838" s="1"/>
      <c r="E838" s="1"/>
      <c r="F838" s="1"/>
      <c r="G838" s="1489" t="s">
        <v>3391</v>
      </c>
      <c r="H838" s="4" t="str">
        <f>'Bid 3b'!B876</f>
        <v>Belanja Perlengkapan Barang Konsumsi</v>
      </c>
      <c r="I838" s="1"/>
      <c r="J838" s="1"/>
      <c r="K838" s="73">
        <f>'Bid 3b'!F877</f>
        <v>940000</v>
      </c>
      <c r="L838" s="1" t="s">
        <v>1220</v>
      </c>
    </row>
    <row r="839" spans="1:13" ht="30" x14ac:dyDescent="0.25">
      <c r="A839" s="1"/>
      <c r="B839" s="1"/>
      <c r="C839" s="1"/>
      <c r="D839" s="1"/>
      <c r="E839" s="1"/>
      <c r="F839" s="1"/>
      <c r="G839" s="1489" t="s">
        <v>3393</v>
      </c>
      <c r="H839" s="4" t="str">
        <f>'Bid 3b'!B878</f>
        <v>Belanja Bendera/ Umbul-umbul/ Spanduk</v>
      </c>
      <c r="I839" s="1"/>
      <c r="J839" s="1"/>
      <c r="K839" s="73">
        <f>'Bid 3b'!F879</f>
        <v>200000</v>
      </c>
      <c r="L839" s="1" t="s">
        <v>1220</v>
      </c>
    </row>
    <row r="840" spans="1:13" x14ac:dyDescent="0.25">
      <c r="A840" s="1"/>
      <c r="B840" s="1"/>
      <c r="C840" s="1"/>
      <c r="D840" s="1"/>
      <c r="E840" s="1"/>
      <c r="F840" s="1"/>
      <c r="G840" s="1489" t="s">
        <v>3394</v>
      </c>
      <c r="H840" s="1" t="str">
        <f>'Bid 3b'!B880</f>
        <v>Belanja Seragam</v>
      </c>
      <c r="I840" s="1"/>
      <c r="J840" s="1"/>
      <c r="K840" s="73">
        <f>'Bid 3b'!F881</f>
        <v>8400000</v>
      </c>
      <c r="L840" s="1" t="s">
        <v>1220</v>
      </c>
    </row>
    <row r="841" spans="1:13" x14ac:dyDescent="0.25">
      <c r="A841" s="1"/>
      <c r="B841" s="1"/>
      <c r="C841" s="1"/>
      <c r="D841" s="1">
        <v>5</v>
      </c>
      <c r="E841" s="1">
        <v>2</v>
      </c>
      <c r="F841" s="1">
        <v>2</v>
      </c>
      <c r="G841" s="1"/>
      <c r="H841" s="4" t="str">
        <f>'Bid 3b'!B882</f>
        <v>Belanja  Jasa Honorarium</v>
      </c>
      <c r="I841" s="1"/>
      <c r="J841" s="1"/>
      <c r="K841" s="73"/>
      <c r="L841" s="1"/>
    </row>
    <row r="842" spans="1:13" ht="30" x14ac:dyDescent="0.25">
      <c r="A842" s="1"/>
      <c r="B842" s="1"/>
      <c r="C842" s="1"/>
      <c r="D842" s="1"/>
      <c r="E842" s="1"/>
      <c r="F842" s="1"/>
      <c r="G842" s="1489" t="s">
        <v>3389</v>
      </c>
      <c r="H842" s="4" t="str">
        <f>'Bid 3b'!B883</f>
        <v>Belanja Jasa Honorarium Ahli/Profesi/Narasumber</v>
      </c>
      <c r="I842" s="1"/>
      <c r="J842" s="1"/>
      <c r="K842" s="73">
        <f>SUM('Bid 3b'!F884)</f>
        <v>300000</v>
      </c>
      <c r="L842" s="1" t="s">
        <v>1220</v>
      </c>
    </row>
    <row r="843" spans="1:13" ht="45" x14ac:dyDescent="0.25">
      <c r="A843" s="865">
        <v>3</v>
      </c>
      <c r="B843" s="865">
        <v>3</v>
      </c>
      <c r="C843" s="865">
        <v>90</v>
      </c>
      <c r="D843" s="865"/>
      <c r="E843" s="865"/>
      <c r="F843" s="865"/>
      <c r="G843" s="865"/>
      <c r="H843" s="1061" t="str">
        <f>'Bid 3b'!B897</f>
        <v>: Penunjang Kegiatan Ekonomi Produktif untuk Sekeha Teruna (BKK Kota)</v>
      </c>
      <c r="I843" s="865"/>
      <c r="J843" s="865"/>
      <c r="K843" s="1063">
        <f>K846</f>
        <v>420000000</v>
      </c>
      <c r="L843" s="1061" t="s">
        <v>1365</v>
      </c>
      <c r="M843" s="68">
        <f>'Bid 3b'!F907</f>
        <v>420000000</v>
      </c>
    </row>
    <row r="844" spans="1:13" x14ac:dyDescent="0.25">
      <c r="A844" s="1"/>
      <c r="B844" s="1"/>
      <c r="C844" s="1"/>
      <c r="D844" s="1">
        <v>5</v>
      </c>
      <c r="E844" s="1">
        <v>2</v>
      </c>
      <c r="F844" s="1"/>
      <c r="G844" s="1"/>
      <c r="H844" s="4" t="str">
        <f>'Bid 3b'!B902</f>
        <v>Belanja Barang dan Jasa</v>
      </c>
      <c r="I844" s="1"/>
      <c r="J844" s="1"/>
      <c r="K844" s="73"/>
      <c r="L844" s="1"/>
    </row>
    <row r="845" spans="1:13" ht="45" x14ac:dyDescent="0.25">
      <c r="A845" s="1"/>
      <c r="B845" s="1"/>
      <c r="C845" s="1"/>
      <c r="D845" s="1"/>
      <c r="E845" s="1"/>
      <c r="F845" s="1">
        <v>7</v>
      </c>
      <c r="G845" s="1"/>
      <c r="H845" s="4" t="str">
        <f>'Bid 3b'!B903</f>
        <v>Belanja Barang dan Jasa yang Diserahkan Kepada Masyarakat</v>
      </c>
      <c r="I845" s="1"/>
      <c r="J845" s="1"/>
      <c r="K845" s="73"/>
      <c r="L845" s="1"/>
    </row>
    <row r="846" spans="1:13" ht="30" x14ac:dyDescent="0.25">
      <c r="A846" s="1"/>
      <c r="B846" s="1"/>
      <c r="C846" s="1"/>
      <c r="D846" s="1"/>
      <c r="E846" s="1"/>
      <c r="F846" s="1"/>
      <c r="G846" s="1489" t="s">
        <v>3366</v>
      </c>
      <c r="H846" s="4" t="str">
        <f>'Bid 3b'!B904</f>
        <v>Belanaja Barang  Yang Diserahkan</v>
      </c>
      <c r="I846" s="1"/>
      <c r="J846" s="1"/>
      <c r="K846" s="73">
        <f>'Bid 3b'!F905</f>
        <v>420000000</v>
      </c>
      <c r="L846" s="4" t="s">
        <v>1365</v>
      </c>
    </row>
    <row r="847" spans="1:13" ht="30" x14ac:dyDescent="0.25">
      <c r="A847" s="865">
        <v>3</v>
      </c>
      <c r="B847" s="865">
        <v>4</v>
      </c>
      <c r="C847" s="865"/>
      <c r="D847" s="865"/>
      <c r="E847" s="865"/>
      <c r="F847" s="865"/>
      <c r="G847" s="1490"/>
      <c r="H847" s="1061" t="s">
        <v>3425</v>
      </c>
      <c r="I847" s="865"/>
      <c r="J847" s="865"/>
      <c r="K847" s="1063"/>
      <c r="L847" s="1061"/>
    </row>
    <row r="848" spans="1:13" ht="60" x14ac:dyDescent="0.25">
      <c r="A848" s="865">
        <v>3</v>
      </c>
      <c r="B848" s="865">
        <v>4</v>
      </c>
      <c r="C848" s="1490" t="s">
        <v>3386</v>
      </c>
      <c r="D848" s="865"/>
      <c r="E848" s="865"/>
      <c r="F848" s="865"/>
      <c r="G848" s="865"/>
      <c r="H848" s="1061" t="str">
        <f>'Bid 3b'!B921</f>
        <v>: Pelatihan Pembinaan Lembaga Kemasyarakatan (Bulan bakti Gotong royong LPM)</v>
      </c>
      <c r="I848" s="865"/>
      <c r="J848" s="865"/>
      <c r="K848" s="1063">
        <f>SUM(K849:K856)</f>
        <v>31775000</v>
      </c>
      <c r="L848" s="865" t="s">
        <v>1506</v>
      </c>
      <c r="M848" s="68">
        <f>'Bid 3b'!F1075</f>
        <v>121004000</v>
      </c>
    </row>
    <row r="849" spans="1:12" x14ac:dyDescent="0.25">
      <c r="A849" s="1"/>
      <c r="B849" s="1"/>
      <c r="C849" s="1"/>
      <c r="D849" s="1">
        <v>5</v>
      </c>
      <c r="E849" s="1">
        <v>2</v>
      </c>
      <c r="F849" s="1"/>
      <c r="G849" s="1"/>
      <c r="H849" s="4" t="str">
        <f>'Bid 3b'!B927</f>
        <v>Belanja Barang  Dan Jasa</v>
      </c>
      <c r="I849" s="1"/>
      <c r="J849" s="1"/>
      <c r="K849" s="73"/>
      <c r="L849" s="1"/>
    </row>
    <row r="850" spans="1:12" ht="30" x14ac:dyDescent="0.25">
      <c r="A850" s="1"/>
      <c r="B850" s="1"/>
      <c r="C850" s="1"/>
      <c r="D850" s="1"/>
      <c r="E850" s="1"/>
      <c r="F850" s="1">
        <v>1</v>
      </c>
      <c r="G850" s="1"/>
      <c r="H850" s="4" t="str">
        <f>'Bid 3b'!B928</f>
        <v>Belanja Barang Perlengkapan</v>
      </c>
      <c r="I850" s="1"/>
      <c r="J850" s="1"/>
      <c r="K850" s="73"/>
      <c r="L850" s="1"/>
    </row>
    <row r="851" spans="1:12" ht="30" x14ac:dyDescent="0.25">
      <c r="A851" s="1"/>
      <c r="B851" s="1"/>
      <c r="C851" s="1"/>
      <c r="D851" s="1"/>
      <c r="E851" s="1"/>
      <c r="F851" s="1"/>
      <c r="G851" s="1489" t="s">
        <v>3391</v>
      </c>
      <c r="H851" s="4" t="str">
        <f>'Bid 3b'!B929</f>
        <v>Belanja Perlengkapan Barang Konsumsi</v>
      </c>
      <c r="I851" s="1"/>
      <c r="J851" s="1"/>
      <c r="K851" s="73">
        <f>'Bid 3b'!F930+'Bid 3b'!F931</f>
        <v>7200000</v>
      </c>
      <c r="L851" s="1" t="s">
        <v>1506</v>
      </c>
    </row>
    <row r="852" spans="1:12" ht="30" x14ac:dyDescent="0.25">
      <c r="A852" s="1"/>
      <c r="B852" s="1"/>
      <c r="C852" s="1"/>
      <c r="D852" s="1"/>
      <c r="E852" s="1"/>
      <c r="F852" s="1"/>
      <c r="G852" s="1489" t="s">
        <v>3393</v>
      </c>
      <c r="H852" s="4" t="str">
        <f>'Bid 3b'!B968</f>
        <v>Belanja Bendera/ Umbul-umbul/ Spanduk</v>
      </c>
      <c r="I852" s="1"/>
      <c r="J852" s="1"/>
      <c r="K852" s="73">
        <f>'Bid 3b'!F933</f>
        <v>90000</v>
      </c>
      <c r="L852" s="1" t="s">
        <v>1506</v>
      </c>
    </row>
    <row r="853" spans="1:12" ht="30" x14ac:dyDescent="0.25">
      <c r="A853" s="1"/>
      <c r="B853" s="1"/>
      <c r="C853" s="1"/>
      <c r="D853" s="1"/>
      <c r="E853" s="1"/>
      <c r="F853" s="1"/>
      <c r="G853" s="1489"/>
      <c r="H853" s="4" t="str">
        <f>'Bid 3b'!B934</f>
        <v>Belanja Pakaian Dinas Seragam Dan Atribut</v>
      </c>
      <c r="I853" s="1"/>
      <c r="J853" s="1"/>
      <c r="K853" s="73">
        <f>'Bid 3b'!F935</f>
        <v>10200000</v>
      </c>
      <c r="L853" s="1"/>
    </row>
    <row r="854" spans="1:12" ht="30" x14ac:dyDescent="0.25">
      <c r="A854" s="1"/>
      <c r="B854" s="1"/>
      <c r="C854" s="1"/>
      <c r="D854" s="1"/>
      <c r="E854" s="1"/>
      <c r="F854" s="1"/>
      <c r="G854" s="1">
        <v>90</v>
      </c>
      <c r="H854" s="4" t="str">
        <f>'Bid 3b'!B936</f>
        <v>Belanja Upakara, Upacara Dan Aci</v>
      </c>
      <c r="I854" s="1"/>
      <c r="J854" s="1"/>
      <c r="K854" s="73">
        <f>SUM('Bid 3b'!F937+'Bid 3b'!F938+'Bid 3b'!F939)</f>
        <v>285000</v>
      </c>
      <c r="L854" s="1" t="s">
        <v>1506</v>
      </c>
    </row>
    <row r="855" spans="1:12" ht="45.75" customHeight="1" x14ac:dyDescent="0.25">
      <c r="A855" s="1"/>
      <c r="B855" s="1"/>
      <c r="C855" s="1"/>
      <c r="D855" s="1">
        <v>5</v>
      </c>
      <c r="E855" s="1">
        <v>2</v>
      </c>
      <c r="F855" s="1">
        <v>7</v>
      </c>
      <c r="G855" s="1"/>
      <c r="H855" s="4" t="str">
        <f>'Bid 3b'!B940</f>
        <v>Belanja Bahan Perlengkapan Yang Diserahkan Ke Masyarakat</v>
      </c>
      <c r="I855" s="1"/>
      <c r="J855" s="1"/>
      <c r="K855" s="73"/>
      <c r="L855" s="1"/>
    </row>
    <row r="856" spans="1:12" ht="60" x14ac:dyDescent="0.25">
      <c r="A856" s="1"/>
      <c r="B856" s="1"/>
      <c r="C856" s="1"/>
      <c r="D856" s="1"/>
      <c r="E856" s="1"/>
      <c r="F856" s="1"/>
      <c r="G856" s="1489" t="s">
        <v>3366</v>
      </c>
      <c r="H856" s="4" t="str">
        <f>'Bid 3b'!B941</f>
        <v>Belanja Bahan Perlengkapan Yang Diserahkan Ke Masyarakat</v>
      </c>
      <c r="I856" s="1"/>
      <c r="J856" s="1"/>
      <c r="K856" s="73">
        <f>'Bid 3b'!F942</f>
        <v>14000000</v>
      </c>
      <c r="L856" s="1" t="s">
        <v>1506</v>
      </c>
    </row>
    <row r="857" spans="1:12" ht="45" x14ac:dyDescent="0.25">
      <c r="A857" s="865">
        <v>3</v>
      </c>
      <c r="B857" s="865">
        <v>4</v>
      </c>
      <c r="C857" s="1490" t="s">
        <v>3386</v>
      </c>
      <c r="D857" s="865"/>
      <c r="E857" s="865"/>
      <c r="F857" s="865"/>
      <c r="G857" s="865"/>
      <c r="H857" s="1061" t="str">
        <f>'Bid 3b'!B1088</f>
        <v>: Pembinaan LKMD / LPM / LPMD (Pelatihan LPM)</v>
      </c>
      <c r="I857" s="865"/>
      <c r="J857" s="865"/>
      <c r="K857" s="1063">
        <f>SUM(K858:K866)</f>
        <v>11598584.66</v>
      </c>
      <c r="L857" s="1061" t="s">
        <v>3297</v>
      </c>
    </row>
    <row r="858" spans="1:12" x14ac:dyDescent="0.25">
      <c r="A858" s="1"/>
      <c r="B858" s="1"/>
      <c r="C858" s="1"/>
      <c r="D858" s="1">
        <v>5</v>
      </c>
      <c r="E858" s="1">
        <v>2</v>
      </c>
      <c r="F858" s="1"/>
      <c r="G858" s="1"/>
      <c r="H858" s="1" t="str">
        <f>'Bid 3b'!B1094</f>
        <v>Belanja Barang Dan Jasa</v>
      </c>
      <c r="I858" s="1"/>
      <c r="J858" s="1"/>
      <c r="K858" s="73"/>
      <c r="L858" s="1"/>
    </row>
    <row r="859" spans="1:12" ht="30" x14ac:dyDescent="0.25">
      <c r="A859" s="1"/>
      <c r="B859" s="1"/>
      <c r="C859" s="1"/>
      <c r="D859" s="1"/>
      <c r="E859" s="1"/>
      <c r="F859" s="1">
        <v>1</v>
      </c>
      <c r="G859" s="1"/>
      <c r="H859" s="4" t="str">
        <f>'Bid 3b'!B1095</f>
        <v>Belanja Barang Perlengkapan</v>
      </c>
      <c r="I859" s="1"/>
      <c r="J859" s="1"/>
      <c r="K859" s="73"/>
      <c r="L859" s="1"/>
    </row>
    <row r="860" spans="1:12" ht="45" x14ac:dyDescent="0.25">
      <c r="A860" s="1"/>
      <c r="B860" s="1"/>
      <c r="C860" s="1"/>
      <c r="D860" s="1"/>
      <c r="E860" s="1"/>
      <c r="F860" s="1"/>
      <c r="G860" s="1489" t="s">
        <v>3366</v>
      </c>
      <c r="H860" s="4" t="str">
        <f>'Bid 3b'!B1096</f>
        <v>Belanja Perlengkapam Alat Tulis</v>
      </c>
      <c r="I860" s="1"/>
      <c r="J860" s="1"/>
      <c r="K860" s="73">
        <f>'Bid 3b'!F1097</f>
        <v>140000</v>
      </c>
      <c r="L860" s="4" t="s">
        <v>3297</v>
      </c>
    </row>
    <row r="861" spans="1:12" ht="45" x14ac:dyDescent="0.25">
      <c r="A861" s="1"/>
      <c r="B861" s="1"/>
      <c r="C861" s="1"/>
      <c r="D861" s="1"/>
      <c r="E861" s="1"/>
      <c r="F861" s="1"/>
      <c r="G861" s="1489" t="s">
        <v>3391</v>
      </c>
      <c r="H861" s="4" t="str">
        <f>'Bid 3b'!B1098</f>
        <v>Belanja Perlengkapan Barang Konsumsi</v>
      </c>
      <c r="I861" s="1"/>
      <c r="J861" s="1"/>
      <c r="K861" s="73">
        <f>SUM('Bid 3b'!F1099:F1100)</f>
        <v>5400000</v>
      </c>
      <c r="L861" s="4" t="s">
        <v>3297</v>
      </c>
    </row>
    <row r="862" spans="1:12" ht="45" x14ac:dyDescent="0.25">
      <c r="A862" s="1"/>
      <c r="B862" s="1"/>
      <c r="C862" s="1"/>
      <c r="D862" s="1"/>
      <c r="E862" s="1"/>
      <c r="F862" s="1"/>
      <c r="G862" s="1489" t="s">
        <v>3393</v>
      </c>
      <c r="H862" s="4" t="str">
        <f>'Bid 3b'!B1101</f>
        <v>Belanja Bendera/ Umbul-umbul/ Spanduk</v>
      </c>
      <c r="I862" s="1"/>
      <c r="J862" s="1"/>
      <c r="K862" s="73">
        <f>'Bid 3b'!F1102</f>
        <v>123584.66</v>
      </c>
      <c r="L862" s="4" t="s">
        <v>3297</v>
      </c>
    </row>
    <row r="863" spans="1:12" ht="45" x14ac:dyDescent="0.25">
      <c r="A863" s="1"/>
      <c r="B863" s="1"/>
      <c r="C863" s="1"/>
      <c r="D863" s="1"/>
      <c r="E863" s="1"/>
      <c r="F863" s="1"/>
      <c r="G863" s="1489" t="s">
        <v>3394</v>
      </c>
      <c r="H863" s="4" t="str">
        <f>'Bid 3b'!B1103</f>
        <v xml:space="preserve">Belanja Pakaian Dinas/Seragam/Atribut
</v>
      </c>
      <c r="I863" s="1"/>
      <c r="J863" s="1"/>
      <c r="K863" s="73">
        <f>'Bid 3b'!F1104</f>
        <v>5270000</v>
      </c>
      <c r="L863" s="4" t="s">
        <v>3297</v>
      </c>
    </row>
    <row r="864" spans="1:12" ht="45" x14ac:dyDescent="0.25">
      <c r="A864" s="1"/>
      <c r="B864" s="1"/>
      <c r="C864" s="1"/>
      <c r="D864" s="1"/>
      <c r="E864" s="1"/>
      <c r="F864" s="1"/>
      <c r="G864" s="1">
        <v>90</v>
      </c>
      <c r="H864" s="4" t="str">
        <f>'Bid 3b'!B1106</f>
        <v>Belanja Upakara, Upacara Dan Aci</v>
      </c>
      <c r="I864" s="1"/>
      <c r="J864" s="1"/>
      <c r="K864" s="73">
        <f>SUM('Bid 3b'!F1107:F1109)</f>
        <v>65000</v>
      </c>
      <c r="L864" s="4" t="s">
        <v>3297</v>
      </c>
    </row>
    <row r="865" spans="1:13" x14ac:dyDescent="0.25">
      <c r="A865" s="1"/>
      <c r="B865" s="1"/>
      <c r="C865" s="1"/>
      <c r="D865" s="1">
        <v>5</v>
      </c>
      <c r="E865" s="1">
        <v>2</v>
      </c>
      <c r="F865" s="1">
        <v>2</v>
      </c>
      <c r="G865" s="1"/>
      <c r="H865" s="4" t="str">
        <f>'Bid 3b'!B1110</f>
        <v>Belanja Honorarium</v>
      </c>
      <c r="I865" s="1"/>
      <c r="J865" s="1"/>
      <c r="K865" s="73"/>
      <c r="L865" s="1"/>
    </row>
    <row r="866" spans="1:13" ht="45" x14ac:dyDescent="0.25">
      <c r="A866" s="1"/>
      <c r="B866" s="1"/>
      <c r="C866" s="1"/>
      <c r="D866" s="1"/>
      <c r="E866" s="1"/>
      <c r="F866" s="1"/>
      <c r="G866" s="1489" t="s">
        <v>3389</v>
      </c>
      <c r="H866" s="4" t="str">
        <f>'Bid 3b'!B1111</f>
        <v>Belanja Jasa Honorarium Ahli/Profesi/Konsultan/ Narasumber</v>
      </c>
      <c r="I866" s="1"/>
      <c r="J866" s="1"/>
      <c r="K866" s="73">
        <f>SUM('Bid 3b'!F1112)</f>
        <v>600000</v>
      </c>
      <c r="L866" s="4" t="s">
        <v>3297</v>
      </c>
    </row>
    <row r="867" spans="1:13" ht="45" x14ac:dyDescent="0.25">
      <c r="A867" s="865">
        <v>3</v>
      </c>
      <c r="B867" s="865">
        <v>4</v>
      </c>
      <c r="C867" s="1490" t="s">
        <v>3389</v>
      </c>
      <c r="D867" s="865"/>
      <c r="E867" s="865"/>
      <c r="F867" s="865"/>
      <c r="G867" s="865"/>
      <c r="H867" s="1061" t="str">
        <f>'Bid 3b'!B1127</f>
        <v>: Pembinaan PKK  ( Pembinaan Administrasi dan Pokja PKK Desa  )</v>
      </c>
      <c r="I867" s="865"/>
      <c r="J867" s="865"/>
      <c r="K867" s="1063">
        <f>SUM(K868:K878)</f>
        <v>68435000</v>
      </c>
      <c r="L867" s="865"/>
      <c r="M867" s="68">
        <f>'Bid 3b'!F1152</f>
        <v>68435000</v>
      </c>
    </row>
    <row r="868" spans="1:13" x14ac:dyDescent="0.25">
      <c r="A868" s="1"/>
      <c r="B868" s="1"/>
      <c r="C868" s="1"/>
      <c r="D868" s="1">
        <v>5</v>
      </c>
      <c r="E868" s="1">
        <v>2</v>
      </c>
      <c r="F868" s="1"/>
      <c r="G868" s="1"/>
      <c r="H868" s="4" t="str">
        <f>'Bid 3b'!B1132</f>
        <v>Belanja Barang Jasa</v>
      </c>
      <c r="I868" s="1"/>
      <c r="J868" s="1"/>
      <c r="K868" s="73"/>
      <c r="L868" s="1"/>
    </row>
    <row r="869" spans="1:13" ht="30" x14ac:dyDescent="0.25">
      <c r="A869" s="1"/>
      <c r="B869" s="1"/>
      <c r="C869" s="1"/>
      <c r="D869" s="1"/>
      <c r="E869" s="1"/>
      <c r="F869" s="1">
        <v>1</v>
      </c>
      <c r="G869" s="1"/>
      <c r="H869" s="4" t="str">
        <f>'Bid 3b'!B1133</f>
        <v>Belanja Barang Perlengkapan</v>
      </c>
      <c r="I869" s="1"/>
      <c r="J869" s="1"/>
      <c r="K869" s="73"/>
      <c r="L869" s="1"/>
    </row>
    <row r="870" spans="1:13" ht="30" x14ac:dyDescent="0.25">
      <c r="A870" s="1"/>
      <c r="B870" s="1"/>
      <c r="C870" s="1"/>
      <c r="D870" s="1"/>
      <c r="E870" s="1"/>
      <c r="F870" s="1"/>
      <c r="G870" s="1489" t="s">
        <v>3366</v>
      </c>
      <c r="H870" s="4" t="str">
        <f>'Bid 3b'!B1134</f>
        <v>Belanja Alat Tulis Kantor dan Benda Pos</v>
      </c>
      <c r="I870" s="1"/>
      <c r="J870" s="1"/>
      <c r="K870" s="73">
        <f>SUM('Bid 3b'!F1135:F1137)</f>
        <v>1750000</v>
      </c>
      <c r="L870" s="1" t="s">
        <v>1220</v>
      </c>
    </row>
    <row r="871" spans="1:13" ht="30" x14ac:dyDescent="0.25">
      <c r="A871" s="1"/>
      <c r="B871" s="1"/>
      <c r="C871" s="1"/>
      <c r="D871" s="1"/>
      <c r="E871" s="1"/>
      <c r="F871" s="1"/>
      <c r="G871" s="1489" t="s">
        <v>3391</v>
      </c>
      <c r="H871" s="4" t="str">
        <f>'Bid 3b'!B1138</f>
        <v>Belanja Perlengkapan Barang Konsumsi</v>
      </c>
      <c r="I871" s="1"/>
      <c r="J871" s="1"/>
      <c r="K871" s="73">
        <f>'Bid 3b'!F1139</f>
        <v>800000</v>
      </c>
      <c r="L871" s="1" t="s">
        <v>1220</v>
      </c>
    </row>
    <row r="872" spans="1:13" ht="27" customHeight="1" x14ac:dyDescent="0.25">
      <c r="A872" s="1"/>
      <c r="B872" s="1"/>
      <c r="C872" s="1"/>
      <c r="D872" s="1"/>
      <c r="E872" s="1"/>
      <c r="F872" s="1"/>
      <c r="G872" s="1489" t="s">
        <v>3391</v>
      </c>
      <c r="H872" s="4" t="str">
        <f>'Bid 3b'!B1138</f>
        <v>Belanja Perlengkapan Barang Konsumsi</v>
      </c>
      <c r="I872" s="1"/>
      <c r="J872" s="1"/>
      <c r="K872" s="73">
        <f>'Bid 3b'!F1140</f>
        <v>9600000</v>
      </c>
      <c r="L872" s="4" t="s">
        <v>3297</v>
      </c>
    </row>
    <row r="873" spans="1:13" ht="30" x14ac:dyDescent="0.25">
      <c r="A873" s="1"/>
      <c r="B873" s="1"/>
      <c r="C873" s="1"/>
      <c r="D873" s="1"/>
      <c r="E873" s="1"/>
      <c r="F873" s="1"/>
      <c r="G873" s="1489" t="s">
        <v>3393</v>
      </c>
      <c r="H873" s="4" t="str">
        <f>'Bid 3b'!B1141</f>
        <v>Belanja Bendera/ Umbul-umbul/ Spanduk</v>
      </c>
      <c r="I873" s="1"/>
      <c r="J873" s="1"/>
      <c r="K873" s="73">
        <f>SUM('Bid 3b'!F1142)</f>
        <v>90000</v>
      </c>
      <c r="L873" s="1" t="s">
        <v>1220</v>
      </c>
    </row>
    <row r="874" spans="1:13" ht="30" x14ac:dyDescent="0.25">
      <c r="A874" s="1"/>
      <c r="B874" s="1"/>
      <c r="C874" s="1"/>
      <c r="D874" s="1"/>
      <c r="E874" s="1"/>
      <c r="F874" s="1"/>
      <c r="G874" s="1489" t="s">
        <v>3394</v>
      </c>
      <c r="H874" s="4" t="str">
        <f>'Bid 3b'!B1143</f>
        <v>Belanja Pakaian Dinas / Seragam/ Atribut</v>
      </c>
      <c r="I874" s="1"/>
      <c r="J874" s="1"/>
      <c r="K874" s="73">
        <f>SUM('Bid 3b'!F1144)</f>
        <v>35595000</v>
      </c>
      <c r="L874" s="1" t="s">
        <v>1220</v>
      </c>
    </row>
    <row r="875" spans="1:13" x14ac:dyDescent="0.25">
      <c r="A875" s="1"/>
      <c r="B875" s="1"/>
      <c r="C875" s="1"/>
      <c r="D875" s="1">
        <v>5</v>
      </c>
      <c r="E875" s="1">
        <v>2</v>
      </c>
      <c r="F875" s="1">
        <v>2</v>
      </c>
      <c r="G875" s="1"/>
      <c r="H875" s="4" t="str">
        <f>'Bid 3b'!B1145</f>
        <v>Belanja  Jasa Honorarium</v>
      </c>
      <c r="I875" s="1"/>
      <c r="J875" s="1"/>
      <c r="K875" s="73"/>
      <c r="L875" s="1"/>
    </row>
    <row r="876" spans="1:13" ht="45" x14ac:dyDescent="0.25">
      <c r="A876" s="1"/>
      <c r="B876" s="1"/>
      <c r="C876" s="1"/>
      <c r="D876" s="1"/>
      <c r="E876" s="1"/>
      <c r="F876" s="1"/>
      <c r="G876" s="1489" t="s">
        <v>3390</v>
      </c>
      <c r="H876" s="4" t="str">
        <f>'Bid 3b'!B1146</f>
        <v>Belanja Jasa Honorarium Ahli/ Profesi/Konsultan/ Narasumber</v>
      </c>
      <c r="I876" s="1"/>
      <c r="J876" s="1"/>
      <c r="K876" s="73">
        <f>SUM('Bid 3b'!F1147)</f>
        <v>600000</v>
      </c>
      <c r="L876" s="1" t="s">
        <v>1220</v>
      </c>
    </row>
    <row r="877" spans="1:13" x14ac:dyDescent="0.25">
      <c r="A877" s="1"/>
      <c r="B877" s="1"/>
      <c r="C877" s="1"/>
      <c r="D877" s="1">
        <v>5</v>
      </c>
      <c r="E877" s="1">
        <v>2</v>
      </c>
      <c r="F877" s="1">
        <v>4</v>
      </c>
      <c r="G877" s="1"/>
      <c r="H877" s="4" t="str">
        <f>'Bid 3b'!B1149</f>
        <v>Belanja Jasa Sewa</v>
      </c>
      <c r="I877" s="1"/>
      <c r="J877" s="1"/>
      <c r="K877" s="73"/>
      <c r="L877" s="1"/>
    </row>
    <row r="878" spans="1:13" ht="30" x14ac:dyDescent="0.25">
      <c r="A878" s="1"/>
      <c r="B878" s="1"/>
      <c r="C878" s="1"/>
      <c r="D878" s="1"/>
      <c r="E878" s="1"/>
      <c r="F878" s="1"/>
      <c r="G878" s="1489" t="s">
        <v>3388</v>
      </c>
      <c r="H878" s="4" t="str">
        <f>'Bid 3b'!B1150</f>
        <v>Belanja Jasa Sewa Mobiltas dan Akomodasi</v>
      </c>
      <c r="I878" s="1"/>
      <c r="J878" s="1"/>
      <c r="K878" s="73">
        <f>'Bid 3b'!F1151</f>
        <v>20000000</v>
      </c>
      <c r="L878" s="1" t="s">
        <v>1223</v>
      </c>
    </row>
    <row r="879" spans="1:13" ht="45" x14ac:dyDescent="0.25">
      <c r="A879" s="865">
        <v>3</v>
      </c>
      <c r="B879" s="865">
        <v>4</v>
      </c>
      <c r="C879" s="1490" t="s">
        <v>3389</v>
      </c>
      <c r="D879" s="865"/>
      <c r="E879" s="865"/>
      <c r="F879" s="865"/>
      <c r="G879" s="865"/>
      <c r="H879" s="1061" t="str">
        <f>'Bid 3b'!B1167</f>
        <v>:Pelatihan Pembinaan Lembaga Kemasyarakatan (Input data  Dasawisma)</v>
      </c>
      <c r="I879" s="865"/>
      <c r="J879" s="865"/>
      <c r="K879" s="1063">
        <f>SUM(K880:K889)</f>
        <v>11628000</v>
      </c>
      <c r="L879" s="1061"/>
      <c r="M879" s="68">
        <f>'Bid 3b'!F1195</f>
        <v>11628000</v>
      </c>
    </row>
    <row r="880" spans="1:13" x14ac:dyDescent="0.25">
      <c r="A880" s="1"/>
      <c r="B880" s="1"/>
      <c r="C880" s="1"/>
      <c r="D880" s="1">
        <v>5</v>
      </c>
      <c r="E880" s="1">
        <v>2</v>
      </c>
      <c r="F880" s="1"/>
      <c r="G880" s="1"/>
      <c r="H880" s="4" t="str">
        <f>'Bid 3b'!B1172</f>
        <v>Belanja Barang Jasa</v>
      </c>
      <c r="I880" s="1"/>
      <c r="J880" s="1"/>
      <c r="K880" s="73"/>
      <c r="L880" s="1"/>
    </row>
    <row r="881" spans="1:13" ht="30" x14ac:dyDescent="0.25">
      <c r="A881" s="1"/>
      <c r="B881" s="1"/>
      <c r="C881" s="1"/>
      <c r="D881" s="1"/>
      <c r="E881" s="1"/>
      <c r="F881" s="1">
        <v>1</v>
      </c>
      <c r="G881" s="1"/>
      <c r="H881" s="4" t="str">
        <f>'Bid 3b'!B1173</f>
        <v>Belanja Barang Perlengkapan</v>
      </c>
      <c r="I881" s="1"/>
      <c r="J881" s="1"/>
      <c r="K881" s="73"/>
      <c r="L881" s="1"/>
    </row>
    <row r="882" spans="1:13" ht="45" x14ac:dyDescent="0.25">
      <c r="A882" s="1"/>
      <c r="B882" s="1"/>
      <c r="C882" s="1"/>
      <c r="D882" s="1"/>
      <c r="E882" s="1"/>
      <c r="F882" s="1"/>
      <c r="G882" s="1489" t="s">
        <v>3366</v>
      </c>
      <c r="H882" s="4" t="str">
        <f>'Bid 3b'!B1174</f>
        <v>Belanja Perlengkapan Alat Tulis Kantor dan Benda Pos</v>
      </c>
      <c r="I882" s="1"/>
      <c r="J882" s="1"/>
      <c r="K882" s="73">
        <f>SUM('Bid 3b'!F1175+'Bid 3b'!F1176+'Bid 3b'!F1177)</f>
        <v>714000</v>
      </c>
      <c r="L882" s="4" t="s">
        <v>3297</v>
      </c>
    </row>
    <row r="883" spans="1:13" ht="30" x14ac:dyDescent="0.25">
      <c r="A883" s="1"/>
      <c r="B883" s="1"/>
      <c r="C883" s="1"/>
      <c r="D883" s="1"/>
      <c r="E883" s="1"/>
      <c r="F883" s="1"/>
      <c r="G883" s="1489" t="s">
        <v>3390</v>
      </c>
      <c r="H883" s="4" t="str">
        <f>'Bid 3b'!B1178</f>
        <v>Belanja Perlengkapan Cetak</v>
      </c>
      <c r="I883" s="1"/>
      <c r="J883" s="1"/>
      <c r="K883" s="73">
        <f>'Bid 3b'!F1179+'Bid 3b'!F1180</f>
        <v>4144000</v>
      </c>
      <c r="L883" s="4" t="s">
        <v>1775</v>
      </c>
    </row>
    <row r="884" spans="1:13" ht="45" x14ac:dyDescent="0.25">
      <c r="A884" s="1"/>
      <c r="B884" s="1"/>
      <c r="C884" s="1"/>
      <c r="D884" s="1"/>
      <c r="E884" s="1"/>
      <c r="F884" s="1"/>
      <c r="G884" s="1489" t="s">
        <v>3391</v>
      </c>
      <c r="H884" s="4" t="str">
        <f>'Bid 3b'!B1181</f>
        <v>Belanja Perlengkapan Barang Konsumsi</v>
      </c>
      <c r="I884" s="1"/>
      <c r="J884" s="1"/>
      <c r="K884" s="73">
        <f>SUM('Bid 3b'!F1182)</f>
        <v>420000</v>
      </c>
      <c r="L884" s="4" t="s">
        <v>3297</v>
      </c>
    </row>
    <row r="885" spans="1:13" ht="45" x14ac:dyDescent="0.25">
      <c r="A885" s="1"/>
      <c r="B885" s="1"/>
      <c r="C885" s="1"/>
      <c r="D885" s="1"/>
      <c r="E885" s="1"/>
      <c r="F885" s="1"/>
      <c r="G885" s="1489" t="s">
        <v>3393</v>
      </c>
      <c r="H885" s="4" t="str">
        <f>'Bid 3b'!B1183</f>
        <v>Belanja Spanduk</v>
      </c>
      <c r="I885" s="1"/>
      <c r="J885" s="1"/>
      <c r="K885" s="73">
        <f>'Bid 3b'!F1184</f>
        <v>90000</v>
      </c>
      <c r="L885" s="4" t="s">
        <v>3297</v>
      </c>
    </row>
    <row r="886" spans="1:13" ht="45" x14ac:dyDescent="0.25">
      <c r="A886" s="1"/>
      <c r="B886" s="1"/>
      <c r="C886" s="1"/>
      <c r="D886" s="1"/>
      <c r="E886" s="1"/>
      <c r="F886" s="1"/>
      <c r="G886" s="1">
        <v>90</v>
      </c>
      <c r="H886" s="4" t="str">
        <f>'Bid 3b'!B1185</f>
        <v>Belanja Upakara, Upacara Dan Aci</v>
      </c>
      <c r="I886" s="1"/>
      <c r="J886" s="1"/>
      <c r="K886" s="73">
        <f>'Bid 3b'!F1186</f>
        <v>50000</v>
      </c>
      <c r="L886" s="4" t="s">
        <v>3297</v>
      </c>
    </row>
    <row r="887" spans="1:13" x14ac:dyDescent="0.25">
      <c r="A887" s="1"/>
      <c r="B887" s="1"/>
      <c r="C887" s="1"/>
      <c r="D887" s="1">
        <v>5</v>
      </c>
      <c r="E887" s="1">
        <v>2</v>
      </c>
      <c r="F887" s="1">
        <v>2</v>
      </c>
      <c r="G887" s="1"/>
      <c r="H887" s="4" t="str">
        <f>'Bid 3b'!B1188</f>
        <v>Belanja Jasa Honorarium</v>
      </c>
      <c r="I887" s="1"/>
      <c r="J887" s="1"/>
      <c r="K887" s="73"/>
      <c r="L887" s="4"/>
    </row>
    <row r="888" spans="1:13" ht="45" x14ac:dyDescent="0.25">
      <c r="A888" s="1"/>
      <c r="B888" s="1"/>
      <c r="C888" s="1"/>
      <c r="D888" s="1"/>
      <c r="E888" s="1"/>
      <c r="F888" s="1"/>
      <c r="G888" s="1489" t="s">
        <v>3389</v>
      </c>
      <c r="H888" s="4" t="str">
        <f>'Bid 3b'!B1189</f>
        <v>Belanja Jasa Honorarium Ahli/Profesi/Konsultan/Narasumber</v>
      </c>
      <c r="I888" s="1"/>
      <c r="J888" s="1"/>
      <c r="K888" s="73">
        <f>SUM('Bid 3b'!F1190)</f>
        <v>300000</v>
      </c>
      <c r="L888" s="4" t="s">
        <v>3297</v>
      </c>
    </row>
    <row r="889" spans="1:13" ht="45" x14ac:dyDescent="0.25">
      <c r="A889" s="1"/>
      <c r="B889" s="1"/>
      <c r="C889" s="1"/>
      <c r="D889" s="1"/>
      <c r="E889" s="1"/>
      <c r="F889" s="1"/>
      <c r="G889" s="1489" t="s">
        <v>3390</v>
      </c>
      <c r="H889" s="4" t="str">
        <f>'Bid 3b'!B1192</f>
        <v>Belanja Jasa Honorarium Petugas</v>
      </c>
      <c r="I889" s="1"/>
      <c r="J889" s="1"/>
      <c r="K889" s="73">
        <f>'Bid 3b'!F1193</f>
        <v>5910000</v>
      </c>
      <c r="L889" s="4" t="s">
        <v>3297</v>
      </c>
    </row>
    <row r="890" spans="1:13" ht="30" x14ac:dyDescent="0.25">
      <c r="A890" s="1537">
        <v>4</v>
      </c>
      <c r="B890" s="1537"/>
      <c r="C890" s="1537"/>
      <c r="D890" s="1537"/>
      <c r="E890" s="1537"/>
      <c r="F890" s="1537"/>
      <c r="G890" s="1537"/>
      <c r="H890" s="1538" t="str">
        <f>'BID 4 b'!B5</f>
        <v>: Pemberdayaan Masyarakat Desa</v>
      </c>
      <c r="I890" s="1537"/>
      <c r="J890" s="1537"/>
      <c r="K890" s="1539">
        <f>K891+K903+K914+K925+K931+K939+K948+K959+K967+K977+K988+K997+K1008</f>
        <v>512798699.82999998</v>
      </c>
      <c r="L890" s="1537"/>
      <c r="M890" s="68">
        <f>' Hitungan 2026'!X11</f>
        <v>512798699.82999998</v>
      </c>
    </row>
    <row r="891" spans="1:13" ht="75" x14ac:dyDescent="0.25">
      <c r="A891" s="865">
        <v>4</v>
      </c>
      <c r="B891" s="865">
        <v>1</v>
      </c>
      <c r="C891" s="1490" t="s">
        <v>3366</v>
      </c>
      <c r="D891" s="865"/>
      <c r="E891" s="865"/>
      <c r="F891" s="865"/>
      <c r="G891" s="865"/>
      <c r="H891" s="1061" t="str">
        <f>'BID 4 b'!B7</f>
        <v>: Pemeliharaan Karamba/Kolam Perikanan Darat  (Pelatihan Kelompok Lele)</v>
      </c>
      <c r="I891" s="865"/>
      <c r="J891" s="865"/>
      <c r="K891" s="1063">
        <f>SUM(K892:K901)</f>
        <v>175300000</v>
      </c>
      <c r="L891" s="1061" t="s">
        <v>2179</v>
      </c>
      <c r="M891" s="68">
        <f>'BID 4 b'!F49</f>
        <v>175300000</v>
      </c>
    </row>
    <row r="892" spans="1:13" x14ac:dyDescent="0.25">
      <c r="A892" s="1"/>
      <c r="B892" s="1"/>
      <c r="C892" s="1"/>
      <c r="D892" s="1">
        <v>5</v>
      </c>
      <c r="E892" s="1">
        <v>2</v>
      </c>
      <c r="F892" s="1"/>
      <c r="G892" s="1"/>
      <c r="H892" s="4" t="str">
        <f>'BID 4 b'!B12</f>
        <v>Belanja Barang Dan Jasa</v>
      </c>
      <c r="I892" s="1"/>
      <c r="J892" s="1"/>
      <c r="K892" s="73"/>
      <c r="L892" s="4"/>
    </row>
    <row r="893" spans="1:13" ht="30" x14ac:dyDescent="0.25">
      <c r="A893" s="1"/>
      <c r="B893" s="1"/>
      <c r="C893" s="1"/>
      <c r="D893" s="1"/>
      <c r="E893" s="1"/>
      <c r="F893" s="1">
        <v>1</v>
      </c>
      <c r="G893" s="1"/>
      <c r="H893" s="4" t="str">
        <f>'BID 4 b'!B13</f>
        <v>Belanja Barang Perlengkapan</v>
      </c>
      <c r="I893" s="1"/>
      <c r="J893" s="1"/>
      <c r="K893" s="73"/>
      <c r="L893" s="4"/>
    </row>
    <row r="894" spans="1:13" ht="30" x14ac:dyDescent="0.25">
      <c r="A894" s="1"/>
      <c r="B894" s="1"/>
      <c r="C894" s="1"/>
      <c r="D894" s="1"/>
      <c r="E894" s="1"/>
      <c r="F894" s="1"/>
      <c r="G894" s="1489" t="s">
        <v>3391</v>
      </c>
      <c r="H894" s="4" t="str">
        <f>'BID 4 b'!B14</f>
        <v>Belanja Perlengkapan Barang Konsumsi</v>
      </c>
      <c r="I894" s="1"/>
      <c r="J894" s="1"/>
      <c r="K894" s="73">
        <f>SUM('BID 4 b'!F15)</f>
        <v>400000</v>
      </c>
      <c r="L894" s="4" t="s">
        <v>2179</v>
      </c>
    </row>
    <row r="895" spans="1:13" ht="30" x14ac:dyDescent="0.25">
      <c r="A895" s="1"/>
      <c r="B895" s="1"/>
      <c r="C895" s="1"/>
      <c r="D895" s="1"/>
      <c r="E895" s="1"/>
      <c r="F895" s="1"/>
      <c r="G895" s="1489" t="s">
        <v>3393</v>
      </c>
      <c r="H895" s="4" t="str">
        <f>'BID 4 b'!B17</f>
        <v>Belanja Bendera/ Umbul-umbul/ Spanduk</v>
      </c>
      <c r="I895" s="1"/>
      <c r="J895" s="1"/>
      <c r="K895" s="73">
        <f>'BID 4 b'!F18</f>
        <v>90000</v>
      </c>
      <c r="L895" s="4" t="s">
        <v>2179</v>
      </c>
    </row>
    <row r="896" spans="1:13" ht="30" x14ac:dyDescent="0.25">
      <c r="A896" s="1"/>
      <c r="B896" s="1"/>
      <c r="C896" s="1"/>
      <c r="D896" s="1"/>
      <c r="E896" s="1"/>
      <c r="F896" s="1"/>
      <c r="G896" s="1">
        <v>90</v>
      </c>
      <c r="H896" s="4" t="str">
        <f>'BID 4 b'!B20</f>
        <v>Belanja Upakara, Upacara dan Aci</v>
      </c>
      <c r="I896" s="1"/>
      <c r="J896" s="1"/>
      <c r="K896" s="73">
        <f>SUM('BID 4 b'!F21:F23)</f>
        <v>75000</v>
      </c>
      <c r="L896" s="4" t="s">
        <v>2179</v>
      </c>
    </row>
    <row r="897" spans="1:13" x14ac:dyDescent="0.25">
      <c r="A897" s="1"/>
      <c r="B897" s="1"/>
      <c r="C897" s="1"/>
      <c r="D897" s="1">
        <v>5</v>
      </c>
      <c r="E897" s="1">
        <v>2</v>
      </c>
      <c r="F897" s="1">
        <v>2</v>
      </c>
      <c r="G897" s="1"/>
      <c r="H897" s="4" t="str">
        <f>'BID 4 b'!B25</f>
        <v>Belanja Jasa Honorarium</v>
      </c>
      <c r="I897" s="1"/>
      <c r="J897" s="1"/>
      <c r="K897" s="73"/>
      <c r="L897" s="4"/>
    </row>
    <row r="898" spans="1:13" ht="45" x14ac:dyDescent="0.25">
      <c r="A898" s="1"/>
      <c r="B898" s="1"/>
      <c r="C898" s="1"/>
      <c r="D898" s="1"/>
      <c r="E898" s="1"/>
      <c r="F898" s="1"/>
      <c r="G898" s="1489" t="s">
        <v>3366</v>
      </c>
      <c r="H898" s="4" t="str">
        <f>'BID 4 b'!B26</f>
        <v>Belanja Jasa Honorarium Tim Yang Melaksanakan Kegiatan</v>
      </c>
      <c r="I898" s="1"/>
      <c r="J898" s="1"/>
      <c r="K898" s="73">
        <f>SUM('BID 4 b'!F27:F29)</f>
        <v>1150000</v>
      </c>
      <c r="L898" s="4" t="s">
        <v>2179</v>
      </c>
    </row>
    <row r="899" spans="1:13" ht="45" x14ac:dyDescent="0.25">
      <c r="A899" s="1"/>
      <c r="B899" s="1"/>
      <c r="C899" s="1"/>
      <c r="D899" s="1"/>
      <c r="E899" s="1"/>
      <c r="F899" s="1"/>
      <c r="G899" s="1489" t="s">
        <v>3389</v>
      </c>
      <c r="H899" s="4" t="str">
        <f>'BID 4 b'!B31</f>
        <v>Belanja Jasa Honorarium Ahli/Profesi/Konsultan/Narasumber</v>
      </c>
      <c r="I899" s="1"/>
      <c r="J899" s="1"/>
      <c r="K899" s="73">
        <f>SUM('BID 4 b'!F32)</f>
        <v>600000</v>
      </c>
      <c r="L899" s="4" t="s">
        <v>2179</v>
      </c>
    </row>
    <row r="900" spans="1:13" ht="45" x14ac:dyDescent="0.25">
      <c r="A900" s="1"/>
      <c r="B900" s="1"/>
      <c r="C900" s="1"/>
      <c r="D900" s="1">
        <v>5</v>
      </c>
      <c r="E900" s="1">
        <v>2</v>
      </c>
      <c r="F900" s="1">
        <v>7</v>
      </c>
      <c r="G900" s="1"/>
      <c r="H900" s="4" t="str">
        <f>'BID 4 b'!B34</f>
        <v>Belanja Barang Dan jasa Yang Diserahkan Kepada Masyarakat</v>
      </c>
      <c r="I900" s="1"/>
      <c r="J900" s="1"/>
      <c r="K900" s="73"/>
      <c r="L900" s="4"/>
    </row>
    <row r="901" spans="1:13" ht="45" x14ac:dyDescent="0.25">
      <c r="A901" s="1"/>
      <c r="B901" s="1"/>
      <c r="C901" s="1"/>
      <c r="D901" s="1"/>
      <c r="E901" s="1"/>
      <c r="F901" s="1"/>
      <c r="G901" s="1489" t="s">
        <v>3366</v>
      </c>
      <c r="H901" s="4" t="str">
        <f>'BID 4 b'!B35</f>
        <v>Belanja Bahan Perlengkapan Diserahkan Kemasyarakat</v>
      </c>
      <c r="I901" s="1"/>
      <c r="J901" s="1"/>
      <c r="K901" s="73">
        <f>SUM('BID 4 b'!F36:F47)</f>
        <v>172985000</v>
      </c>
      <c r="L901" s="4" t="s">
        <v>2179</v>
      </c>
    </row>
    <row r="902" spans="1:13" x14ac:dyDescent="0.25">
      <c r="A902" s="865">
        <v>4</v>
      </c>
      <c r="B902" s="865">
        <v>2</v>
      </c>
      <c r="C902" s="865"/>
      <c r="D902" s="865"/>
      <c r="E902" s="865"/>
      <c r="F902" s="865"/>
      <c r="G902" s="1490"/>
      <c r="H902" s="1061" t="s">
        <v>3426</v>
      </c>
      <c r="I902" s="865"/>
      <c r="J902" s="865"/>
      <c r="K902" s="1063"/>
      <c r="L902" s="1061"/>
    </row>
    <row r="903" spans="1:13" ht="60" x14ac:dyDescent="0.25">
      <c r="A903" s="865">
        <v>4</v>
      </c>
      <c r="B903" s="865">
        <v>2</v>
      </c>
      <c r="C903" s="1490" t="s">
        <v>3366</v>
      </c>
      <c r="D903" s="865"/>
      <c r="E903" s="865"/>
      <c r="F903" s="865"/>
      <c r="G903" s="865"/>
      <c r="H903" s="1061" t="str">
        <f>'BID 4 b'!B62</f>
        <v>: Peningkatan Produksi Tanaman Pangan (Pelatihan Pembuatan Media Tanam)</v>
      </c>
      <c r="I903" s="865"/>
      <c r="J903" s="865"/>
      <c r="K903" s="1063">
        <f>SUM(K904:K913)</f>
        <v>32421000</v>
      </c>
      <c r="L903" s="1061" t="s">
        <v>1410</v>
      </c>
      <c r="M903" s="68">
        <f>'BID 4 b'!F101</f>
        <v>32421000</v>
      </c>
    </row>
    <row r="904" spans="1:13" x14ac:dyDescent="0.25">
      <c r="A904" s="1"/>
      <c r="B904" s="1"/>
      <c r="C904" s="1"/>
      <c r="D904" s="1">
        <v>5</v>
      </c>
      <c r="E904" s="1">
        <v>2</v>
      </c>
      <c r="F904" s="1"/>
      <c r="G904" s="1"/>
      <c r="H904" s="4" t="str">
        <f>'BID 4 b'!B67</f>
        <v>Belanja Barang Dan Jasa</v>
      </c>
      <c r="I904" s="1"/>
      <c r="J904" s="1"/>
      <c r="K904" s="73"/>
      <c r="L904" s="4"/>
    </row>
    <row r="905" spans="1:13" ht="30" x14ac:dyDescent="0.25">
      <c r="A905" s="1"/>
      <c r="B905" s="1"/>
      <c r="C905" s="1"/>
      <c r="D905" s="1"/>
      <c r="E905" s="1"/>
      <c r="F905" s="1">
        <v>1</v>
      </c>
      <c r="G905" s="1"/>
      <c r="H905" s="4" t="str">
        <f>'BID 4 b'!B68</f>
        <v>Belanja Barang Perlengkapan</v>
      </c>
      <c r="I905" s="1"/>
      <c r="J905" s="1"/>
      <c r="K905" s="73"/>
      <c r="L905" s="4"/>
    </row>
    <row r="906" spans="1:13" ht="30" x14ac:dyDescent="0.25">
      <c r="A906" s="1"/>
      <c r="B906" s="1"/>
      <c r="C906" s="1"/>
      <c r="D906" s="1"/>
      <c r="E906" s="1"/>
      <c r="F906" s="1"/>
      <c r="G906" s="1489" t="s">
        <v>3391</v>
      </c>
      <c r="H906" s="4" t="str">
        <f>'BID 4 b'!B69</f>
        <v>Belanja Perlengkapan Barang Konsumsi</v>
      </c>
      <c r="I906" s="1"/>
      <c r="J906" s="1"/>
      <c r="K906" s="73">
        <f>SUM('BID 4 b'!F70)</f>
        <v>200000</v>
      </c>
      <c r="L906" s="4" t="s">
        <v>1410</v>
      </c>
    </row>
    <row r="907" spans="1:13" ht="30" x14ac:dyDescent="0.25">
      <c r="A907" s="1"/>
      <c r="B907" s="1"/>
      <c r="C907" s="1"/>
      <c r="D907" s="1"/>
      <c r="E907" s="1"/>
      <c r="F907" s="1"/>
      <c r="G907" s="1489" t="s">
        <v>3393</v>
      </c>
      <c r="H907" s="1536" t="str">
        <f>'BID 4 b'!B72</f>
        <v>Belanja Bendera/ Umbul-umbul/ Spanduk</v>
      </c>
      <c r="I907" s="1"/>
      <c r="J907" s="1"/>
      <c r="K907" s="73">
        <f>'BID 4 b'!F73</f>
        <v>90000</v>
      </c>
      <c r="L907" s="4" t="s">
        <v>1410</v>
      </c>
    </row>
    <row r="908" spans="1:13" ht="30" x14ac:dyDescent="0.25">
      <c r="A908" s="1"/>
      <c r="B908" s="1"/>
      <c r="C908" s="1"/>
      <c r="D908" s="1"/>
      <c r="E908" s="1"/>
      <c r="F908" s="1"/>
      <c r="G908" s="1">
        <v>90</v>
      </c>
      <c r="H908" s="4" t="str">
        <f>'BID 4 b'!B75</f>
        <v>Belanja Upakara, Upacara dan Aci</v>
      </c>
      <c r="I908" s="1"/>
      <c r="J908" s="1"/>
      <c r="K908" s="73">
        <f>SUM('BID 4 b'!F76:F78)</f>
        <v>75000</v>
      </c>
      <c r="L908" s="4" t="s">
        <v>1410</v>
      </c>
    </row>
    <row r="909" spans="1:13" x14ac:dyDescent="0.25">
      <c r="A909" s="1"/>
      <c r="B909" s="1"/>
      <c r="C909" s="1"/>
      <c r="D909" s="1">
        <v>5</v>
      </c>
      <c r="E909" s="1">
        <v>2</v>
      </c>
      <c r="F909" s="1">
        <v>2</v>
      </c>
      <c r="G909" s="1"/>
      <c r="H909" s="1" t="str">
        <f>'BID 4 b'!B80</f>
        <v>Belanja Jasa Honorarium</v>
      </c>
      <c r="I909" s="1"/>
      <c r="J909" s="1"/>
      <c r="K909" s="73"/>
      <c r="L909" s="4"/>
    </row>
    <row r="910" spans="1:13" ht="45" x14ac:dyDescent="0.25">
      <c r="A910" s="1"/>
      <c r="B910" s="1"/>
      <c r="C910" s="1"/>
      <c r="D910" s="1"/>
      <c r="E910" s="1"/>
      <c r="F910" s="1"/>
      <c r="G910" s="1489" t="s">
        <v>3366</v>
      </c>
      <c r="H910" s="4" t="str">
        <f>'BID 4 b'!B81</f>
        <v>Belanja Jasa Honorarium Tim Yang Melaksanakan Kegiatan</v>
      </c>
      <c r="I910" s="1"/>
      <c r="J910" s="1"/>
      <c r="K910" s="73">
        <f>SUM('BID 4 b'!F82:F84)</f>
        <v>1150000</v>
      </c>
      <c r="L910" s="4" t="s">
        <v>1410</v>
      </c>
    </row>
    <row r="911" spans="1:13" ht="45" x14ac:dyDescent="0.25">
      <c r="A911" s="1"/>
      <c r="B911" s="1"/>
      <c r="C911" s="1"/>
      <c r="D911" s="1"/>
      <c r="E911" s="1"/>
      <c r="F911" s="1"/>
      <c r="G911" s="1489" t="s">
        <v>3389</v>
      </c>
      <c r="H911" s="4" t="str">
        <f>'BID 4 b'!B86</f>
        <v>Belanja Jasa Honorarium Ahli/Profesi/Konsultan/Narasumber</v>
      </c>
      <c r="I911" s="1"/>
      <c r="J911" s="1"/>
      <c r="K911" s="73">
        <f>'BID 4 b'!F87</f>
        <v>600000</v>
      </c>
      <c r="L911" s="4" t="s">
        <v>1410</v>
      </c>
    </row>
    <row r="912" spans="1:13" ht="45" x14ac:dyDescent="0.25">
      <c r="A912" s="1"/>
      <c r="B912" s="1"/>
      <c r="C912" s="1"/>
      <c r="D912" s="1">
        <v>5</v>
      </c>
      <c r="E912" s="1">
        <v>2</v>
      </c>
      <c r="F912" s="1">
        <v>7</v>
      </c>
      <c r="G912" s="1"/>
      <c r="H912" s="4" t="str">
        <f>'BID 4 b'!B89</f>
        <v>Belanja Barang Dan jasa Yang Diserahkan Kepada Masyarakat</v>
      </c>
      <c r="I912" s="1"/>
      <c r="J912" s="1"/>
      <c r="K912" s="73"/>
      <c r="L912" s="4"/>
    </row>
    <row r="913" spans="1:13" ht="60" x14ac:dyDescent="0.25">
      <c r="A913" s="1"/>
      <c r="B913" s="1"/>
      <c r="C913" s="1"/>
      <c r="D913" s="1"/>
      <c r="E913" s="1"/>
      <c r="F913" s="1"/>
      <c r="G913" s="1489" t="s">
        <v>3366</v>
      </c>
      <c r="H913" s="4" t="str">
        <f>'BID 4 b'!B90</f>
        <v>Belanja Bahan Perlengkapan Yang Diserahkan Ke Masyarakat</v>
      </c>
      <c r="I913" s="1"/>
      <c r="J913" s="1"/>
      <c r="K913" s="73">
        <f>SUM('BID 4 b'!F91:F100)</f>
        <v>30306000</v>
      </c>
      <c r="L913" s="4" t="s">
        <v>1410</v>
      </c>
    </row>
    <row r="914" spans="1:13" ht="60" x14ac:dyDescent="0.25">
      <c r="A914" s="865">
        <v>4</v>
      </c>
      <c r="B914" s="865">
        <v>2</v>
      </c>
      <c r="C914" s="1490" t="s">
        <v>3388</v>
      </c>
      <c r="D914" s="865"/>
      <c r="E914" s="865"/>
      <c r="F914" s="865"/>
      <c r="G914" s="865"/>
      <c r="H914" s="1061" t="str">
        <f>'BID 4 b'!B271</f>
        <v>: Penguatan Ketahanan Pangan Tingkat Desa (Penanaman Cabe, Terong dan Tomat)</v>
      </c>
      <c r="I914" s="865"/>
      <c r="J914" s="865"/>
      <c r="K914" s="1063">
        <f>SUM(K915:K924)</f>
        <v>28606000</v>
      </c>
      <c r="L914" s="1414" t="s">
        <v>1410</v>
      </c>
      <c r="M914" s="68">
        <f>'BID 4 b'!F308</f>
        <v>28606000</v>
      </c>
    </row>
    <row r="915" spans="1:13" x14ac:dyDescent="0.25">
      <c r="A915" s="1"/>
      <c r="B915" s="1"/>
      <c r="C915" s="1"/>
      <c r="D915" s="1">
        <v>5</v>
      </c>
      <c r="E915" s="1">
        <v>2</v>
      </c>
      <c r="F915" s="1"/>
      <c r="G915" s="1"/>
      <c r="H915" s="4" t="str">
        <f>'BID 4 b'!B278</f>
        <v>Belanja Barang Dan Jasa</v>
      </c>
      <c r="I915" s="1"/>
      <c r="J915" s="1"/>
      <c r="K915" s="73"/>
      <c r="L915" s="1"/>
    </row>
    <row r="916" spans="1:13" ht="30" x14ac:dyDescent="0.25">
      <c r="A916" s="1"/>
      <c r="B916" s="1"/>
      <c r="C916" s="1"/>
      <c r="D916" s="1"/>
      <c r="E916" s="1"/>
      <c r="F916" s="1">
        <v>1</v>
      </c>
      <c r="G916" s="1"/>
      <c r="H916" s="4" t="str">
        <f>'BID 4 b'!B279</f>
        <v>Belanja Barang Perlengkapan</v>
      </c>
      <c r="I916" s="1"/>
      <c r="J916" s="1"/>
      <c r="K916" s="73"/>
      <c r="L916" s="1"/>
    </row>
    <row r="917" spans="1:13" ht="30" x14ac:dyDescent="0.25">
      <c r="A917" s="1"/>
      <c r="B917" s="1"/>
      <c r="C917" s="1"/>
      <c r="D917" s="1"/>
      <c r="E917" s="1"/>
      <c r="F917" s="1"/>
      <c r="G917" s="1489" t="s">
        <v>3391</v>
      </c>
      <c r="H917" s="4" t="str">
        <f>'BID 4 b'!B280</f>
        <v>Belanja Perlengkapan Barang Konsumsi</v>
      </c>
      <c r="I917" s="1"/>
      <c r="J917" s="1"/>
      <c r="K917" s="73">
        <f>'BID 4 b'!F281</f>
        <v>700000</v>
      </c>
      <c r="L917" s="1" t="s">
        <v>1410</v>
      </c>
    </row>
    <row r="918" spans="1:13" ht="30" x14ac:dyDescent="0.25">
      <c r="A918" s="1"/>
      <c r="B918" s="1"/>
      <c r="C918" s="1"/>
      <c r="D918" s="1"/>
      <c r="E918" s="1"/>
      <c r="F918" s="1"/>
      <c r="G918" s="1489" t="s">
        <v>3393</v>
      </c>
      <c r="H918" s="4" t="str">
        <f>'BID 4 b'!B283</f>
        <v>Belanja Bendera/ Umbul-umbul/ Spanduk</v>
      </c>
      <c r="I918" s="1"/>
      <c r="J918" s="1"/>
      <c r="K918" s="73">
        <f>'BID 4 b'!F284</f>
        <v>90000</v>
      </c>
      <c r="L918" s="1" t="s">
        <v>1410</v>
      </c>
    </row>
    <row r="919" spans="1:13" x14ac:dyDescent="0.25">
      <c r="A919" s="1"/>
      <c r="B919" s="1"/>
      <c r="C919" s="1"/>
      <c r="D919" s="1"/>
      <c r="E919" s="1"/>
      <c r="F919" s="1"/>
      <c r="G919" s="1">
        <v>90</v>
      </c>
      <c r="H919" s="1" t="str">
        <f>'BID 4 b'!B286</f>
        <v>Belanja Bahan/Material</v>
      </c>
      <c r="I919" s="1"/>
      <c r="J919" s="1"/>
      <c r="K919" s="73">
        <f>SUM('BID 4 b'!F287:F289)</f>
        <v>65000</v>
      </c>
      <c r="L919" s="1" t="s">
        <v>1410</v>
      </c>
    </row>
    <row r="920" spans="1:13" x14ac:dyDescent="0.25">
      <c r="A920" s="1"/>
      <c r="B920" s="1"/>
      <c r="C920" s="1"/>
      <c r="D920" s="1">
        <v>5</v>
      </c>
      <c r="E920" s="1">
        <v>2</v>
      </c>
      <c r="F920" s="1">
        <v>2</v>
      </c>
      <c r="G920" s="1"/>
      <c r="H920" s="4" t="str">
        <f>'BID 4 b'!B291</f>
        <v>Belanja Jasa Honorarium</v>
      </c>
      <c r="I920" s="1"/>
      <c r="J920" s="1"/>
      <c r="K920" s="73"/>
      <c r="L920" s="1"/>
    </row>
    <row r="921" spans="1:13" ht="45" x14ac:dyDescent="0.25">
      <c r="A921" s="1"/>
      <c r="B921" s="1"/>
      <c r="C921" s="1"/>
      <c r="D921" s="1"/>
      <c r="E921" s="1"/>
      <c r="F921" s="1"/>
      <c r="G921" s="1489" t="s">
        <v>3366</v>
      </c>
      <c r="H921" s="4" t="str">
        <f>'BID 4 b'!B292</f>
        <v>Belanja Jasa Honorarium Tim Yang Melaksanakan Kegiatan</v>
      </c>
      <c r="I921" s="1"/>
      <c r="J921" s="1"/>
      <c r="K921" s="98">
        <f>SUM('BID 4 b'!F293:F295)</f>
        <v>1150000</v>
      </c>
      <c r="L921" s="1" t="s">
        <v>1410</v>
      </c>
      <c r="M921" s="3"/>
    </row>
    <row r="922" spans="1:13" ht="30" x14ac:dyDescent="0.25">
      <c r="A922" s="1"/>
      <c r="B922" s="1"/>
      <c r="C922" s="1"/>
      <c r="D922" s="1"/>
      <c r="E922" s="1"/>
      <c r="F922" s="1"/>
      <c r="G922" s="1489" t="s">
        <v>3389</v>
      </c>
      <c r="H922" s="4" t="str">
        <f>'BID 4 b'!B297</f>
        <v>Honorarium Narasumber/ Instruktur</v>
      </c>
      <c r="I922" s="1"/>
      <c r="J922" s="1"/>
      <c r="K922" s="73">
        <f>'BID 4 b'!F297</f>
        <v>600000</v>
      </c>
      <c r="L922" s="1" t="s">
        <v>1410</v>
      </c>
    </row>
    <row r="923" spans="1:13" ht="45" x14ac:dyDescent="0.25">
      <c r="A923" s="1"/>
      <c r="B923" s="1"/>
      <c r="C923" s="1"/>
      <c r="D923" s="1">
        <v>5</v>
      </c>
      <c r="E923" s="1">
        <v>2</v>
      </c>
      <c r="F923" s="1">
        <v>7</v>
      </c>
      <c r="G923" s="1"/>
      <c r="H923" s="4" t="str">
        <f>'BID 4 b'!B298</f>
        <v>Belanja Barang Perlengkapan diserahkan Kepada Masyarakat</v>
      </c>
      <c r="I923" s="1"/>
      <c r="J923" s="1"/>
      <c r="K923" s="73"/>
      <c r="L923" s="1"/>
    </row>
    <row r="924" spans="1:13" ht="60" x14ac:dyDescent="0.25">
      <c r="A924" s="1"/>
      <c r="B924" s="1"/>
      <c r="C924" s="1"/>
      <c r="D924" s="1"/>
      <c r="E924" s="1"/>
      <c r="F924" s="1"/>
      <c r="G924" s="1489" t="s">
        <v>3366</v>
      </c>
      <c r="H924" s="4" t="str">
        <f>'BID 4 b'!B299</f>
        <v>Belanja Bahan Perlengkapan Yang Diserahkan Ke Masyarakat</v>
      </c>
      <c r="I924" s="1"/>
      <c r="J924" s="1"/>
      <c r="K924" s="73">
        <f>SUM('BID 4 b'!F300:F307)</f>
        <v>26001000</v>
      </c>
      <c r="L924" s="1" t="s">
        <v>1410</v>
      </c>
    </row>
    <row r="925" spans="1:13" ht="45" x14ac:dyDescent="0.25">
      <c r="A925" s="865">
        <v>4</v>
      </c>
      <c r="B925" s="865">
        <v>2</v>
      </c>
      <c r="C925" s="1490" t="s">
        <v>3389</v>
      </c>
      <c r="D925" s="865"/>
      <c r="E925" s="865"/>
      <c r="F925" s="865"/>
      <c r="G925" s="1490"/>
      <c r="H925" s="1061" t="str">
        <f>'BID 4 b'!B377</f>
        <v>: Perbaikan Saluran Cacing Subak Taman, Munduk Njung</v>
      </c>
      <c r="I925" s="865">
        <v>179</v>
      </c>
      <c r="J925" s="865" t="s">
        <v>455</v>
      </c>
      <c r="K925" s="1063">
        <f>SUM(K926:K930)</f>
        <v>174923495</v>
      </c>
      <c r="L925" s="865" t="s">
        <v>1220</v>
      </c>
    </row>
    <row r="926" spans="1:13" x14ac:dyDescent="0.25">
      <c r="A926" s="1"/>
      <c r="B926" s="1"/>
      <c r="C926" s="1"/>
      <c r="D926" s="1">
        <v>5</v>
      </c>
      <c r="E926" s="1">
        <v>3</v>
      </c>
      <c r="F926" s="1"/>
      <c r="G926" s="1489"/>
      <c r="H926" s="4" t="str">
        <f>'BID 4 b'!B384</f>
        <v xml:space="preserve">Belanja Modal </v>
      </c>
      <c r="I926" s="1"/>
      <c r="J926" s="1"/>
      <c r="K926" s="73"/>
      <c r="L926" s="1"/>
    </row>
    <row r="927" spans="1:13" x14ac:dyDescent="0.25">
      <c r="A927" s="1"/>
      <c r="B927" s="1"/>
      <c r="C927" s="1"/>
      <c r="D927" s="1"/>
      <c r="E927" s="1"/>
      <c r="F927" s="1">
        <v>7</v>
      </c>
      <c r="G927" s="1489"/>
      <c r="H927" s="4" t="str">
        <f>'BID 4 b'!B385</f>
        <v>Belanja Modal Jalan</v>
      </c>
      <c r="I927" s="1"/>
      <c r="J927" s="1"/>
      <c r="K927" s="73"/>
      <c r="L927" s="1"/>
    </row>
    <row r="928" spans="1:13" ht="30" x14ac:dyDescent="0.25">
      <c r="A928" s="1"/>
      <c r="B928" s="1"/>
      <c r="C928" s="1"/>
      <c r="D928" s="1"/>
      <c r="E928" s="1"/>
      <c r="F928" s="1"/>
      <c r="G928" s="1489" t="s">
        <v>3366</v>
      </c>
      <c r="H928" s="4" t="str">
        <f>'BID 4 b'!B386</f>
        <v>Honorarium Tim Yang Melaksanakan Kegiatan</v>
      </c>
      <c r="I928" s="1"/>
      <c r="J928" s="1"/>
      <c r="K928" s="73">
        <f>'BID 4 b'!F388</f>
        <v>3400000</v>
      </c>
      <c r="L928" s="1" t="s">
        <v>1220</v>
      </c>
    </row>
    <row r="929" spans="1:13" x14ac:dyDescent="0.25">
      <c r="A929" s="1"/>
      <c r="B929" s="1"/>
      <c r="C929" s="1"/>
      <c r="D929" s="1"/>
      <c r="E929" s="1"/>
      <c r="F929" s="1"/>
      <c r="G929" s="1489" t="s">
        <v>3386</v>
      </c>
      <c r="H929" s="4" t="str">
        <f>'BID 4 b'!B389</f>
        <v>Belanja Upah</v>
      </c>
      <c r="I929" s="1"/>
      <c r="J929" s="1"/>
      <c r="K929" s="73">
        <f>'BID 4 b'!F393</f>
        <v>56100000</v>
      </c>
      <c r="L929" s="1" t="s">
        <v>1220</v>
      </c>
    </row>
    <row r="930" spans="1:13" x14ac:dyDescent="0.25">
      <c r="A930" s="1"/>
      <c r="B930" s="1"/>
      <c r="C930" s="1"/>
      <c r="D930" s="1"/>
      <c r="E930" s="1"/>
      <c r="F930" s="1"/>
      <c r="G930" s="1489" t="s">
        <v>3388</v>
      </c>
      <c r="H930" s="4" t="str">
        <f>'BID 4 b'!B394</f>
        <v>Bahan Baku</v>
      </c>
      <c r="I930" s="1"/>
      <c r="J930" s="1"/>
      <c r="K930" s="73">
        <f>'BID 4 b'!F407</f>
        <v>115423495.00000001</v>
      </c>
      <c r="L930" s="1" t="s">
        <v>1220</v>
      </c>
    </row>
    <row r="931" spans="1:13" ht="60" x14ac:dyDescent="0.25">
      <c r="A931" s="865">
        <v>4</v>
      </c>
      <c r="B931" s="865">
        <v>3</v>
      </c>
      <c r="C931" s="1490" t="s">
        <v>3386</v>
      </c>
      <c r="D931" s="865"/>
      <c r="E931" s="865"/>
      <c r="F931" s="865"/>
      <c r="G931" s="865"/>
      <c r="H931" s="1061" t="str">
        <f>'BID 4 b'!B938</f>
        <v>: Pelatihan Tim Verifikasi dan penyusunan RKP ( Pelatihan Penysunan RKPDes)</v>
      </c>
      <c r="I931" s="865"/>
      <c r="J931" s="865"/>
      <c r="K931" s="1063">
        <f>SUM(K932:K938)</f>
        <v>1380000</v>
      </c>
      <c r="L931" s="865" t="s">
        <v>1506</v>
      </c>
      <c r="M931" s="68">
        <f>'BID 4 b'!F959</f>
        <v>1380000</v>
      </c>
    </row>
    <row r="932" spans="1:13" x14ac:dyDescent="0.25">
      <c r="A932" s="1"/>
      <c r="B932" s="1"/>
      <c r="C932" s="1"/>
      <c r="D932" s="1">
        <v>5</v>
      </c>
      <c r="E932" s="1">
        <v>2</v>
      </c>
      <c r="F932" s="1"/>
      <c r="G932" s="1"/>
      <c r="H932" s="1" t="str">
        <f>'BID 4 b'!B944</f>
        <v>Belanja Barang dan Jasa</v>
      </c>
      <c r="I932" s="1"/>
      <c r="J932" s="1"/>
      <c r="K932" s="73"/>
      <c r="L932" s="1"/>
    </row>
    <row r="933" spans="1:13" ht="30" x14ac:dyDescent="0.25">
      <c r="A933" s="1"/>
      <c r="B933" s="1"/>
      <c r="C933" s="1"/>
      <c r="D933" s="1"/>
      <c r="E933" s="1"/>
      <c r="F933" s="1">
        <v>1</v>
      </c>
      <c r="G933" s="1"/>
      <c r="H933" s="1533" t="str">
        <f>'BID 4 b'!B945</f>
        <v>Belanja Barang Perlengkapan</v>
      </c>
      <c r="I933" s="1"/>
      <c r="J933" s="1"/>
      <c r="K933" s="73"/>
      <c r="L933" s="1"/>
    </row>
    <row r="934" spans="1:13" ht="30" x14ac:dyDescent="0.25">
      <c r="A934" s="1"/>
      <c r="B934" s="1"/>
      <c r="C934" s="1"/>
      <c r="D934" s="1"/>
      <c r="E934" s="1"/>
      <c r="F934" s="1"/>
      <c r="G934" s="1489" t="s">
        <v>3391</v>
      </c>
      <c r="H934" s="4" t="str">
        <f>'BID 4 b'!B946</f>
        <v>Belanja Perlengkapan Barang Konsumsi</v>
      </c>
      <c r="I934" s="1"/>
      <c r="J934" s="1"/>
      <c r="K934" s="73">
        <f>'BID 4 b'!F947</f>
        <v>640000</v>
      </c>
      <c r="L934" s="1" t="s">
        <v>1506</v>
      </c>
    </row>
    <row r="935" spans="1:13" ht="30" x14ac:dyDescent="0.25">
      <c r="A935" s="1"/>
      <c r="B935" s="1"/>
      <c r="C935" s="1"/>
      <c r="D935" s="1"/>
      <c r="E935" s="1"/>
      <c r="F935" s="1"/>
      <c r="G935" s="1489" t="s">
        <v>3392</v>
      </c>
      <c r="H935" s="4" t="str">
        <f>'BID 4 b'!B949</f>
        <v>Belanja Bendera/ Umbul-umbul/ Spanduk</v>
      </c>
      <c r="I935" s="1"/>
      <c r="J935" s="1"/>
      <c r="K935" s="73">
        <f>'BID 4 b'!F950</f>
        <v>90000</v>
      </c>
      <c r="L935" s="1" t="s">
        <v>1506</v>
      </c>
    </row>
    <row r="936" spans="1:13" ht="30" x14ac:dyDescent="0.25">
      <c r="A936" s="1"/>
      <c r="B936" s="1"/>
      <c r="C936" s="1"/>
      <c r="D936" s="1"/>
      <c r="E936" s="1"/>
      <c r="F936" s="1"/>
      <c r="G936" s="1489" t="s">
        <v>3393</v>
      </c>
      <c r="H936" s="4" t="str">
        <f>'BID 4 b'!B952</f>
        <v>Belanja Upakara, Upacara dan Aci</v>
      </c>
      <c r="I936" s="1"/>
      <c r="J936" s="1"/>
      <c r="K936" s="73">
        <f>'BID 4 b'!F953</f>
        <v>50000</v>
      </c>
      <c r="L936" s="1" t="s">
        <v>1506</v>
      </c>
    </row>
    <row r="937" spans="1:13" x14ac:dyDescent="0.25">
      <c r="A937" s="1"/>
      <c r="B937" s="1"/>
      <c r="C937" s="1"/>
      <c r="D937" s="1">
        <v>5</v>
      </c>
      <c r="E937" s="1">
        <v>2</v>
      </c>
      <c r="F937" s="1">
        <v>2</v>
      </c>
      <c r="G937" s="1"/>
      <c r="H937" s="4" t="str">
        <f>'BID 4 b'!B955</f>
        <v>Belanja  Jasa Honorarium</v>
      </c>
      <c r="I937" s="1"/>
      <c r="J937" s="1"/>
      <c r="K937" s="73"/>
      <c r="L937" s="1"/>
    </row>
    <row r="938" spans="1:13" ht="45" x14ac:dyDescent="0.25">
      <c r="A938" s="1"/>
      <c r="B938" s="1"/>
      <c r="C938" s="1"/>
      <c r="D938" s="1"/>
      <c r="E938" s="1"/>
      <c r="F938" s="1"/>
      <c r="G938" s="1489" t="s">
        <v>3389</v>
      </c>
      <c r="H938" s="4" t="str">
        <f>'BID 4 b'!B956</f>
        <v>Belanja Jasa Honorarium Ahli/Profesi/Konsultan/Narasumber</v>
      </c>
      <c r="I938" s="1"/>
      <c r="J938" s="1"/>
      <c r="K938" s="73">
        <f>'BID 4 b'!F957</f>
        <v>600000</v>
      </c>
      <c r="L938" s="1" t="s">
        <v>1506</v>
      </c>
    </row>
    <row r="939" spans="1:13" ht="30" x14ac:dyDescent="0.25">
      <c r="A939" s="865">
        <v>4</v>
      </c>
      <c r="B939" s="865">
        <v>3</v>
      </c>
      <c r="C939" s="1490" t="s">
        <v>3386</v>
      </c>
      <c r="D939" s="865"/>
      <c r="E939" s="865"/>
      <c r="F939" s="865"/>
      <c r="G939" s="865"/>
      <c r="H939" s="865" t="str">
        <f>'BID 4 b'!B975</f>
        <v>: Pelatihan Perangkat Desa</v>
      </c>
      <c r="I939" s="865"/>
      <c r="J939" s="865"/>
      <c r="K939" s="1063">
        <f>SUM(K940:K947)</f>
        <v>40000000</v>
      </c>
      <c r="L939" s="1061" t="s">
        <v>3401</v>
      </c>
      <c r="M939" s="68">
        <f>'BID 4 b'!F995</f>
        <v>40000000</v>
      </c>
    </row>
    <row r="940" spans="1:13" x14ac:dyDescent="0.25">
      <c r="A940" s="1"/>
      <c r="B940" s="1"/>
      <c r="C940" s="1"/>
      <c r="D940" s="1">
        <v>5</v>
      </c>
      <c r="E940" s="1">
        <v>2</v>
      </c>
      <c r="F940" s="1"/>
      <c r="G940" s="1"/>
      <c r="H940" s="4" t="str">
        <f>'BID 4 b'!B980</f>
        <v>Belanja Barang Dan Jasa</v>
      </c>
      <c r="I940" s="1"/>
      <c r="J940" s="1"/>
      <c r="K940" s="73"/>
      <c r="L940" s="1"/>
    </row>
    <row r="941" spans="1:13" ht="30" x14ac:dyDescent="0.25">
      <c r="A941" s="1"/>
      <c r="B941" s="1"/>
      <c r="C941" s="1"/>
      <c r="D941" s="1"/>
      <c r="E941" s="1"/>
      <c r="F941" s="1">
        <v>1</v>
      </c>
      <c r="G941" s="1"/>
      <c r="H941" s="4" t="str">
        <f>'BID 4 b'!B981</f>
        <v>Belanja Barang Perlengkapan</v>
      </c>
      <c r="I941" s="1"/>
      <c r="J941" s="1"/>
      <c r="K941" s="73"/>
      <c r="L941" s="4"/>
    </row>
    <row r="942" spans="1:13" ht="30" x14ac:dyDescent="0.25">
      <c r="A942" s="1"/>
      <c r="B942" s="1"/>
      <c r="C942" s="1"/>
      <c r="D942" s="1"/>
      <c r="E942" s="1"/>
      <c r="F942" s="1"/>
      <c r="G942" s="1489" t="s">
        <v>3391</v>
      </c>
      <c r="H942" s="4" t="str">
        <f>'BID 4 b'!B982</f>
        <v>Belanja Perlengkapan Barang Konsumsi</v>
      </c>
      <c r="I942" s="1"/>
      <c r="J942" s="1"/>
      <c r="K942" s="73">
        <f>'BID 4 b'!F983</f>
        <v>560000</v>
      </c>
      <c r="L942" s="4" t="s">
        <v>1777</v>
      </c>
    </row>
    <row r="943" spans="1:13" ht="30" x14ac:dyDescent="0.25">
      <c r="A943" s="1"/>
      <c r="B943" s="1"/>
      <c r="C943" s="1"/>
      <c r="D943" s="1"/>
      <c r="E943" s="1"/>
      <c r="F943" s="1"/>
      <c r="G943" s="1489" t="s">
        <v>3393</v>
      </c>
      <c r="H943" s="4" t="str">
        <f>'BID 4 b'!B985</f>
        <v>Belanja Bendera/ Umbul-umbul/ Spanduk</v>
      </c>
      <c r="I943" s="1"/>
      <c r="J943" s="1"/>
      <c r="K943" s="73">
        <f>'BID 4 b'!F986</f>
        <v>90000</v>
      </c>
      <c r="L943" s="4" t="s">
        <v>1777</v>
      </c>
    </row>
    <row r="944" spans="1:13" x14ac:dyDescent="0.25">
      <c r="A944" s="1"/>
      <c r="B944" s="1"/>
      <c r="C944" s="1"/>
      <c r="D944" s="1">
        <v>5</v>
      </c>
      <c r="E944" s="1">
        <v>2</v>
      </c>
      <c r="F944" s="1">
        <v>2</v>
      </c>
      <c r="G944" s="1"/>
      <c r="H944" s="4" t="str">
        <f>'BID 4 b'!B988</f>
        <v>Belanja Jasa Honorarium</v>
      </c>
      <c r="I944" s="1"/>
      <c r="J944" s="1"/>
      <c r="K944" s="73"/>
      <c r="L944" s="4"/>
    </row>
    <row r="945" spans="1:13" ht="45" x14ac:dyDescent="0.25">
      <c r="A945" s="1"/>
      <c r="B945" s="1"/>
      <c r="C945" s="1"/>
      <c r="D945" s="1"/>
      <c r="E945" s="1"/>
      <c r="F945" s="1"/>
      <c r="G945" s="1489" t="s">
        <v>3389</v>
      </c>
      <c r="H945" s="4" t="str">
        <f>'BID 4 b'!B989</f>
        <v>Belanja Jasa Honorarium Ahli/Profesi/Konsultan/Narasumber</v>
      </c>
      <c r="I945" s="1"/>
      <c r="J945" s="1"/>
      <c r="K945" s="73">
        <f>'BID 4 b'!F990</f>
        <v>600000</v>
      </c>
      <c r="L945" s="4" t="s">
        <v>1777</v>
      </c>
    </row>
    <row r="946" spans="1:13" x14ac:dyDescent="0.25">
      <c r="A946" s="1"/>
      <c r="B946" s="1"/>
      <c r="C946" s="1"/>
      <c r="D946" s="1">
        <v>5</v>
      </c>
      <c r="E946" s="1">
        <v>2</v>
      </c>
      <c r="F946" s="1">
        <v>4</v>
      </c>
      <c r="G946" s="1"/>
      <c r="H946" s="4" t="str">
        <f>'BID 4 b'!B992</f>
        <v>Belanja Jasa Sewa</v>
      </c>
      <c r="I946" s="1"/>
      <c r="J946" s="1"/>
      <c r="K946" s="73"/>
      <c r="L946" s="4"/>
    </row>
    <row r="947" spans="1:13" ht="30" x14ac:dyDescent="0.25">
      <c r="A947" s="1"/>
      <c r="B947" s="1"/>
      <c r="C947" s="1"/>
      <c r="D947" s="1"/>
      <c r="E947" s="1"/>
      <c r="F947" s="1"/>
      <c r="G947" s="1489" t="s">
        <v>3366</v>
      </c>
      <c r="H947" s="4" t="str">
        <f>'BID 4 b'!B993</f>
        <v>Belanja Jasa Sewa Mobilitas</v>
      </c>
      <c r="I947" s="1"/>
      <c r="J947" s="1"/>
      <c r="K947" s="73">
        <f>'BID 4 b'!F994</f>
        <v>38750000</v>
      </c>
      <c r="L947" s="4" t="s">
        <v>1777</v>
      </c>
    </row>
    <row r="948" spans="1:13" ht="30" x14ac:dyDescent="0.25">
      <c r="A948" s="865">
        <v>4</v>
      </c>
      <c r="B948" s="865">
        <v>3</v>
      </c>
      <c r="C948" s="1490" t="s">
        <v>3388</v>
      </c>
      <c r="D948" s="865"/>
      <c r="E948" s="865"/>
      <c r="F948" s="865"/>
      <c r="G948" s="865"/>
      <c r="H948" s="1061" t="str">
        <f>'BID 4 b'!B1011</f>
        <v>: Peningkatan Kapasitas BPD</v>
      </c>
      <c r="I948" s="865"/>
      <c r="J948" s="865"/>
      <c r="K948" s="1063">
        <f>SUM(K949:K958)</f>
        <v>16220000</v>
      </c>
      <c r="L948" s="1061" t="s">
        <v>1777</v>
      </c>
      <c r="M948" s="68">
        <f>'BID 4 b'!F1037</f>
        <v>16220000</v>
      </c>
    </row>
    <row r="949" spans="1:13" x14ac:dyDescent="0.25">
      <c r="A949" s="1"/>
      <c r="B949" s="1"/>
      <c r="C949" s="1"/>
      <c r="D949" s="1">
        <v>5</v>
      </c>
      <c r="E949" s="1">
        <v>2</v>
      </c>
      <c r="F949" s="1"/>
      <c r="G949" s="1"/>
      <c r="H949" s="4" t="str">
        <f>'BID 4 b'!B1016</f>
        <v>Belanja Barang dan Jasa</v>
      </c>
      <c r="I949" s="1"/>
      <c r="J949" s="1"/>
      <c r="K949" s="73"/>
      <c r="L949" s="4"/>
    </row>
    <row r="950" spans="1:13" ht="30" x14ac:dyDescent="0.25">
      <c r="A950" s="1"/>
      <c r="B950" s="1"/>
      <c r="C950" s="1"/>
      <c r="D950" s="1"/>
      <c r="E950" s="1"/>
      <c r="F950" s="1">
        <v>1</v>
      </c>
      <c r="G950" s="1"/>
      <c r="H950" s="4" t="str">
        <f>'BID 4 b'!B1017</f>
        <v>Belanja Barang Perlengkapan</v>
      </c>
      <c r="I950" s="1"/>
      <c r="J950" s="1"/>
      <c r="K950" s="73"/>
      <c r="L950" s="4"/>
    </row>
    <row r="951" spans="1:13" ht="30" x14ac:dyDescent="0.25">
      <c r="A951" s="1"/>
      <c r="B951" s="1"/>
      <c r="C951" s="1"/>
      <c r="D951" s="1"/>
      <c r="E951" s="1"/>
      <c r="F951" s="1"/>
      <c r="G951" s="1489" t="s">
        <v>3391</v>
      </c>
      <c r="H951" s="4" t="str">
        <f>'BID 4 b'!B1018</f>
        <v>Belanja Perlengkapan Barang Konsumsi</v>
      </c>
      <c r="I951" s="1"/>
      <c r="J951" s="1"/>
      <c r="K951" s="73">
        <f>'BID 4 b'!F1019</f>
        <v>400000</v>
      </c>
      <c r="L951" s="4" t="s">
        <v>1777</v>
      </c>
    </row>
    <row r="952" spans="1:13" ht="30" x14ac:dyDescent="0.25">
      <c r="A952" s="1"/>
      <c r="B952" s="1"/>
      <c r="C952" s="1"/>
      <c r="D952" s="1">
        <v>5</v>
      </c>
      <c r="E952" s="1">
        <v>2</v>
      </c>
      <c r="F952" s="1">
        <v>1</v>
      </c>
      <c r="G952" s="1"/>
      <c r="H952" s="4" t="str">
        <f>'BID 4 b'!B1021</f>
        <v>Belanja Bendera/ Umbul-umbul/ Spanduk</v>
      </c>
      <c r="I952" s="1"/>
      <c r="J952" s="1"/>
      <c r="K952" s="73"/>
      <c r="L952" s="4"/>
    </row>
    <row r="953" spans="1:13" ht="30" x14ac:dyDescent="0.25">
      <c r="A953" s="1"/>
      <c r="B953" s="1"/>
      <c r="C953" s="1"/>
      <c r="D953" s="1"/>
      <c r="E953" s="1"/>
      <c r="F953" s="1"/>
      <c r="G953" s="1489" t="s">
        <v>3393</v>
      </c>
      <c r="H953" s="4" t="str">
        <f>'BID 4 b'!B1022</f>
        <v xml:space="preserve">Spanduk Kegiatan </v>
      </c>
      <c r="I953" s="1"/>
      <c r="J953" s="1"/>
      <c r="K953" s="73">
        <f>'BID 4 b'!F1022</f>
        <v>90000</v>
      </c>
      <c r="L953" s="4" t="s">
        <v>1777</v>
      </c>
    </row>
    <row r="954" spans="1:13" ht="30" x14ac:dyDescent="0.25">
      <c r="A954" s="1"/>
      <c r="B954" s="1"/>
      <c r="C954" s="1"/>
      <c r="D954" s="1"/>
      <c r="E954" s="1"/>
      <c r="F954" s="1"/>
      <c r="G954" s="1">
        <v>90</v>
      </c>
      <c r="H954" s="4" t="str">
        <f>'BID 4 b'!B1024</f>
        <v>Belanja Upakara, Upacara dan Aci</v>
      </c>
      <c r="I954" s="1"/>
      <c r="J954" s="1"/>
      <c r="K954" s="73">
        <f>SUM('BID 4 b'!F1025:F1027)</f>
        <v>130000</v>
      </c>
      <c r="L954" s="4" t="s">
        <v>1777</v>
      </c>
    </row>
    <row r="955" spans="1:13" x14ac:dyDescent="0.25">
      <c r="A955" s="1"/>
      <c r="B955" s="1"/>
      <c r="C955" s="1"/>
      <c r="D955" s="1">
        <v>5</v>
      </c>
      <c r="E955" s="1">
        <v>2</v>
      </c>
      <c r="F955" s="1">
        <v>2</v>
      </c>
      <c r="G955" s="1"/>
      <c r="H955" s="4" t="str">
        <f>'BID 4 b'!B1029</f>
        <v>Belanja  Jasa Honorarium</v>
      </c>
      <c r="I955" s="1"/>
      <c r="J955" s="1"/>
      <c r="K955" s="73"/>
      <c r="L955" s="4"/>
    </row>
    <row r="956" spans="1:13" ht="45" x14ac:dyDescent="0.25">
      <c r="A956" s="1"/>
      <c r="B956" s="1"/>
      <c r="C956" s="1"/>
      <c r="D956" s="1"/>
      <c r="E956" s="1"/>
      <c r="F956" s="1"/>
      <c r="G956" s="1489" t="s">
        <v>3389</v>
      </c>
      <c r="H956" s="4" t="str">
        <f>'BID 4 b'!B1030</f>
        <v>Belanja Jasa Honorarium Ahli/Profesi/Konsultan/Narasumber</v>
      </c>
      <c r="I956" s="1"/>
      <c r="J956" s="1"/>
      <c r="K956" s="73">
        <f>'BID 4 b'!F1031</f>
        <v>600000</v>
      </c>
      <c r="L956" s="4" t="s">
        <v>1777</v>
      </c>
    </row>
    <row r="957" spans="1:13" x14ac:dyDescent="0.25">
      <c r="A957" s="1"/>
      <c r="B957" s="1"/>
      <c r="C957" s="1"/>
      <c r="D957" s="1">
        <v>5</v>
      </c>
      <c r="E957" s="1">
        <v>2</v>
      </c>
      <c r="F957" s="1">
        <v>4</v>
      </c>
      <c r="G957" s="1"/>
      <c r="H957" s="1" t="str">
        <f>'BID 4 b'!B1032</f>
        <v>Belanja Jasa Sewa</v>
      </c>
      <c r="I957" s="1"/>
      <c r="J957" s="1"/>
      <c r="K957" s="73"/>
      <c r="L957" s="4"/>
    </row>
    <row r="958" spans="1:13" ht="30" x14ac:dyDescent="0.25">
      <c r="A958" s="1"/>
      <c r="B958" s="1"/>
      <c r="C958" s="1"/>
      <c r="D958" s="1"/>
      <c r="E958" s="1"/>
      <c r="F958" s="1"/>
      <c r="G958" s="1489" t="s">
        <v>3366</v>
      </c>
      <c r="H958" s="1" t="str">
        <f>'BID 4 b'!B1033</f>
        <v>Belanja Jasa Sewa Mobiltas</v>
      </c>
      <c r="I958" s="1"/>
      <c r="J958" s="1"/>
      <c r="K958" s="73">
        <f>'BID 4 b'!F1035</f>
        <v>15000000</v>
      </c>
      <c r="L958" s="4" t="s">
        <v>1777</v>
      </c>
    </row>
    <row r="959" spans="1:13" ht="30" x14ac:dyDescent="0.25">
      <c r="A959" s="865">
        <v>4</v>
      </c>
      <c r="B959" s="865">
        <v>2</v>
      </c>
      <c r="C959" s="1490" t="s">
        <v>3388</v>
      </c>
      <c r="D959" s="865"/>
      <c r="E959" s="865"/>
      <c r="F959" s="865"/>
      <c r="G959" s="865"/>
      <c r="H959" s="1061" t="str">
        <f>'BID 4 b'!B1051</f>
        <v>: Pelatihan PKPKD, PPKD dan TPK</v>
      </c>
      <c r="I959" s="865"/>
      <c r="J959" s="865"/>
      <c r="K959" s="1063">
        <f>SUM(K960:K966)</f>
        <v>1955204.83</v>
      </c>
      <c r="L959" s="1061" t="s">
        <v>1775</v>
      </c>
      <c r="M959" s="68">
        <f>'BID 4 b'!F1074</f>
        <v>1955204.83</v>
      </c>
    </row>
    <row r="960" spans="1:13" x14ac:dyDescent="0.25">
      <c r="A960" s="1"/>
      <c r="B960" s="1"/>
      <c r="C960" s="1"/>
      <c r="D960" s="1">
        <v>5</v>
      </c>
      <c r="E960" s="1">
        <v>2</v>
      </c>
      <c r="F960" s="1"/>
      <c r="G960" s="1"/>
      <c r="H960" s="1" t="str">
        <f>'BID 4 b'!B1057</f>
        <v>Belanja Barang dan Jasa</v>
      </c>
      <c r="I960" s="1"/>
      <c r="J960" s="1"/>
      <c r="K960" s="73"/>
      <c r="L960" s="1"/>
    </row>
    <row r="961" spans="1:13" ht="30" x14ac:dyDescent="0.25">
      <c r="A961" s="1"/>
      <c r="B961" s="1"/>
      <c r="C961" s="1"/>
      <c r="D961" s="1"/>
      <c r="E961" s="1"/>
      <c r="F961" s="1">
        <v>1</v>
      </c>
      <c r="G961" s="1"/>
      <c r="H961" s="4" t="str">
        <f>'BID 4 b'!B1058</f>
        <v>Belanja Barang Perlengkapan</v>
      </c>
      <c r="I961" s="1"/>
      <c r="J961" s="1"/>
      <c r="K961" s="73"/>
      <c r="L961" s="1"/>
    </row>
    <row r="962" spans="1:13" ht="30" x14ac:dyDescent="0.25">
      <c r="A962" s="1"/>
      <c r="B962" s="1"/>
      <c r="C962" s="1"/>
      <c r="D962" s="1"/>
      <c r="E962" s="1"/>
      <c r="F962" s="1"/>
      <c r="G962" s="1489" t="s">
        <v>3391</v>
      </c>
      <c r="H962" s="4" t="str">
        <f>'BID 4 b'!B1059</f>
        <v>Belanja Perlengkapan Barang Konsumsi</v>
      </c>
      <c r="I962" s="1"/>
      <c r="J962" s="1"/>
      <c r="K962" s="73">
        <f>'BID 4 b'!F1060</f>
        <v>1200000</v>
      </c>
      <c r="L962" s="4" t="s">
        <v>1775</v>
      </c>
    </row>
    <row r="963" spans="1:13" ht="30" x14ac:dyDescent="0.25">
      <c r="A963" s="1"/>
      <c r="B963" s="1"/>
      <c r="C963" s="1"/>
      <c r="D963" s="1"/>
      <c r="E963" s="1"/>
      <c r="F963" s="1"/>
      <c r="G963" s="1489" t="s">
        <v>3393</v>
      </c>
      <c r="H963" s="4" t="str">
        <f>'BID 4 b'!B1062</f>
        <v>Belanja Bendera/ Umbul-umbul/ Spanduk</v>
      </c>
      <c r="I963" s="1"/>
      <c r="J963" s="1"/>
      <c r="K963" s="73">
        <f>'BID 4 b'!F1063</f>
        <v>90204.83</v>
      </c>
      <c r="L963" s="4" t="s">
        <v>1775</v>
      </c>
    </row>
    <row r="964" spans="1:13" ht="30" x14ac:dyDescent="0.25">
      <c r="A964" s="1"/>
      <c r="B964" s="1"/>
      <c r="C964" s="1"/>
      <c r="D964" s="1"/>
      <c r="E964" s="1"/>
      <c r="F964" s="1"/>
      <c r="G964" s="1">
        <v>90</v>
      </c>
      <c r="H964" s="4" t="str">
        <f>'BID 4 b'!B1065</f>
        <v>Belanja Upakara, Upacara dan Aci</v>
      </c>
      <c r="I964" s="1"/>
      <c r="J964" s="1"/>
      <c r="K964" s="73">
        <f>SUM('BID 4 b'!F1066:F1068)</f>
        <v>65000</v>
      </c>
      <c r="L964" s="4" t="s">
        <v>1775</v>
      </c>
    </row>
    <row r="965" spans="1:13" x14ac:dyDescent="0.25">
      <c r="A965" s="1"/>
      <c r="B965" s="1"/>
      <c r="C965" s="1"/>
      <c r="D965" s="1">
        <v>5</v>
      </c>
      <c r="E965" s="1">
        <v>2</v>
      </c>
      <c r="F965" s="1">
        <v>2</v>
      </c>
      <c r="G965" s="1"/>
      <c r="H965" s="4" t="str">
        <f>'BID 4 b'!B1070</f>
        <v>Belanja  Jasa Honorarium</v>
      </c>
      <c r="I965" s="1"/>
      <c r="J965" s="1"/>
      <c r="K965" s="73"/>
      <c r="L965" s="1"/>
    </row>
    <row r="966" spans="1:13" ht="45" x14ac:dyDescent="0.25">
      <c r="A966" s="1"/>
      <c r="B966" s="1"/>
      <c r="C966" s="1"/>
      <c r="D966" s="1"/>
      <c r="E966" s="1"/>
      <c r="F966" s="1"/>
      <c r="G966" s="1489" t="s">
        <v>3389</v>
      </c>
      <c r="H966" s="4" t="str">
        <f>'BID 4 b'!B1071</f>
        <v>Belanja Jasa Honorarium Ahli/Profesi/Konsultan/Narasumber</v>
      </c>
      <c r="I966" s="1"/>
      <c r="J966" s="1"/>
      <c r="K966" s="73">
        <f>'BID 4 b'!F1072</f>
        <v>600000</v>
      </c>
      <c r="L966" s="4" t="s">
        <v>1775</v>
      </c>
    </row>
    <row r="967" spans="1:13" ht="45" x14ac:dyDescent="0.25">
      <c r="A967" s="865">
        <v>4</v>
      </c>
      <c r="B967" s="865">
        <v>3</v>
      </c>
      <c r="C967" s="1490" t="s">
        <v>3366</v>
      </c>
      <c r="D967" s="865"/>
      <c r="E967" s="865"/>
      <c r="F967" s="865"/>
      <c r="G967" s="865"/>
      <c r="H967" s="1061" t="str">
        <f>'BID 4 b'!B1089</f>
        <v xml:space="preserve">: Pembinaan Kelompok P2WKSS  </v>
      </c>
      <c r="I967" s="865"/>
      <c r="J967" s="865"/>
      <c r="K967" s="1063">
        <f>SUM(K968:K975)</f>
        <v>1820000</v>
      </c>
      <c r="L967" s="1061" t="s">
        <v>3297</v>
      </c>
      <c r="M967" s="68">
        <f>'BID 4 b'!F1108</f>
        <v>1820000</v>
      </c>
    </row>
    <row r="968" spans="1:13" x14ac:dyDescent="0.25">
      <c r="A968" s="1"/>
      <c r="B968" s="1"/>
      <c r="C968" s="1"/>
      <c r="D968" s="1">
        <v>5</v>
      </c>
      <c r="E968" s="1">
        <v>2</v>
      </c>
      <c r="F968" s="1"/>
      <c r="G968" s="1"/>
      <c r="H968" s="4" t="str">
        <f>'BID 4 b'!B1094</f>
        <v>Belanja Barang Jasa</v>
      </c>
      <c r="I968" s="1"/>
      <c r="J968" s="1"/>
      <c r="K968" s="73"/>
      <c r="L968" s="1"/>
    </row>
    <row r="969" spans="1:13" ht="30" x14ac:dyDescent="0.25">
      <c r="A969" s="1"/>
      <c r="B969" s="1"/>
      <c r="C969" s="1"/>
      <c r="D969" s="1"/>
      <c r="E969" s="1"/>
      <c r="F969" s="1">
        <v>1</v>
      </c>
      <c r="G969" s="1"/>
      <c r="H969" s="4" t="str">
        <f>'BID 4 b'!B1095</f>
        <v>Belanja Barang Perlengkapan</v>
      </c>
      <c r="I969" s="1"/>
      <c r="J969" s="1"/>
      <c r="K969" s="73"/>
      <c r="L969" s="1"/>
    </row>
    <row r="970" spans="1:13" ht="45" x14ac:dyDescent="0.25">
      <c r="A970" s="1"/>
      <c r="B970" s="1"/>
      <c r="C970" s="1"/>
      <c r="D970" s="1"/>
      <c r="E970" s="1"/>
      <c r="F970" s="1"/>
      <c r="G970" s="1489" t="s">
        <v>3366</v>
      </c>
      <c r="H970" s="4" t="str">
        <f>'BID 4 b'!B1096</f>
        <v>Belanja Alat Tulis</v>
      </c>
      <c r="I970" s="1"/>
      <c r="J970" s="1"/>
      <c r="K970" s="73">
        <f>'BID 4 b'!F1097</f>
        <v>280000</v>
      </c>
      <c r="L970" s="4" t="s">
        <v>3297</v>
      </c>
    </row>
    <row r="971" spans="1:13" ht="45" x14ac:dyDescent="0.25">
      <c r="A971" s="1"/>
      <c r="B971" s="1"/>
      <c r="C971" s="1"/>
      <c r="D971" s="1"/>
      <c r="E971" s="1"/>
      <c r="F971" s="1"/>
      <c r="G971" s="1489" t="s">
        <v>3391</v>
      </c>
      <c r="H971" s="4" t="str">
        <f>'BID 4 b'!B1098</f>
        <v>Belanja Perlengkapan Barang Konsumsi</v>
      </c>
      <c r="I971" s="1"/>
      <c r="J971" s="1"/>
      <c r="K971" s="73">
        <f>SUM('BID 4 b'!F1099)</f>
        <v>800000</v>
      </c>
      <c r="L971" s="4" t="s">
        <v>3297</v>
      </c>
    </row>
    <row r="972" spans="1:13" ht="45" x14ac:dyDescent="0.25">
      <c r="A972" s="1"/>
      <c r="B972" s="1"/>
      <c r="C972" s="1"/>
      <c r="D972" s="1"/>
      <c r="E972" s="1"/>
      <c r="F972" s="1"/>
      <c r="G972" s="1489" t="s">
        <v>3393</v>
      </c>
      <c r="H972" s="4" t="str">
        <f>'BID 4 b'!B1100</f>
        <v>Belanja Bendera/ Umbul-umbul/ Spanduk</v>
      </c>
      <c r="I972" s="1"/>
      <c r="J972" s="1"/>
      <c r="K972" s="73">
        <f>SUM('BID 4 b'!F1101)</f>
        <v>90000</v>
      </c>
      <c r="L972" s="4" t="s">
        <v>3297</v>
      </c>
    </row>
    <row r="973" spans="1:13" ht="45" x14ac:dyDescent="0.25">
      <c r="A973" s="1"/>
      <c r="B973" s="1"/>
      <c r="C973" s="1"/>
      <c r="D973" s="1"/>
      <c r="E973" s="1"/>
      <c r="F973" s="1"/>
      <c r="G973" s="1489">
        <v>90</v>
      </c>
      <c r="H973" s="4" t="str">
        <f>'BID 4 b'!B1102</f>
        <v>Belanja Aci</v>
      </c>
      <c r="I973" s="1"/>
      <c r="J973" s="1"/>
      <c r="K973" s="73">
        <f>'BID 4 b'!F1103</f>
        <v>50000</v>
      </c>
      <c r="L973" s="4" t="s">
        <v>3297</v>
      </c>
    </row>
    <row r="974" spans="1:13" x14ac:dyDescent="0.25">
      <c r="A974" s="1"/>
      <c r="B974" s="1"/>
      <c r="C974" s="1"/>
      <c r="D974" s="1">
        <v>5</v>
      </c>
      <c r="E974" s="1">
        <v>2</v>
      </c>
      <c r="F974" s="1">
        <v>2</v>
      </c>
      <c r="G974" s="1"/>
      <c r="H974" s="1" t="str">
        <f>'BID 4 b'!B1104</f>
        <v>Belanja Jasa Honorarium</v>
      </c>
      <c r="I974" s="1"/>
      <c r="J974" s="1"/>
      <c r="K974" s="73"/>
      <c r="L974" s="1"/>
    </row>
    <row r="975" spans="1:13" ht="60" x14ac:dyDescent="0.25">
      <c r="A975" s="1"/>
      <c r="B975" s="1"/>
      <c r="C975" s="1"/>
      <c r="D975" s="1"/>
      <c r="E975" s="1"/>
      <c r="F975" s="1"/>
      <c r="G975" s="1489" t="s">
        <v>3389</v>
      </c>
      <c r="H975" s="4" t="str">
        <f>'BID 4 b'!B1105</f>
        <v>Belanja Jasa Honorarium Ahli/ Profesi/Konsultan/Narasumber</v>
      </c>
      <c r="I975" s="1"/>
      <c r="J975" s="1"/>
      <c r="K975" s="73">
        <f>'BID 4 b'!F1106</f>
        <v>600000</v>
      </c>
      <c r="L975" s="4" t="s">
        <v>3297</v>
      </c>
    </row>
    <row r="976" spans="1:13" ht="30" x14ac:dyDescent="0.25">
      <c r="A976" s="865">
        <v>4</v>
      </c>
      <c r="B976" s="865">
        <v>4</v>
      </c>
      <c r="C976" s="865"/>
      <c r="D976" s="865"/>
      <c r="E976" s="865"/>
      <c r="F976" s="865"/>
      <c r="G976" s="1490"/>
      <c r="H976" s="1061" t="s">
        <v>3427</v>
      </c>
      <c r="I976" s="865"/>
      <c r="J976" s="865"/>
      <c r="K976" s="1063"/>
      <c r="L976" s="865"/>
    </row>
    <row r="977" spans="1:13" ht="75" x14ac:dyDescent="0.25">
      <c r="A977" s="865">
        <v>4</v>
      </c>
      <c r="B977" s="865">
        <v>4</v>
      </c>
      <c r="C977" s="1490" t="s">
        <v>3366</v>
      </c>
      <c r="D977" s="865"/>
      <c r="E977" s="865"/>
      <c r="F977" s="865"/>
      <c r="G977" s="865"/>
      <c r="H977" s="1061" t="str">
        <f>'BID 4 b'!B1181</f>
        <v>: Pelatihan dan Penyuluhan Pemberdayaan Perempuan Pembinaan WHDI</v>
      </c>
      <c r="I977" s="865"/>
      <c r="J977" s="865"/>
      <c r="K977" s="1063">
        <f>SUM(K978:K987)</f>
        <v>9688000</v>
      </c>
      <c r="L977" s="865" t="s">
        <v>1220</v>
      </c>
      <c r="M977" s="68">
        <f>'BID 4 b'!F1256</f>
        <v>9688000</v>
      </c>
    </row>
    <row r="978" spans="1:13" x14ac:dyDescent="0.25">
      <c r="A978" s="1"/>
      <c r="B978" s="1"/>
      <c r="C978" s="1"/>
      <c r="D978" s="1">
        <v>5</v>
      </c>
      <c r="E978" s="1">
        <v>2</v>
      </c>
      <c r="F978" s="1"/>
      <c r="G978" s="1"/>
      <c r="H978" s="4" t="str">
        <f>'BID 4 b'!B1186</f>
        <v>Belanja Barang Jasa</v>
      </c>
      <c r="I978" s="1"/>
      <c r="J978" s="1"/>
      <c r="K978" s="73"/>
      <c r="L978" s="1"/>
    </row>
    <row r="979" spans="1:13" ht="30" x14ac:dyDescent="0.25">
      <c r="A979" s="1"/>
      <c r="B979" s="1"/>
      <c r="C979" s="1"/>
      <c r="D979" s="1"/>
      <c r="E979" s="1"/>
      <c r="F979" s="1">
        <v>1</v>
      </c>
      <c r="G979" s="1"/>
      <c r="H979" s="4" t="str">
        <f>'BID 4 b'!B1187</f>
        <v>Belanja Barang Perlengkapan</v>
      </c>
      <c r="I979" s="1"/>
      <c r="J979" s="1"/>
      <c r="K979" s="73"/>
      <c r="L979" s="1"/>
    </row>
    <row r="980" spans="1:13" ht="45" x14ac:dyDescent="0.25">
      <c r="A980" s="1"/>
      <c r="B980" s="1"/>
      <c r="C980" s="1"/>
      <c r="D980" s="1"/>
      <c r="E980" s="1"/>
      <c r="F980" s="1"/>
      <c r="G980" s="1489" t="s">
        <v>3366</v>
      </c>
      <c r="H980" s="4" t="str">
        <f>'BID 4 b'!B1188</f>
        <v>Belanja Perlengkapan Alat Tulis Kantor dan Benda Pos</v>
      </c>
      <c r="I980" s="1"/>
      <c r="J980" s="1"/>
      <c r="K980" s="73">
        <f>'BID 4 b'!F1189+'BID 4 b'!F1190</f>
        <v>900000</v>
      </c>
      <c r="L980" s="1" t="s">
        <v>1220</v>
      </c>
    </row>
    <row r="981" spans="1:13" ht="30" x14ac:dyDescent="0.25">
      <c r="A981" s="1"/>
      <c r="B981" s="1"/>
      <c r="C981" s="1"/>
      <c r="D981" s="1"/>
      <c r="E981" s="1"/>
      <c r="F981" s="1"/>
      <c r="G981" s="1489" t="s">
        <v>3391</v>
      </c>
      <c r="H981" s="4" t="str">
        <f>'BID 4 b'!B1191</f>
        <v>Belanja Perlengkapan Barang Konsumsi</v>
      </c>
      <c r="I981" s="1"/>
      <c r="J981" s="1"/>
      <c r="K981" s="73">
        <f>'BID 4 b'!F1192</f>
        <v>1860000</v>
      </c>
      <c r="L981" s="1" t="s">
        <v>1220</v>
      </c>
    </row>
    <row r="982" spans="1:13" ht="30" x14ac:dyDescent="0.25">
      <c r="A982" s="1"/>
      <c r="B982" s="1"/>
      <c r="C982" s="1"/>
      <c r="D982" s="1"/>
      <c r="E982" s="1"/>
      <c r="F982" s="1"/>
      <c r="G982" s="1489" t="s">
        <v>3393</v>
      </c>
      <c r="H982" s="4" t="str">
        <f>'BID 4 b'!B1194</f>
        <v>Belanja Bendera/ Umbul-umbul/ Spanduk</v>
      </c>
      <c r="I982" s="1"/>
      <c r="J982" s="1"/>
      <c r="K982" s="73">
        <f>'BID 4 b'!F1195</f>
        <v>90000</v>
      </c>
      <c r="L982" s="1" t="s">
        <v>1220</v>
      </c>
    </row>
    <row r="983" spans="1:13" ht="30" x14ac:dyDescent="0.25">
      <c r="A983" s="1"/>
      <c r="B983" s="1"/>
      <c r="C983" s="1"/>
      <c r="D983" s="1"/>
      <c r="E983" s="1"/>
      <c r="F983" s="1"/>
      <c r="G983" s="1">
        <v>90</v>
      </c>
      <c r="H983" s="4" t="str">
        <f>'BID 4 b'!B1196</f>
        <v>Belanja Upakara,Upacara dan Aci-Aci</v>
      </c>
      <c r="I983" s="1"/>
      <c r="J983" s="1"/>
      <c r="K983" s="73">
        <f>SUM('BID 4 b'!F1197:F1199)</f>
        <v>195000</v>
      </c>
      <c r="L983" s="1" t="s">
        <v>1220</v>
      </c>
    </row>
    <row r="984" spans="1:13" x14ac:dyDescent="0.25">
      <c r="A984" s="1"/>
      <c r="B984" s="1"/>
      <c r="C984" s="1"/>
      <c r="D984" s="1">
        <v>5</v>
      </c>
      <c r="E984" s="1">
        <v>2</v>
      </c>
      <c r="F984" s="1">
        <v>2</v>
      </c>
      <c r="G984" s="1"/>
      <c r="H984" s="4" t="str">
        <f>'BID 4 b'!B1200</f>
        <v>Belanja Jasa Honorarium</v>
      </c>
      <c r="I984" s="1"/>
      <c r="J984" s="1"/>
      <c r="K984" s="73"/>
      <c r="L984" s="1"/>
    </row>
    <row r="985" spans="1:13" ht="60" x14ac:dyDescent="0.25">
      <c r="A985" s="1"/>
      <c r="B985" s="1"/>
      <c r="C985" s="1"/>
      <c r="D985" s="1"/>
      <c r="E985" s="1"/>
      <c r="F985" s="1"/>
      <c r="G985" s="1489" t="s">
        <v>3389</v>
      </c>
      <c r="H985" s="4" t="str">
        <f>'BID 4 b'!B1201</f>
        <v>Belanja Jasa Honorarium Ahli/ Profesi/Konsultan/Narasumber</v>
      </c>
      <c r="I985" s="1"/>
      <c r="J985" s="1"/>
      <c r="K985" s="73">
        <f>SUM('BID 4 b'!F1202)</f>
        <v>1800000</v>
      </c>
      <c r="L985" s="1" t="s">
        <v>1220</v>
      </c>
    </row>
    <row r="986" spans="1:13" ht="45" x14ac:dyDescent="0.25">
      <c r="A986" s="1"/>
      <c r="B986" s="1"/>
      <c r="C986" s="1"/>
      <c r="D986" s="1">
        <v>5</v>
      </c>
      <c r="E986" s="1">
        <v>2</v>
      </c>
      <c r="F986" s="1">
        <v>7</v>
      </c>
      <c r="G986" s="1"/>
      <c r="H986" s="4" t="str">
        <f>'BID 4 b'!B1203</f>
        <v>Belanja Barang dan Jasa Yang Diserahkan Kepada Masyarakat</v>
      </c>
      <c r="I986" s="1"/>
      <c r="J986" s="1"/>
      <c r="K986" s="73"/>
      <c r="L986" s="1"/>
    </row>
    <row r="987" spans="1:13" ht="60" x14ac:dyDescent="0.25">
      <c r="A987" s="1"/>
      <c r="B987" s="1"/>
      <c r="C987" s="1"/>
      <c r="D987" s="1"/>
      <c r="E987" s="1"/>
      <c r="F987" s="1"/>
      <c r="G987" s="1489" t="s">
        <v>3366</v>
      </c>
      <c r="H987" s="4" t="str">
        <f>'BID 4 b'!B1204</f>
        <v>Belanja Bahan Perlengkapan Untuk Diserahkan Kepada Masyarakat</v>
      </c>
      <c r="I987" s="1"/>
      <c r="J987" s="1"/>
      <c r="K987" s="73">
        <f>SUM('BID 4 b'!F1205:F1255)</f>
        <v>4843000</v>
      </c>
      <c r="L987" s="1" t="s">
        <v>1220</v>
      </c>
    </row>
    <row r="988" spans="1:13" ht="75" x14ac:dyDescent="0.25">
      <c r="A988" s="865">
        <v>4</v>
      </c>
      <c r="B988" s="865">
        <v>4</v>
      </c>
      <c r="C988" s="1490" t="s">
        <v>3366</v>
      </c>
      <c r="D988" s="865"/>
      <c r="E988" s="865"/>
      <c r="F988" s="865"/>
      <c r="G988" s="865"/>
      <c r="H988" s="1061" t="str">
        <f>'BID 4 b'!B1270</f>
        <v>: Pelatihan dan Penyuluhan Pemberdayaan Perempuan Pembinaan PHDI</v>
      </c>
      <c r="I988" s="865"/>
      <c r="J988" s="865"/>
      <c r="K988" s="1063">
        <f>SUM(K989:K996)</f>
        <v>1915000</v>
      </c>
      <c r="L988" s="865" t="s">
        <v>1220</v>
      </c>
      <c r="M988" s="68">
        <f>'BID 4 b'!F1292</f>
        <v>1915000</v>
      </c>
    </row>
    <row r="989" spans="1:13" x14ac:dyDescent="0.25">
      <c r="A989" s="1"/>
      <c r="B989" s="1"/>
      <c r="C989" s="1"/>
      <c r="D989" s="1">
        <v>5</v>
      </c>
      <c r="E989" s="1">
        <v>2</v>
      </c>
      <c r="F989" s="1"/>
      <c r="G989" s="1"/>
      <c r="H989" s="4" t="str">
        <f>'BID 4 b'!B1275</f>
        <v>Belanja Barang Jasa</v>
      </c>
      <c r="I989" s="1"/>
      <c r="J989" s="1"/>
      <c r="K989" s="73"/>
      <c r="L989" s="1"/>
    </row>
    <row r="990" spans="1:13" ht="30" x14ac:dyDescent="0.25">
      <c r="A990" s="1"/>
      <c r="B990" s="1"/>
      <c r="C990" s="1"/>
      <c r="D990" s="1"/>
      <c r="E990" s="1"/>
      <c r="F990" s="1">
        <v>1</v>
      </c>
      <c r="G990" s="1"/>
      <c r="H990" s="4" t="str">
        <f>'BID 4 b'!B1276</f>
        <v>Belanja Barang Perlengkapan</v>
      </c>
      <c r="I990" s="1"/>
      <c r="J990" s="1"/>
      <c r="K990" s="73"/>
      <c r="L990" s="1"/>
    </row>
    <row r="991" spans="1:13" ht="45" x14ac:dyDescent="0.25">
      <c r="A991" s="1"/>
      <c r="B991" s="1"/>
      <c r="C991" s="1"/>
      <c r="D991" s="1"/>
      <c r="E991" s="1"/>
      <c r="F991" s="1"/>
      <c r="G991" s="1489" t="s">
        <v>3366</v>
      </c>
      <c r="H991" s="4" t="str">
        <f>'BID 4 b'!B1277</f>
        <v>Belanja Perlengkapan Alat Tulis Kantor dan Benda Pos</v>
      </c>
      <c r="I991" s="1"/>
      <c r="J991" s="1"/>
      <c r="K991" s="73">
        <f>SUM('BID 4 b'!F1278:F1279)</f>
        <v>420000</v>
      </c>
      <c r="L991" s="1" t="s">
        <v>1220</v>
      </c>
    </row>
    <row r="992" spans="1:13" ht="30" x14ac:dyDescent="0.25">
      <c r="A992" s="1"/>
      <c r="B992" s="1"/>
      <c r="C992" s="1"/>
      <c r="D992" s="1"/>
      <c r="E992" s="1"/>
      <c r="F992" s="1"/>
      <c r="G992" s="1489" t="s">
        <v>3391</v>
      </c>
      <c r="H992" s="4" t="str">
        <f>'BID 4 b'!B1280</f>
        <v>Belanja Perlengkapan Barang Konsumsi</v>
      </c>
      <c r="I992" s="1"/>
      <c r="J992" s="1"/>
      <c r="K992" s="73">
        <f>SUM('BID 4 b'!F1281)</f>
        <v>740000</v>
      </c>
      <c r="L992" s="1" t="s">
        <v>1220</v>
      </c>
    </row>
    <row r="993" spans="1:13" ht="30" x14ac:dyDescent="0.25">
      <c r="A993" s="1"/>
      <c r="B993" s="1"/>
      <c r="C993" s="1"/>
      <c r="D993" s="1"/>
      <c r="E993" s="1"/>
      <c r="F993" s="1"/>
      <c r="G993" s="1489" t="s">
        <v>3393</v>
      </c>
      <c r="H993" s="4" t="str">
        <f>'BID 4 b'!B1283</f>
        <v>Belanja Bendera/ Umbul-umbul/ Spanduk</v>
      </c>
      <c r="I993" s="1"/>
      <c r="J993" s="1"/>
      <c r="K993" s="73">
        <f>'BID 4 b'!F1284</f>
        <v>90000</v>
      </c>
      <c r="L993" s="1" t="s">
        <v>1220</v>
      </c>
    </row>
    <row r="994" spans="1:13" ht="30" x14ac:dyDescent="0.25">
      <c r="A994" s="1"/>
      <c r="B994" s="1"/>
      <c r="C994" s="1"/>
      <c r="D994" s="1"/>
      <c r="E994" s="1"/>
      <c r="F994" s="1"/>
      <c r="G994" s="1489">
        <v>90</v>
      </c>
      <c r="H994" s="4" t="str">
        <f>'BID 4 b'!B1285</f>
        <v>Belanja Upakara,Upacara dan Aci-Aci</v>
      </c>
      <c r="I994" s="1"/>
      <c r="J994" s="1"/>
      <c r="K994" s="73">
        <f>SUM('BID 4 b'!F1286:F1288)</f>
        <v>65000</v>
      </c>
      <c r="L994" s="1" t="s">
        <v>1220</v>
      </c>
    </row>
    <row r="995" spans="1:13" x14ac:dyDescent="0.25">
      <c r="A995" s="1"/>
      <c r="B995" s="1"/>
      <c r="C995" s="1"/>
      <c r="D995" s="1">
        <v>5</v>
      </c>
      <c r="E995" s="1">
        <v>2</v>
      </c>
      <c r="F995" s="1">
        <v>2</v>
      </c>
      <c r="G995" s="1"/>
      <c r="H995" s="4" t="str">
        <f>'BID 4 b'!B1289</f>
        <v>Belanja Jasa Honorarium</v>
      </c>
      <c r="I995" s="1"/>
      <c r="J995" s="1"/>
      <c r="K995" s="73"/>
      <c r="L995" s="1"/>
    </row>
    <row r="996" spans="1:13" ht="60" x14ac:dyDescent="0.25">
      <c r="A996" s="1"/>
      <c r="B996" s="1"/>
      <c r="C996" s="1"/>
      <c r="D996" s="1"/>
      <c r="E996" s="1"/>
      <c r="F996" s="1"/>
      <c r="G996" s="1489" t="s">
        <v>3389</v>
      </c>
      <c r="H996" s="4" t="str">
        <f>'BID 4 b'!B1290</f>
        <v>Belanja Jasa Honorarium Ahli/ Profesi/Konsultan/Narasumber</v>
      </c>
      <c r="I996" s="1"/>
      <c r="J996" s="1"/>
      <c r="K996" s="73">
        <f>'BID 4 b'!F1291</f>
        <v>600000</v>
      </c>
      <c r="L996" s="1" t="s">
        <v>1220</v>
      </c>
    </row>
    <row r="997" spans="1:13" ht="90" x14ac:dyDescent="0.25">
      <c r="A997" s="865">
        <v>4</v>
      </c>
      <c r="B997" s="865">
        <v>4</v>
      </c>
      <c r="C997" s="1490" t="s">
        <v>3386</v>
      </c>
      <c r="D997" s="865"/>
      <c r="E997" s="865"/>
      <c r="F997" s="865"/>
      <c r="G997" s="865"/>
      <c r="H997" s="1061" t="str">
        <f>'BID 4 b'!B1305</f>
        <v>: Pengembangan sarana dan prasarana usaha mikro, kecil dan menengah serta koprasi  (Pelatihan Management BUMDes)</v>
      </c>
      <c r="I997" s="865"/>
      <c r="J997" s="865"/>
      <c r="K997" s="1063">
        <f>SUM(K998:K1006)</f>
        <v>13855000</v>
      </c>
      <c r="L997" s="865" t="s">
        <v>1223</v>
      </c>
      <c r="M997" s="68">
        <f>'BID 4 b'!F1331</f>
        <v>13855000</v>
      </c>
    </row>
    <row r="998" spans="1:13" x14ac:dyDescent="0.25">
      <c r="A998" s="1"/>
      <c r="B998" s="1"/>
      <c r="C998" s="1"/>
      <c r="D998" s="1">
        <v>5</v>
      </c>
      <c r="E998" s="1">
        <v>2</v>
      </c>
      <c r="F998" s="1"/>
      <c r="G998" s="1"/>
      <c r="H998" s="4" t="str">
        <f>'BID 4 b'!B1311</f>
        <v>Belanja Barang Dan Jasa</v>
      </c>
      <c r="I998" s="1"/>
      <c r="J998" s="1"/>
      <c r="K998" s="73"/>
      <c r="L998" s="1"/>
    </row>
    <row r="999" spans="1:13" ht="30" x14ac:dyDescent="0.25">
      <c r="A999" s="1"/>
      <c r="B999" s="1"/>
      <c r="C999" s="1"/>
      <c r="D999" s="1"/>
      <c r="E999" s="1"/>
      <c r="F999" s="1">
        <v>1</v>
      </c>
      <c r="G999" s="1"/>
      <c r="H999" s="4" t="str">
        <f>'BID 4 b'!B1312</f>
        <v>Belanja Barang Perlengkapan</v>
      </c>
      <c r="I999" s="1"/>
      <c r="J999" s="1"/>
      <c r="K999" s="73"/>
      <c r="L999" s="1"/>
    </row>
    <row r="1000" spans="1:13" ht="30" x14ac:dyDescent="0.25">
      <c r="A1000" s="1"/>
      <c r="B1000" s="1"/>
      <c r="C1000" s="1"/>
      <c r="D1000" s="1"/>
      <c r="E1000" s="1"/>
      <c r="F1000" s="1"/>
      <c r="G1000" s="1489" t="s">
        <v>3391</v>
      </c>
      <c r="H1000" s="4" t="str">
        <f>'BID 4 b'!B1313</f>
        <v>Belanja Perlengkapan Barang Konsumsi</v>
      </c>
      <c r="I1000" s="1"/>
      <c r="J1000" s="1"/>
      <c r="K1000" s="73">
        <f>'BID 4 b'!F1314</f>
        <v>600000</v>
      </c>
      <c r="L1000" s="1" t="s">
        <v>1223</v>
      </c>
    </row>
    <row r="1001" spans="1:13" ht="30" x14ac:dyDescent="0.25">
      <c r="A1001" s="1"/>
      <c r="B1001" s="1"/>
      <c r="C1001" s="1"/>
      <c r="D1001" s="1"/>
      <c r="E1001" s="1"/>
      <c r="F1001" s="1"/>
      <c r="G1001" s="1489" t="s">
        <v>3393</v>
      </c>
      <c r="H1001" s="4" t="str">
        <f>'BID 4 b'!B1316</f>
        <v>Belanja Bendera/ Umbul-umbul/ Spanduk</v>
      </c>
      <c r="I1001" s="1"/>
      <c r="J1001" s="1"/>
      <c r="K1001" s="73">
        <f>'BID 4 b'!F1317</f>
        <v>90000</v>
      </c>
      <c r="L1001" s="1" t="s">
        <v>1223</v>
      </c>
    </row>
    <row r="1002" spans="1:13" ht="30" x14ac:dyDescent="0.25">
      <c r="A1002" s="1"/>
      <c r="B1002" s="1"/>
      <c r="C1002" s="1"/>
      <c r="D1002" s="1"/>
      <c r="E1002" s="1"/>
      <c r="F1002" s="1"/>
      <c r="G1002" s="1">
        <v>90</v>
      </c>
      <c r="H1002" s="4" t="str">
        <f>'BID 4 b'!B1319</f>
        <v>Belanja Upakara, Upacara dan Aci</v>
      </c>
      <c r="I1002" s="1"/>
      <c r="J1002" s="1"/>
      <c r="K1002" s="73">
        <f>SUM('BID 4 b'!F1320:F1321)</f>
        <v>65000</v>
      </c>
      <c r="L1002" s="1" t="s">
        <v>1223</v>
      </c>
    </row>
    <row r="1003" spans="1:13" x14ac:dyDescent="0.25">
      <c r="A1003" s="1"/>
      <c r="B1003" s="1"/>
      <c r="C1003" s="1"/>
      <c r="D1003" s="1">
        <v>5</v>
      </c>
      <c r="E1003" s="1">
        <v>2</v>
      </c>
      <c r="F1003" s="1">
        <v>2</v>
      </c>
      <c r="G1003" s="1"/>
      <c r="H1003" s="4" t="str">
        <f>'BID 4 b'!B1323</f>
        <v>Belanja Honorarium</v>
      </c>
      <c r="I1003" s="1"/>
      <c r="J1003" s="1"/>
      <c r="K1003" s="73"/>
      <c r="L1003" s="1"/>
    </row>
    <row r="1004" spans="1:13" ht="45" x14ac:dyDescent="0.25">
      <c r="A1004" s="1"/>
      <c r="B1004" s="1"/>
      <c r="C1004" s="1"/>
      <c r="D1004" s="1"/>
      <c r="E1004" s="1"/>
      <c r="F1004" s="1"/>
      <c r="G1004" s="1489" t="s">
        <v>3389</v>
      </c>
      <c r="H1004" s="4" t="str">
        <f>'BID 4 b'!B1324</f>
        <v>Belanja Jasa Honorarium Ahli/Profesi/Konsultan/Narasumber</v>
      </c>
      <c r="I1004" s="1"/>
      <c r="J1004" s="1"/>
      <c r="K1004" s="73">
        <f>SUM('BID 4 b'!F1325)</f>
        <v>600000</v>
      </c>
      <c r="L1004" s="1" t="s">
        <v>1223</v>
      </c>
    </row>
    <row r="1005" spans="1:13" x14ac:dyDescent="0.25">
      <c r="A1005" s="1"/>
      <c r="B1005" s="1"/>
      <c r="C1005" s="1"/>
      <c r="D1005" s="1">
        <v>5</v>
      </c>
      <c r="E1005" s="1">
        <v>2</v>
      </c>
      <c r="F1005" s="1">
        <v>4</v>
      </c>
      <c r="G1005" s="1"/>
      <c r="H1005" s="4" t="str">
        <f>'BID 4 b'!B1326</f>
        <v>Belanja Jasa Sewa</v>
      </c>
      <c r="I1005" s="1"/>
      <c r="J1005" s="1"/>
      <c r="K1005" s="73"/>
      <c r="L1005" s="1"/>
    </row>
    <row r="1006" spans="1:13" ht="30" x14ac:dyDescent="0.25">
      <c r="A1006" s="1"/>
      <c r="B1006" s="1"/>
      <c r="C1006" s="1"/>
      <c r="D1006" s="1"/>
      <c r="E1006" s="1"/>
      <c r="F1006" s="1"/>
      <c r="G1006" s="1489" t="s">
        <v>3366</v>
      </c>
      <c r="H1006" s="4" t="str">
        <f>'BID 4 b'!B1327</f>
        <v>Belanja Jasa Sewa Mobiltas</v>
      </c>
      <c r="I1006" s="1"/>
      <c r="J1006" s="1"/>
      <c r="K1006" s="73">
        <f>SUM('BID 4 b'!F1329)</f>
        <v>12500000</v>
      </c>
      <c r="L1006" s="1" t="s">
        <v>1223</v>
      </c>
    </row>
    <row r="1007" spans="1:13" ht="30" x14ac:dyDescent="0.25">
      <c r="A1007" s="865">
        <v>4</v>
      </c>
      <c r="B1007" s="865">
        <v>6</v>
      </c>
      <c r="C1007" s="865"/>
      <c r="D1007" s="865"/>
      <c r="E1007" s="865"/>
      <c r="F1007" s="865"/>
      <c r="G1007" s="1490"/>
      <c r="H1007" s="1061" t="s">
        <v>3428</v>
      </c>
      <c r="I1007" s="865"/>
      <c r="J1007" s="865"/>
      <c r="K1007" s="1063"/>
      <c r="L1007" s="865"/>
    </row>
    <row r="1008" spans="1:13" ht="105" x14ac:dyDescent="0.25">
      <c r="A1008" s="865">
        <v>4</v>
      </c>
      <c r="B1008" s="865">
        <v>6</v>
      </c>
      <c r="C1008" s="1490" t="s">
        <v>3386</v>
      </c>
      <c r="D1008" s="865"/>
      <c r="E1008" s="865"/>
      <c r="F1008" s="865"/>
      <c r="G1008" s="865"/>
      <c r="H1008" s="1061" t="str">
        <f>'BID 4 b'!B1344</f>
        <v>: Pengembangan sarana dan prasarana usaha mikro, kecil dan menengah serta koprasi  (Pembentukan dan Sosialisasi Koperasi Desa Merah Putih)</v>
      </c>
      <c r="I1008" s="865"/>
      <c r="J1008" s="865"/>
      <c r="K1008" s="1063">
        <f>SUM(K1009:K1013)</f>
        <v>14715000</v>
      </c>
      <c r="L1008" s="865" t="s">
        <v>1410</v>
      </c>
      <c r="M1008" s="68">
        <f>'BID 4 b'!F1363</f>
        <v>14715000</v>
      </c>
    </row>
    <row r="1009" spans="1:14" x14ac:dyDescent="0.25">
      <c r="A1009" s="1"/>
      <c r="B1009" s="1"/>
      <c r="C1009" s="1"/>
      <c r="D1009" s="1">
        <v>5</v>
      </c>
      <c r="E1009" s="1">
        <v>2</v>
      </c>
      <c r="F1009" s="1"/>
      <c r="G1009" s="1"/>
      <c r="H1009" s="4" t="str">
        <f>'BID 4 b'!B1350</f>
        <v>Belanja Barang Dan Jasa</v>
      </c>
      <c r="I1009" s="1"/>
      <c r="J1009" s="1"/>
      <c r="K1009" s="73"/>
      <c r="L1009" s="1"/>
    </row>
    <row r="1010" spans="1:14" ht="30" x14ac:dyDescent="0.25">
      <c r="A1010" s="1"/>
      <c r="B1010" s="1"/>
      <c r="C1010" s="1"/>
      <c r="D1010" s="1"/>
      <c r="E1010" s="1"/>
      <c r="F1010" s="1">
        <v>1</v>
      </c>
      <c r="G1010" s="1"/>
      <c r="H1010" s="4" t="str">
        <f>'BID 4 b'!B1351</f>
        <v>Belanja Barang Perlengkapan</v>
      </c>
      <c r="I1010" s="1"/>
      <c r="J1010" s="1"/>
      <c r="K1010" s="73"/>
      <c r="L1010" s="1"/>
    </row>
    <row r="1011" spans="1:14" ht="30" x14ac:dyDescent="0.25">
      <c r="A1011" s="1"/>
      <c r="B1011" s="1"/>
      <c r="C1011" s="1"/>
      <c r="D1011" s="1"/>
      <c r="E1011" s="1"/>
      <c r="F1011" s="1"/>
      <c r="G1011" s="1489" t="s">
        <v>3391</v>
      </c>
      <c r="H1011" s="4" t="str">
        <f>'BID 4 b'!B1352</f>
        <v>Belanja Perlengkapan Barang Konsumsi</v>
      </c>
      <c r="I1011" s="1"/>
      <c r="J1011" s="1"/>
      <c r="K1011" s="73">
        <f>'BID 4 b'!F1353+'BID 4 b'!F1354</f>
        <v>13800000</v>
      </c>
      <c r="L1011" s="1" t="s">
        <v>1410</v>
      </c>
    </row>
    <row r="1012" spans="1:14" ht="30" x14ac:dyDescent="0.25">
      <c r="A1012" s="1"/>
      <c r="B1012" s="1"/>
      <c r="C1012" s="1"/>
      <c r="D1012" s="1"/>
      <c r="E1012" s="1"/>
      <c r="F1012" s="1"/>
      <c r="G1012" s="1489" t="s">
        <v>3393</v>
      </c>
      <c r="H1012" s="4" t="str">
        <f>'BID 4 b'!B1355</f>
        <v>Belanja Bendera/ Umbul-umbul/ Spanduk</v>
      </c>
      <c r="I1012" s="1"/>
      <c r="J1012" s="1"/>
      <c r="K1012" s="73">
        <f>'BID 4 b'!F1356</f>
        <v>90000</v>
      </c>
      <c r="L1012" s="1" t="s">
        <v>1410</v>
      </c>
    </row>
    <row r="1013" spans="1:14" ht="30" x14ac:dyDescent="0.25">
      <c r="A1013" s="1"/>
      <c r="B1013" s="1"/>
      <c r="C1013" s="1"/>
      <c r="D1013" s="1"/>
      <c r="E1013" s="1"/>
      <c r="F1013" s="1"/>
      <c r="G1013" s="1">
        <v>90</v>
      </c>
      <c r="H1013" s="4" t="str">
        <f>'BID 4 b'!B1358</f>
        <v>Belanja Upakara, Upacara dan Aci</v>
      </c>
      <c r="I1013" s="1"/>
      <c r="J1013" s="1"/>
      <c r="K1013" s="73">
        <f>'BID 4 b'!F1359+'BID 4 b'!F1360</f>
        <v>825000</v>
      </c>
      <c r="L1013" s="1" t="s">
        <v>1410</v>
      </c>
    </row>
    <row r="1014" spans="1:14" ht="45" x14ac:dyDescent="0.25">
      <c r="A1014" s="1537">
        <v>5</v>
      </c>
      <c r="B1014" s="1537"/>
      <c r="C1014" s="1537"/>
      <c r="D1014" s="1537"/>
      <c r="E1014" s="1537"/>
      <c r="F1014" s="1537"/>
      <c r="G1014" s="1537"/>
      <c r="H1014" s="1538" t="str">
        <f>'Bid 5b'!B5</f>
        <v>: Bidang Penanggulangan Bencana, Darurat dan Mendesak Desa</v>
      </c>
      <c r="I1014" s="1537"/>
      <c r="J1014" s="1537"/>
      <c r="K1014" s="1539">
        <f>K1015</f>
        <v>26926587.09</v>
      </c>
      <c r="L1014" s="1537"/>
      <c r="M1014" s="68">
        <f>' Hitungan 2026'!W12</f>
        <v>26926587.09</v>
      </c>
    </row>
    <row r="1015" spans="1:14" ht="30" x14ac:dyDescent="0.25">
      <c r="A1015" s="865">
        <v>5</v>
      </c>
      <c r="B1015" s="865">
        <v>2</v>
      </c>
      <c r="C1015" s="1490" t="s">
        <v>3416</v>
      </c>
      <c r="D1015" s="865"/>
      <c r="E1015" s="865"/>
      <c r="F1015" s="865"/>
      <c r="G1015" s="865"/>
      <c r="H1015" s="1061" t="str">
        <f>'Bid 5b'!B37</f>
        <v>: Penanganan Keadaan Darurta</v>
      </c>
      <c r="I1015" s="865"/>
      <c r="J1015" s="865"/>
      <c r="K1015" s="1063">
        <f>SUM(K1016:K1019)</f>
        <v>26926587.09</v>
      </c>
      <c r="L1015" s="865"/>
      <c r="M1015" s="68">
        <f>'Bid 5b'!F50</f>
        <v>26926587.09</v>
      </c>
    </row>
    <row r="1016" spans="1:14" x14ac:dyDescent="0.25">
      <c r="A1016" s="1"/>
      <c r="B1016" s="1"/>
      <c r="C1016" s="1"/>
      <c r="D1016" s="1">
        <v>5</v>
      </c>
      <c r="E1016" s="1">
        <v>4</v>
      </c>
      <c r="F1016" s="1"/>
      <c r="G1016" s="1"/>
      <c r="H1016" s="1" t="str">
        <f>'Bid 5b'!B43</f>
        <v>Belanja Tak Terduga</v>
      </c>
      <c r="I1016" s="1"/>
      <c r="J1016" s="1"/>
      <c r="K1016" s="73"/>
      <c r="L1016" s="1"/>
    </row>
    <row r="1017" spans="1:14" x14ac:dyDescent="0.25">
      <c r="A1017" s="1"/>
      <c r="B1017" s="1"/>
      <c r="C1017" s="1"/>
      <c r="D1017" s="1"/>
      <c r="E1017" s="1"/>
      <c r="F1017" s="1">
        <v>1</v>
      </c>
      <c r="G1017" s="1"/>
      <c r="H1017" s="1" t="str">
        <f>'Bid 5b'!B44</f>
        <v>Belanja Tak Terduga</v>
      </c>
      <c r="I1017" s="1"/>
      <c r="J1017" s="1"/>
      <c r="K1017" s="73"/>
      <c r="L1017" s="1"/>
    </row>
    <row r="1018" spans="1:14" x14ac:dyDescent="0.25">
      <c r="A1018" s="1"/>
      <c r="B1018" s="1"/>
      <c r="C1018" s="1"/>
      <c r="D1018" s="1"/>
      <c r="E1018" s="1"/>
      <c r="F1018" s="1"/>
      <c r="G1018" s="1489" t="s">
        <v>3366</v>
      </c>
      <c r="H1018" s="1" t="str">
        <f>'Bid 5b'!B45</f>
        <v>Belanja Tak Terduga</v>
      </c>
      <c r="I1018" s="1"/>
      <c r="J1018" s="1"/>
      <c r="K1018" s="73">
        <f>'Bid 5b'!F46</f>
        <v>1124000</v>
      </c>
      <c r="L1018" s="1" t="s">
        <v>1410</v>
      </c>
    </row>
    <row r="1019" spans="1:14" ht="30" x14ac:dyDescent="0.25">
      <c r="A1019" s="1"/>
      <c r="B1019" s="1"/>
      <c r="C1019" s="1"/>
      <c r="D1019" s="1"/>
      <c r="E1019" s="1"/>
      <c r="F1019" s="1"/>
      <c r="G1019" s="1489" t="s">
        <v>3366</v>
      </c>
      <c r="H1019" s="1" t="str">
        <f>'Bid 5b'!B47</f>
        <v>Belanja Tak Terduga</v>
      </c>
      <c r="I1019" s="1"/>
      <c r="J1019" s="1"/>
      <c r="K1019" s="73">
        <f>'Bid 5b'!F47</f>
        <v>25802587.09</v>
      </c>
      <c r="L1019" s="4" t="s">
        <v>2179</v>
      </c>
    </row>
    <row r="1020" spans="1:14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73"/>
      <c r="L1020" s="1"/>
    </row>
    <row r="1021" spans="1:14" x14ac:dyDescent="0.25">
      <c r="A1021" s="1537"/>
      <c r="B1021" s="1537"/>
      <c r="C1021" s="1537"/>
      <c r="D1021" s="1537"/>
      <c r="E1021" s="1537"/>
      <c r="F1021" s="1537"/>
      <c r="G1021" s="1537"/>
      <c r="H1021" s="1537" t="s">
        <v>3342</v>
      </c>
      <c r="I1021" s="1537"/>
      <c r="J1021" s="1537"/>
      <c r="K1021" s="1539">
        <f>K1014+K890+K661+K295+K43</f>
        <v>14679842814.959999</v>
      </c>
      <c r="L1021" s="1537"/>
      <c r="M1021" s="68">
        <f>' Hitungan 2026'!X13</f>
        <v>14679842814.960001</v>
      </c>
      <c r="N1021" s="23">
        <f>K1021-M1021</f>
        <v>0</v>
      </c>
    </row>
    <row r="1022" spans="1:14" x14ac:dyDescent="0.25">
      <c r="A1022" s="1537"/>
      <c r="B1022" s="1537"/>
      <c r="C1022" s="1537"/>
      <c r="D1022" s="1537"/>
      <c r="E1022" s="1537"/>
      <c r="F1022" s="1537"/>
      <c r="G1022" s="1537"/>
      <c r="H1022" s="1537" t="s">
        <v>3402</v>
      </c>
      <c r="I1022" s="1537"/>
      <c r="J1022" s="1537"/>
      <c r="K1022" s="1539">
        <f>K41-K1021</f>
        <v>-4100682816.9599991</v>
      </c>
      <c r="L1022" s="1537"/>
      <c r="M1022" s="68">
        <f>K1022+K1035</f>
        <v>0</v>
      </c>
    </row>
    <row r="1023" spans="1:14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73"/>
      <c r="L1023" s="1"/>
    </row>
    <row r="1024" spans="1:14" x14ac:dyDescent="0.25">
      <c r="A1024" s="1"/>
      <c r="B1024" s="1"/>
      <c r="C1024" s="1"/>
      <c r="D1024" s="1">
        <v>6</v>
      </c>
      <c r="E1024" s="1"/>
      <c r="F1024" s="1"/>
      <c r="G1024" s="858"/>
      <c r="H1024" s="1" t="s">
        <v>3403</v>
      </c>
      <c r="I1024" s="1"/>
      <c r="J1024" s="1"/>
      <c r="K1024" s="73"/>
      <c r="L1024" s="1"/>
    </row>
    <row r="1025" spans="1:13" x14ac:dyDescent="0.25">
      <c r="A1025" s="1"/>
      <c r="B1025" s="1"/>
      <c r="C1025" s="1"/>
      <c r="D1025" s="1">
        <v>6</v>
      </c>
      <c r="E1025" s="1">
        <v>1</v>
      </c>
      <c r="F1025" s="1"/>
      <c r="G1025" s="858"/>
      <c r="H1025" s="1" t="s">
        <v>3404</v>
      </c>
      <c r="I1025" s="1"/>
      <c r="J1025" s="1"/>
      <c r="K1025" s="73"/>
      <c r="L1025" s="1"/>
    </row>
    <row r="1026" spans="1:13" x14ac:dyDescent="0.25">
      <c r="A1026" s="1"/>
      <c r="B1026" s="1"/>
      <c r="C1026" s="1"/>
      <c r="D1026" s="1">
        <v>6</v>
      </c>
      <c r="E1026" s="1">
        <v>1</v>
      </c>
      <c r="F1026" s="1">
        <v>1</v>
      </c>
      <c r="G1026" s="858"/>
      <c r="H1026" s="1" t="s">
        <v>3405</v>
      </c>
      <c r="I1026" s="1"/>
      <c r="J1026" s="1"/>
      <c r="K1026" s="73"/>
      <c r="L1026" s="1"/>
    </row>
    <row r="1027" spans="1:13" x14ac:dyDescent="0.25">
      <c r="A1027" s="1537"/>
      <c r="B1027" s="1537"/>
      <c r="C1027" s="1537"/>
      <c r="D1027" s="1537">
        <v>6</v>
      </c>
      <c r="E1027" s="1537">
        <v>1</v>
      </c>
      <c r="F1027" s="1537">
        <v>1</v>
      </c>
      <c r="G1027" s="1547">
        <v>1</v>
      </c>
      <c r="H1027" s="1537" t="s">
        <v>3405</v>
      </c>
      <c r="I1027" s="1537"/>
      <c r="J1027" s="1537"/>
      <c r="K1027" s="1539">
        <f>SUM(' Hitungan 2026'!N4:U4)</f>
        <v>2100682816.9600003</v>
      </c>
      <c r="L1027" s="1537"/>
    </row>
    <row r="1028" spans="1:13" x14ac:dyDescent="0.25">
      <c r="A1028" s="1"/>
      <c r="B1028" s="1"/>
      <c r="C1028" s="1"/>
      <c r="D1028" s="1">
        <v>6</v>
      </c>
      <c r="E1028" s="1">
        <v>1</v>
      </c>
      <c r="F1028" s="1">
        <v>2</v>
      </c>
      <c r="G1028" s="1"/>
      <c r="H1028" s="1" t="s">
        <v>3408</v>
      </c>
      <c r="I1028" s="1"/>
      <c r="J1028" s="1"/>
      <c r="K1028" s="73"/>
      <c r="L1028" s="1"/>
    </row>
    <row r="1029" spans="1:13" x14ac:dyDescent="0.25">
      <c r="A1029" s="1537"/>
      <c r="B1029" s="1537"/>
      <c r="C1029" s="1537"/>
      <c r="D1029" s="1537">
        <v>6</v>
      </c>
      <c r="E1029" s="1537">
        <v>1</v>
      </c>
      <c r="F1029" s="1537">
        <v>2</v>
      </c>
      <c r="G1029" s="1537">
        <v>1</v>
      </c>
      <c r="H1029" s="1537" t="s">
        <v>3408</v>
      </c>
      <c r="I1029" s="1537"/>
      <c r="J1029" s="1537"/>
      <c r="K1029" s="1539">
        <v>2000000000</v>
      </c>
      <c r="L1029" s="1537"/>
    </row>
    <row r="1030" spans="1:13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73"/>
      <c r="L1030" s="1"/>
    </row>
    <row r="1031" spans="1:13" x14ac:dyDescent="0.25">
      <c r="A1031" s="1"/>
      <c r="B1031" s="1"/>
      <c r="C1031" s="1"/>
      <c r="D1031" s="1">
        <v>6</v>
      </c>
      <c r="E1031" s="1">
        <v>2</v>
      </c>
      <c r="F1031" s="1"/>
      <c r="G1031" s="1"/>
      <c r="H1031" s="1" t="s">
        <v>3406</v>
      </c>
      <c r="I1031" s="1"/>
      <c r="J1031" s="1"/>
      <c r="K1031" s="73"/>
      <c r="L1031" s="1"/>
    </row>
    <row r="1032" spans="1:13" x14ac:dyDescent="0.25">
      <c r="A1032" s="1"/>
      <c r="B1032" s="1"/>
      <c r="C1032" s="1"/>
      <c r="D1032" s="1">
        <v>6</v>
      </c>
      <c r="E1032" s="1">
        <v>2</v>
      </c>
      <c r="F1032" s="1">
        <v>2</v>
      </c>
      <c r="G1032" s="1"/>
      <c r="H1032" s="1" t="s">
        <v>3407</v>
      </c>
      <c r="I1032" s="1"/>
      <c r="J1032" s="1"/>
      <c r="K1032" s="73"/>
      <c r="L1032" s="1"/>
    </row>
    <row r="1033" spans="1:13" x14ac:dyDescent="0.25">
      <c r="A1033" s="1537"/>
      <c r="B1033" s="1537"/>
      <c r="C1033" s="1537"/>
      <c r="D1033" s="1537">
        <v>6</v>
      </c>
      <c r="E1033" s="1537">
        <v>2</v>
      </c>
      <c r="F1033" s="1537">
        <v>2</v>
      </c>
      <c r="G1033" s="1537">
        <v>1</v>
      </c>
      <c r="H1033" s="1537" t="s">
        <v>3407</v>
      </c>
      <c r="I1033" s="1537"/>
      <c r="J1033" s="1537"/>
      <c r="K1033" s="1539">
        <v>0</v>
      </c>
      <c r="L1033" s="1537"/>
    </row>
    <row r="1034" spans="1:13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73"/>
      <c r="L1034" s="1"/>
    </row>
    <row r="1035" spans="1:13" x14ac:dyDescent="0.25">
      <c r="A1035" s="1544"/>
      <c r="B1035" s="1544"/>
      <c r="C1035" s="1544"/>
      <c r="D1035" s="1544"/>
      <c r="E1035" s="1544"/>
      <c r="F1035" s="1544"/>
      <c r="G1035" s="1544"/>
      <c r="H1035" s="1544" t="s">
        <v>3409</v>
      </c>
      <c r="I1035" s="1544"/>
      <c r="J1035" s="1544"/>
      <c r="K1035" s="1545">
        <f>K1029+K1027</f>
        <v>4100682816.96</v>
      </c>
      <c r="L1035" s="1544"/>
      <c r="M1035" s="68">
        <f>K1035+K1022</f>
        <v>0</v>
      </c>
    </row>
    <row r="1036" spans="1:13" x14ac:dyDescent="0.25">
      <c r="K1036" s="1546"/>
    </row>
    <row r="1037" spans="1:13" x14ac:dyDescent="0.25">
      <c r="K1037" s="1546"/>
    </row>
    <row r="1038" spans="1:13" x14ac:dyDescent="0.25">
      <c r="K1038" s="1546"/>
    </row>
    <row r="1039" spans="1:13" x14ac:dyDescent="0.25">
      <c r="K1039" s="1546"/>
    </row>
    <row r="1040" spans="1:13" x14ac:dyDescent="0.25">
      <c r="K1040" s="1546"/>
    </row>
    <row r="1041" spans="11:11" x14ac:dyDescent="0.25">
      <c r="K1041" s="1546"/>
    </row>
    <row r="1042" spans="11:11" x14ac:dyDescent="0.25">
      <c r="K1042" s="1546"/>
    </row>
    <row r="1043" spans="11:11" x14ac:dyDescent="0.25">
      <c r="K1043" s="1546"/>
    </row>
    <row r="1044" spans="11:11" x14ac:dyDescent="0.25">
      <c r="K1044" s="1546"/>
    </row>
    <row r="1045" spans="11:11" x14ac:dyDescent="0.25">
      <c r="K1045" s="1546"/>
    </row>
    <row r="1046" spans="11:11" x14ac:dyDescent="0.25">
      <c r="K1046" s="1546"/>
    </row>
    <row r="1047" spans="11:11" x14ac:dyDescent="0.25">
      <c r="K1047" s="1546"/>
    </row>
    <row r="1048" spans="11:11" x14ac:dyDescent="0.25">
      <c r="K1048" s="1546"/>
    </row>
    <row r="1049" spans="11:11" x14ac:dyDescent="0.25">
      <c r="K1049" s="1546"/>
    </row>
    <row r="1050" spans="11:11" x14ac:dyDescent="0.25">
      <c r="K1050" s="1546"/>
    </row>
    <row r="1051" spans="11:11" x14ac:dyDescent="0.25">
      <c r="K1051" s="1546"/>
    </row>
    <row r="1052" spans="11:11" x14ac:dyDescent="0.25">
      <c r="K1052" s="1546"/>
    </row>
    <row r="1053" spans="11:11" x14ac:dyDescent="0.25">
      <c r="K1053" s="1546"/>
    </row>
    <row r="1054" spans="11:11" x14ac:dyDescent="0.25">
      <c r="K1054" s="1546"/>
    </row>
    <row r="1055" spans="11:11" x14ac:dyDescent="0.25">
      <c r="K1055" s="1546"/>
    </row>
    <row r="1056" spans="11:11" x14ac:dyDescent="0.25">
      <c r="K1056" s="1546"/>
    </row>
    <row r="1057" spans="11:11" x14ac:dyDescent="0.25">
      <c r="K1057" s="1546"/>
    </row>
    <row r="1058" spans="11:11" x14ac:dyDescent="0.25">
      <c r="K1058" s="1546"/>
    </row>
    <row r="1059" spans="11:11" x14ac:dyDescent="0.25">
      <c r="K1059" s="1546"/>
    </row>
    <row r="1060" spans="11:11" x14ac:dyDescent="0.25">
      <c r="K1060" s="1546"/>
    </row>
    <row r="1061" spans="11:11" x14ac:dyDescent="0.25">
      <c r="K1061" s="1546"/>
    </row>
    <row r="1062" spans="11:11" x14ac:dyDescent="0.25">
      <c r="K1062" s="1546"/>
    </row>
    <row r="1063" spans="11:11" x14ac:dyDescent="0.25">
      <c r="K1063" s="1546"/>
    </row>
    <row r="1064" spans="11:11" x14ac:dyDescent="0.25">
      <c r="K1064" s="1546"/>
    </row>
    <row r="1065" spans="11:11" x14ac:dyDescent="0.25">
      <c r="K1065" s="1546"/>
    </row>
    <row r="1066" spans="11:11" x14ac:dyDescent="0.25">
      <c r="K1066" s="1546"/>
    </row>
    <row r="1067" spans="11:11" x14ac:dyDescent="0.25">
      <c r="K1067" s="1546"/>
    </row>
    <row r="1068" spans="11:11" x14ac:dyDescent="0.25">
      <c r="K1068" s="1546"/>
    </row>
    <row r="1069" spans="11:11" x14ac:dyDescent="0.25">
      <c r="K1069" s="1546"/>
    </row>
    <row r="1070" spans="11:11" x14ac:dyDescent="0.25">
      <c r="K1070" s="1546"/>
    </row>
    <row r="1071" spans="11:11" x14ac:dyDescent="0.25">
      <c r="K1071" s="1546"/>
    </row>
    <row r="1072" spans="11:11" x14ac:dyDescent="0.25">
      <c r="K1072" s="1546"/>
    </row>
    <row r="1073" spans="11:11" x14ac:dyDescent="0.25">
      <c r="K1073" s="1546"/>
    </row>
    <row r="1074" spans="11:11" x14ac:dyDescent="0.25">
      <c r="K1074" s="1546"/>
    </row>
    <row r="1075" spans="11:11" x14ac:dyDescent="0.25">
      <c r="K1075" s="1546"/>
    </row>
    <row r="1076" spans="11:11" x14ac:dyDescent="0.25">
      <c r="K1076" s="1546"/>
    </row>
    <row r="1077" spans="11:11" x14ac:dyDescent="0.25">
      <c r="K1077" s="1546"/>
    </row>
    <row r="1078" spans="11:11" x14ac:dyDescent="0.25">
      <c r="K1078" s="1546"/>
    </row>
    <row r="1079" spans="11:11" x14ac:dyDescent="0.25">
      <c r="K1079" s="1546"/>
    </row>
    <row r="1080" spans="11:11" x14ac:dyDescent="0.25">
      <c r="K1080" s="1546"/>
    </row>
    <row r="1081" spans="11:11" x14ac:dyDescent="0.25">
      <c r="K1081" s="1546"/>
    </row>
    <row r="1082" spans="11:11" x14ac:dyDescent="0.25">
      <c r="K1082" s="1546"/>
    </row>
    <row r="1083" spans="11:11" x14ac:dyDescent="0.25">
      <c r="K1083" s="1546"/>
    </row>
    <row r="1084" spans="11:11" x14ac:dyDescent="0.25">
      <c r="K1084" s="1546"/>
    </row>
    <row r="1085" spans="11:11" x14ac:dyDescent="0.25">
      <c r="K1085" s="1546"/>
    </row>
    <row r="1086" spans="11:11" x14ac:dyDescent="0.25">
      <c r="K1086" s="1546"/>
    </row>
    <row r="1087" spans="11:11" x14ac:dyDescent="0.25">
      <c r="K1087" s="1546"/>
    </row>
    <row r="1088" spans="11:11" x14ac:dyDescent="0.25">
      <c r="K1088" s="1546"/>
    </row>
    <row r="1089" spans="11:11" x14ac:dyDescent="0.25">
      <c r="K1089" s="1546"/>
    </row>
    <row r="1090" spans="11:11" x14ac:dyDescent="0.25">
      <c r="K1090" s="1546"/>
    </row>
    <row r="1091" spans="11:11" x14ac:dyDescent="0.25">
      <c r="K1091" s="1546"/>
    </row>
    <row r="1092" spans="11:11" x14ac:dyDescent="0.25">
      <c r="K1092" s="1546"/>
    </row>
    <row r="1093" spans="11:11" x14ac:dyDescent="0.25">
      <c r="K1093" s="1546"/>
    </row>
    <row r="1094" spans="11:11" x14ac:dyDescent="0.25">
      <c r="K1094" s="1546"/>
    </row>
    <row r="1095" spans="11:11" x14ac:dyDescent="0.25">
      <c r="K1095" s="1546"/>
    </row>
    <row r="1096" spans="11:11" x14ac:dyDescent="0.25">
      <c r="K1096" s="1546"/>
    </row>
    <row r="1097" spans="11:11" x14ac:dyDescent="0.25">
      <c r="K1097" s="1546"/>
    </row>
    <row r="1098" spans="11:11" x14ac:dyDescent="0.25">
      <c r="K1098" s="1546"/>
    </row>
    <row r="1099" spans="11:11" x14ac:dyDescent="0.25">
      <c r="K1099" s="1546"/>
    </row>
    <row r="1100" spans="11:11" x14ac:dyDescent="0.25">
      <c r="K1100" s="1546"/>
    </row>
    <row r="1101" spans="11:11" x14ac:dyDescent="0.25">
      <c r="K1101" s="1546"/>
    </row>
    <row r="1102" spans="11:11" x14ac:dyDescent="0.25">
      <c r="K1102" s="1546"/>
    </row>
    <row r="1103" spans="11:11" x14ac:dyDescent="0.25">
      <c r="K1103" s="1546"/>
    </row>
    <row r="1104" spans="11:11" x14ac:dyDescent="0.25">
      <c r="K1104" s="1546"/>
    </row>
    <row r="1105" spans="11:11" x14ac:dyDescent="0.25">
      <c r="K1105" s="1546"/>
    </row>
    <row r="1106" spans="11:11" x14ac:dyDescent="0.25">
      <c r="K1106" s="1546"/>
    </row>
    <row r="1107" spans="11:11" x14ac:dyDescent="0.25">
      <c r="K1107" s="1546"/>
    </row>
    <row r="1108" spans="11:11" x14ac:dyDescent="0.25">
      <c r="K1108" s="1546"/>
    </row>
    <row r="1109" spans="11:11" x14ac:dyDescent="0.25">
      <c r="K1109" s="1546"/>
    </row>
    <row r="1110" spans="11:11" x14ac:dyDescent="0.25">
      <c r="K1110" s="1546"/>
    </row>
    <row r="1111" spans="11:11" x14ac:dyDescent="0.25">
      <c r="K1111" s="1546"/>
    </row>
    <row r="1112" spans="11:11" x14ac:dyDescent="0.25">
      <c r="K1112" s="1546"/>
    </row>
    <row r="1113" spans="11:11" x14ac:dyDescent="0.25">
      <c r="K1113" s="1546"/>
    </row>
    <row r="1114" spans="11:11" x14ac:dyDescent="0.25">
      <c r="K1114" s="1546"/>
    </row>
    <row r="1115" spans="11:11" x14ac:dyDescent="0.25">
      <c r="K1115" s="1546"/>
    </row>
    <row r="1116" spans="11:11" x14ac:dyDescent="0.25">
      <c r="K1116" s="1546"/>
    </row>
    <row r="1117" spans="11:11" x14ac:dyDescent="0.25">
      <c r="K1117" s="1546"/>
    </row>
    <row r="1118" spans="11:11" x14ac:dyDescent="0.25">
      <c r="K1118" s="1546"/>
    </row>
    <row r="1119" spans="11:11" x14ac:dyDescent="0.25">
      <c r="K1119" s="1546"/>
    </row>
    <row r="1120" spans="11:11" x14ac:dyDescent="0.25">
      <c r="K1120" s="1546"/>
    </row>
    <row r="1121" spans="11:11" x14ac:dyDescent="0.25">
      <c r="K1121" s="1546"/>
    </row>
    <row r="1122" spans="11:11" x14ac:dyDescent="0.25">
      <c r="K1122" s="1546"/>
    </row>
    <row r="1123" spans="11:11" x14ac:dyDescent="0.25">
      <c r="K1123" s="1546"/>
    </row>
    <row r="1124" spans="11:11" x14ac:dyDescent="0.25">
      <c r="K1124" s="1546"/>
    </row>
    <row r="1125" spans="11:11" x14ac:dyDescent="0.25">
      <c r="K1125" s="1546"/>
    </row>
    <row r="1126" spans="11:11" x14ac:dyDescent="0.25">
      <c r="K1126" s="1546"/>
    </row>
    <row r="1127" spans="11:11" x14ac:dyDescent="0.25">
      <c r="K1127" s="1546"/>
    </row>
    <row r="1128" spans="11:11" x14ac:dyDescent="0.25">
      <c r="K1128" s="1546"/>
    </row>
    <row r="1129" spans="11:11" x14ac:dyDescent="0.25">
      <c r="K1129" s="1546"/>
    </row>
    <row r="1130" spans="11:11" x14ac:dyDescent="0.25">
      <c r="K1130" s="1546"/>
    </row>
    <row r="1131" spans="11:11" x14ac:dyDescent="0.25">
      <c r="K1131" s="1546"/>
    </row>
    <row r="1132" spans="11:11" x14ac:dyDescent="0.25">
      <c r="K1132" s="1546"/>
    </row>
    <row r="1133" spans="11:11" x14ac:dyDescent="0.25">
      <c r="K1133" s="1546"/>
    </row>
    <row r="1134" spans="11:11" x14ac:dyDescent="0.25">
      <c r="K1134" s="1546"/>
    </row>
    <row r="1135" spans="11:11" x14ac:dyDescent="0.25">
      <c r="K1135" s="1546"/>
    </row>
    <row r="1136" spans="11:11" x14ac:dyDescent="0.25">
      <c r="K1136" s="1546"/>
    </row>
    <row r="1137" spans="11:11" x14ac:dyDescent="0.25">
      <c r="K1137" s="1546"/>
    </row>
    <row r="1138" spans="11:11" x14ac:dyDescent="0.25">
      <c r="K1138" s="1546"/>
    </row>
    <row r="1139" spans="11:11" x14ac:dyDescent="0.25">
      <c r="K1139" s="1546"/>
    </row>
    <row r="1140" spans="11:11" x14ac:dyDescent="0.25">
      <c r="K1140" s="1546"/>
    </row>
    <row r="1141" spans="11:11" x14ac:dyDescent="0.25">
      <c r="K1141" s="1546"/>
    </row>
    <row r="1142" spans="11:11" x14ac:dyDescent="0.25">
      <c r="K1142" s="1546"/>
    </row>
    <row r="1143" spans="11:11" x14ac:dyDescent="0.25">
      <c r="K1143" s="1546"/>
    </row>
    <row r="1144" spans="11:11" x14ac:dyDescent="0.25">
      <c r="K1144" s="1546"/>
    </row>
    <row r="1145" spans="11:11" x14ac:dyDescent="0.25">
      <c r="K1145" s="1546"/>
    </row>
    <row r="1146" spans="11:11" x14ac:dyDescent="0.25">
      <c r="K1146" s="1546"/>
    </row>
    <row r="1147" spans="11:11" x14ac:dyDescent="0.25">
      <c r="K1147" s="1546"/>
    </row>
    <row r="1148" spans="11:11" x14ac:dyDescent="0.25">
      <c r="K1148" s="1546"/>
    </row>
    <row r="1149" spans="11:11" x14ac:dyDescent="0.25">
      <c r="K1149" s="1546"/>
    </row>
    <row r="1150" spans="11:11" x14ac:dyDescent="0.25">
      <c r="K1150" s="1546"/>
    </row>
    <row r="1151" spans="11:11" x14ac:dyDescent="0.25">
      <c r="K1151" s="1546"/>
    </row>
    <row r="1152" spans="11:11" x14ac:dyDescent="0.25">
      <c r="K1152" s="1546"/>
    </row>
    <row r="1153" spans="11:11" x14ac:dyDescent="0.25">
      <c r="K1153" s="1546"/>
    </row>
    <row r="1154" spans="11:11" x14ac:dyDescent="0.25">
      <c r="K1154" s="1546"/>
    </row>
    <row r="1155" spans="11:11" x14ac:dyDescent="0.25">
      <c r="K1155" s="1546"/>
    </row>
    <row r="1156" spans="11:11" x14ac:dyDescent="0.25">
      <c r="K1156" s="1546"/>
    </row>
    <row r="1157" spans="11:11" x14ac:dyDescent="0.25">
      <c r="K1157" s="1546"/>
    </row>
    <row r="1158" spans="11:11" x14ac:dyDescent="0.25">
      <c r="K1158" s="1546"/>
    </row>
    <row r="1159" spans="11:11" x14ac:dyDescent="0.25">
      <c r="K1159" s="1546"/>
    </row>
    <row r="1160" spans="11:11" x14ac:dyDescent="0.25">
      <c r="K1160" s="1546"/>
    </row>
    <row r="1161" spans="11:11" x14ac:dyDescent="0.25">
      <c r="K1161" s="1546"/>
    </row>
    <row r="1162" spans="11:11" x14ac:dyDescent="0.25">
      <c r="K1162" s="1546"/>
    </row>
    <row r="1163" spans="11:11" x14ac:dyDescent="0.25">
      <c r="K1163" s="1546"/>
    </row>
    <row r="1164" spans="11:11" x14ac:dyDescent="0.25">
      <c r="K1164" s="1546"/>
    </row>
    <row r="1165" spans="11:11" x14ac:dyDescent="0.25">
      <c r="K1165" s="1546"/>
    </row>
    <row r="1166" spans="11:11" x14ac:dyDescent="0.25">
      <c r="K1166" s="1546"/>
    </row>
    <row r="1167" spans="11:11" x14ac:dyDescent="0.25">
      <c r="K1167" s="1546"/>
    </row>
    <row r="1168" spans="11:11" x14ac:dyDescent="0.25">
      <c r="K1168" s="1546"/>
    </row>
    <row r="1169" spans="11:11" x14ac:dyDescent="0.25">
      <c r="K1169" s="1546"/>
    </row>
    <row r="1170" spans="11:11" x14ac:dyDescent="0.25">
      <c r="K1170" s="1546"/>
    </row>
    <row r="1171" spans="11:11" x14ac:dyDescent="0.25">
      <c r="K1171" s="1546"/>
    </row>
    <row r="1172" spans="11:11" x14ac:dyDescent="0.25">
      <c r="K1172" s="1546"/>
    </row>
    <row r="1173" spans="11:11" x14ac:dyDescent="0.25">
      <c r="K1173" s="1546"/>
    </row>
    <row r="1174" spans="11:11" x14ac:dyDescent="0.25">
      <c r="K1174" s="1546"/>
    </row>
    <row r="1175" spans="11:11" x14ac:dyDescent="0.25">
      <c r="K1175" s="1546"/>
    </row>
    <row r="1176" spans="11:11" x14ac:dyDescent="0.25">
      <c r="K1176" s="1546"/>
    </row>
    <row r="1177" spans="11:11" x14ac:dyDescent="0.25">
      <c r="K1177" s="1546"/>
    </row>
    <row r="1178" spans="11:11" x14ac:dyDescent="0.25">
      <c r="K1178" s="1546"/>
    </row>
    <row r="1179" spans="11:11" x14ac:dyDescent="0.25">
      <c r="K1179" s="1546"/>
    </row>
    <row r="1180" spans="11:11" x14ac:dyDescent="0.25">
      <c r="K1180" s="1546"/>
    </row>
    <row r="1181" spans="11:11" x14ac:dyDescent="0.25">
      <c r="K1181" s="1546"/>
    </row>
    <row r="1182" spans="11:11" x14ac:dyDescent="0.25">
      <c r="K1182" s="1546"/>
    </row>
    <row r="1183" spans="11:11" x14ac:dyDescent="0.25">
      <c r="K1183" s="1546"/>
    </row>
    <row r="1184" spans="11:11" x14ac:dyDescent="0.25">
      <c r="K1184" s="1546"/>
    </row>
    <row r="1185" spans="11:11" x14ac:dyDescent="0.25">
      <c r="K1185" s="1546"/>
    </row>
    <row r="1186" spans="11:11" x14ac:dyDescent="0.25">
      <c r="K1186" s="1546"/>
    </row>
    <row r="1187" spans="11:11" x14ac:dyDescent="0.25">
      <c r="K1187" s="1546"/>
    </row>
    <row r="1188" spans="11:11" x14ac:dyDescent="0.25">
      <c r="K1188" s="1546"/>
    </row>
    <row r="1189" spans="11:11" x14ac:dyDescent="0.25">
      <c r="K1189" s="1546"/>
    </row>
    <row r="1190" spans="11:11" x14ac:dyDescent="0.25">
      <c r="K1190" s="1546"/>
    </row>
    <row r="1191" spans="11:11" x14ac:dyDescent="0.25">
      <c r="K1191" s="1546"/>
    </row>
    <row r="1192" spans="11:11" x14ac:dyDescent="0.25">
      <c r="K1192" s="1546"/>
    </row>
    <row r="1193" spans="11:11" x14ac:dyDescent="0.25">
      <c r="K1193" s="1546"/>
    </row>
    <row r="1194" spans="11:11" x14ac:dyDescent="0.25">
      <c r="K1194" s="1546"/>
    </row>
    <row r="1195" spans="11:11" x14ac:dyDescent="0.25">
      <c r="K1195" s="1546"/>
    </row>
    <row r="1196" spans="11:11" x14ac:dyDescent="0.25">
      <c r="K1196" s="1546"/>
    </row>
    <row r="1197" spans="11:11" x14ac:dyDescent="0.25">
      <c r="K1197" s="1546"/>
    </row>
    <row r="1198" spans="11:11" x14ac:dyDescent="0.25">
      <c r="K1198" s="1546"/>
    </row>
    <row r="1199" spans="11:11" x14ac:dyDescent="0.25">
      <c r="K1199" s="1546"/>
    </row>
    <row r="1200" spans="11:11" x14ac:dyDescent="0.25">
      <c r="K1200" s="1546"/>
    </row>
    <row r="1201" spans="11:11" x14ac:dyDescent="0.25">
      <c r="K1201" s="1546"/>
    </row>
    <row r="1202" spans="11:11" x14ac:dyDescent="0.25">
      <c r="K1202" s="1546"/>
    </row>
    <row r="1203" spans="11:11" x14ac:dyDescent="0.25">
      <c r="K1203" s="1546"/>
    </row>
    <row r="1204" spans="11:11" x14ac:dyDescent="0.25">
      <c r="K1204" s="1546"/>
    </row>
    <row r="1205" spans="11:11" x14ac:dyDescent="0.25">
      <c r="K1205" s="1546"/>
    </row>
    <row r="1206" spans="11:11" x14ac:dyDescent="0.25">
      <c r="K1206" s="1546"/>
    </row>
    <row r="1207" spans="11:11" x14ac:dyDescent="0.25">
      <c r="K1207" s="1546"/>
    </row>
    <row r="1208" spans="11:11" x14ac:dyDescent="0.25">
      <c r="K1208" s="1546"/>
    </row>
    <row r="1209" spans="11:11" x14ac:dyDescent="0.25">
      <c r="K1209" s="1546"/>
    </row>
    <row r="1210" spans="11:11" x14ac:dyDescent="0.25">
      <c r="K1210" s="1546"/>
    </row>
    <row r="1211" spans="11:11" x14ac:dyDescent="0.25">
      <c r="K1211" s="1546"/>
    </row>
    <row r="1212" spans="11:11" x14ac:dyDescent="0.25">
      <c r="K1212" s="1546"/>
    </row>
    <row r="1213" spans="11:11" x14ac:dyDescent="0.25">
      <c r="K1213" s="1546"/>
    </row>
    <row r="1214" spans="11:11" x14ac:dyDescent="0.25">
      <c r="K1214" s="1546"/>
    </row>
    <row r="1215" spans="11:11" x14ac:dyDescent="0.25">
      <c r="K1215" s="1546"/>
    </row>
    <row r="1216" spans="11:11" x14ac:dyDescent="0.25">
      <c r="K1216" s="1546"/>
    </row>
    <row r="1217" spans="11:11" x14ac:dyDescent="0.25">
      <c r="K1217" s="1546"/>
    </row>
    <row r="1218" spans="11:11" x14ac:dyDescent="0.25">
      <c r="K1218" s="1546"/>
    </row>
    <row r="1219" spans="11:11" x14ac:dyDescent="0.25">
      <c r="K1219" s="1546"/>
    </row>
    <row r="1220" spans="11:11" x14ac:dyDescent="0.25">
      <c r="K1220" s="1546"/>
    </row>
    <row r="1221" spans="11:11" x14ac:dyDescent="0.25">
      <c r="K1221" s="1546"/>
    </row>
    <row r="1222" spans="11:11" x14ac:dyDescent="0.25">
      <c r="K1222" s="1546"/>
    </row>
    <row r="1223" spans="11:11" x14ac:dyDescent="0.25">
      <c r="K1223" s="1546"/>
    </row>
    <row r="1224" spans="11:11" x14ac:dyDescent="0.25">
      <c r="K1224" s="1546"/>
    </row>
    <row r="1225" spans="11:11" x14ac:dyDescent="0.25">
      <c r="K1225" s="1546"/>
    </row>
    <row r="1226" spans="11:11" x14ac:dyDescent="0.25">
      <c r="K1226" s="1546"/>
    </row>
    <row r="1227" spans="11:11" x14ac:dyDescent="0.25">
      <c r="K1227" s="1546"/>
    </row>
    <row r="1228" spans="11:11" x14ac:dyDescent="0.25">
      <c r="K1228" s="1546"/>
    </row>
    <row r="1229" spans="11:11" x14ac:dyDescent="0.25">
      <c r="K1229" s="1546"/>
    </row>
    <row r="1230" spans="11:11" x14ac:dyDescent="0.25">
      <c r="K1230" s="1546"/>
    </row>
    <row r="1231" spans="11:11" x14ac:dyDescent="0.25">
      <c r="K1231" s="1546"/>
    </row>
    <row r="1232" spans="11:11" x14ac:dyDescent="0.25">
      <c r="K1232" s="1546"/>
    </row>
    <row r="1233" spans="11:11" x14ac:dyDescent="0.25">
      <c r="K1233" s="1546"/>
    </row>
    <row r="1234" spans="11:11" x14ac:dyDescent="0.25">
      <c r="K1234" s="1546"/>
    </row>
    <row r="1235" spans="11:11" x14ac:dyDescent="0.25">
      <c r="K1235" s="1546"/>
    </row>
    <row r="1236" spans="11:11" x14ac:dyDescent="0.25">
      <c r="K1236" s="1546"/>
    </row>
    <row r="1237" spans="11:11" x14ac:dyDescent="0.25">
      <c r="K1237" s="1546"/>
    </row>
    <row r="1238" spans="11:11" x14ac:dyDescent="0.25">
      <c r="K1238" s="1546"/>
    </row>
    <row r="1239" spans="11:11" x14ac:dyDescent="0.25">
      <c r="K1239" s="1546"/>
    </row>
    <row r="1240" spans="11:11" x14ac:dyDescent="0.25">
      <c r="K1240" s="1546"/>
    </row>
    <row r="1241" spans="11:11" x14ac:dyDescent="0.25">
      <c r="K1241" s="1546"/>
    </row>
    <row r="1242" spans="11:11" x14ac:dyDescent="0.25">
      <c r="K1242" s="1546"/>
    </row>
    <row r="1243" spans="11:11" x14ac:dyDescent="0.25">
      <c r="K1243" s="1546"/>
    </row>
    <row r="1244" spans="11:11" x14ac:dyDescent="0.25">
      <c r="K1244" s="1546"/>
    </row>
    <row r="1245" spans="11:11" x14ac:dyDescent="0.25">
      <c r="K1245" s="1546"/>
    </row>
    <row r="1246" spans="11:11" x14ac:dyDescent="0.25">
      <c r="K1246" s="1546"/>
    </row>
    <row r="1247" spans="11:11" x14ac:dyDescent="0.25">
      <c r="K1247" s="1546"/>
    </row>
    <row r="1248" spans="11:11" x14ac:dyDescent="0.25">
      <c r="K1248" s="1546"/>
    </row>
    <row r="1249" spans="11:11" x14ac:dyDescent="0.25">
      <c r="K1249" s="1546"/>
    </row>
    <row r="1250" spans="11:11" x14ac:dyDescent="0.25">
      <c r="K1250" s="1546"/>
    </row>
    <row r="1251" spans="11:11" x14ac:dyDescent="0.25">
      <c r="K1251" s="1546"/>
    </row>
    <row r="1252" spans="11:11" x14ac:dyDescent="0.25">
      <c r="K1252" s="1546"/>
    </row>
    <row r="1253" spans="11:11" x14ac:dyDescent="0.25">
      <c r="K1253" s="1546"/>
    </row>
    <row r="1254" spans="11:11" x14ac:dyDescent="0.25">
      <c r="K1254" s="1546"/>
    </row>
    <row r="1255" spans="11:11" x14ac:dyDescent="0.25">
      <c r="K1255" s="1546"/>
    </row>
    <row r="1256" spans="11:11" x14ac:dyDescent="0.25">
      <c r="K1256" s="1546"/>
    </row>
    <row r="1257" spans="11:11" x14ac:dyDescent="0.25">
      <c r="K1257" s="1546"/>
    </row>
    <row r="1258" spans="11:11" x14ac:dyDescent="0.25">
      <c r="K1258" s="1546"/>
    </row>
    <row r="1259" spans="11:11" x14ac:dyDescent="0.25">
      <c r="K1259" s="1546"/>
    </row>
    <row r="1260" spans="11:11" x14ac:dyDescent="0.25">
      <c r="K1260" s="1546"/>
    </row>
    <row r="1261" spans="11:11" x14ac:dyDescent="0.25">
      <c r="K1261" s="1546"/>
    </row>
    <row r="1262" spans="11:11" x14ac:dyDescent="0.25">
      <c r="K1262" s="1546"/>
    </row>
    <row r="1263" spans="11:11" x14ac:dyDescent="0.25">
      <c r="K1263" s="1546"/>
    </row>
    <row r="1264" spans="11:11" x14ac:dyDescent="0.25">
      <c r="K1264" s="1546"/>
    </row>
    <row r="1265" spans="11:11" x14ac:dyDescent="0.25">
      <c r="K1265" s="1546"/>
    </row>
    <row r="1266" spans="11:11" x14ac:dyDescent="0.25">
      <c r="K1266" s="1546"/>
    </row>
    <row r="1267" spans="11:11" x14ac:dyDescent="0.25">
      <c r="K1267" s="1546"/>
    </row>
    <row r="1268" spans="11:11" x14ac:dyDescent="0.25">
      <c r="K1268" s="1546"/>
    </row>
    <row r="1269" spans="11:11" x14ac:dyDescent="0.25">
      <c r="K1269" s="1546"/>
    </row>
    <row r="1270" spans="11:11" x14ac:dyDescent="0.25">
      <c r="K1270" s="1546"/>
    </row>
    <row r="1271" spans="11:11" x14ac:dyDescent="0.25">
      <c r="K1271" s="1546"/>
    </row>
    <row r="1272" spans="11:11" x14ac:dyDescent="0.25">
      <c r="K1272" s="1546"/>
    </row>
    <row r="1273" spans="11:11" x14ac:dyDescent="0.25">
      <c r="K1273" s="1546"/>
    </row>
    <row r="1274" spans="11:11" x14ac:dyDescent="0.25">
      <c r="K1274" s="1546"/>
    </row>
    <row r="1275" spans="11:11" x14ac:dyDescent="0.25">
      <c r="K1275" s="1546"/>
    </row>
    <row r="1276" spans="11:11" x14ac:dyDescent="0.25">
      <c r="K1276" s="1546"/>
    </row>
    <row r="1277" spans="11:11" x14ac:dyDescent="0.25">
      <c r="K1277" s="1546"/>
    </row>
    <row r="1278" spans="11:11" x14ac:dyDescent="0.25">
      <c r="K1278" s="1546"/>
    </row>
    <row r="1279" spans="11:11" x14ac:dyDescent="0.25">
      <c r="K1279" s="1546"/>
    </row>
    <row r="1280" spans="11:11" x14ac:dyDescent="0.25">
      <c r="K1280" s="1546"/>
    </row>
    <row r="1281" spans="11:11" x14ac:dyDescent="0.25">
      <c r="K1281" s="1546"/>
    </row>
    <row r="1282" spans="11:11" x14ac:dyDescent="0.25">
      <c r="K1282" s="1546"/>
    </row>
    <row r="1283" spans="11:11" x14ac:dyDescent="0.25">
      <c r="K1283" s="1546"/>
    </row>
    <row r="1284" spans="11:11" x14ac:dyDescent="0.25">
      <c r="K1284" s="1546"/>
    </row>
    <row r="1285" spans="11:11" x14ac:dyDescent="0.25">
      <c r="K1285" s="1546"/>
    </row>
    <row r="1286" spans="11:11" x14ac:dyDescent="0.25">
      <c r="K1286" s="1546"/>
    </row>
    <row r="1287" spans="11:11" x14ac:dyDescent="0.25">
      <c r="K1287" s="1546"/>
    </row>
    <row r="1288" spans="11:11" x14ac:dyDescent="0.25">
      <c r="K1288" s="1546"/>
    </row>
    <row r="1289" spans="11:11" x14ac:dyDescent="0.25">
      <c r="K1289" s="1546"/>
    </row>
    <row r="1290" spans="11:11" x14ac:dyDescent="0.25">
      <c r="K1290" s="1546"/>
    </row>
    <row r="1291" spans="11:11" x14ac:dyDescent="0.25">
      <c r="K1291" s="1546"/>
    </row>
    <row r="1292" spans="11:11" x14ac:dyDescent="0.25">
      <c r="K1292" s="1546"/>
    </row>
    <row r="1293" spans="11:11" x14ac:dyDescent="0.25">
      <c r="K1293" s="1546"/>
    </row>
    <row r="1294" spans="11:11" x14ac:dyDescent="0.25">
      <c r="K1294" s="1546"/>
    </row>
    <row r="1295" spans="11:11" x14ac:dyDescent="0.25">
      <c r="K1295" s="1546"/>
    </row>
    <row r="1296" spans="11:11" x14ac:dyDescent="0.25">
      <c r="K1296" s="1546"/>
    </row>
    <row r="1297" spans="11:11" x14ac:dyDescent="0.25">
      <c r="K1297" s="1546"/>
    </row>
    <row r="1298" spans="11:11" x14ac:dyDescent="0.25">
      <c r="K1298" s="1546"/>
    </row>
    <row r="1299" spans="11:11" x14ac:dyDescent="0.25">
      <c r="K1299" s="1546"/>
    </row>
    <row r="1300" spans="11:11" x14ac:dyDescent="0.25">
      <c r="K1300" s="1546"/>
    </row>
    <row r="1301" spans="11:11" x14ac:dyDescent="0.25">
      <c r="K1301" s="1546"/>
    </row>
    <row r="1302" spans="11:11" x14ac:dyDescent="0.25">
      <c r="K1302" s="1546"/>
    </row>
    <row r="1303" spans="11:11" x14ac:dyDescent="0.25">
      <c r="K1303" s="1546"/>
    </row>
    <row r="1304" spans="11:11" x14ac:dyDescent="0.25">
      <c r="K1304" s="1546"/>
    </row>
    <row r="1305" spans="11:11" x14ac:dyDescent="0.25">
      <c r="K1305" s="1546"/>
    </row>
    <row r="1306" spans="11:11" x14ac:dyDescent="0.25">
      <c r="K1306" s="1546"/>
    </row>
    <row r="1307" spans="11:11" x14ac:dyDescent="0.25">
      <c r="K1307" s="1546"/>
    </row>
    <row r="1308" spans="11:11" x14ac:dyDescent="0.25">
      <c r="K1308" s="1546"/>
    </row>
    <row r="1309" spans="11:11" x14ac:dyDescent="0.25">
      <c r="K1309" s="1546"/>
    </row>
    <row r="1310" spans="11:11" x14ac:dyDescent="0.25">
      <c r="K1310" s="1546"/>
    </row>
    <row r="1311" spans="11:11" x14ac:dyDescent="0.25">
      <c r="K1311" s="1546"/>
    </row>
    <row r="1312" spans="11:11" x14ac:dyDescent="0.25">
      <c r="K1312" s="1546"/>
    </row>
    <row r="1313" spans="11:11" x14ac:dyDescent="0.25">
      <c r="K1313" s="1546"/>
    </row>
    <row r="1314" spans="11:11" x14ac:dyDescent="0.25">
      <c r="K1314" s="1546"/>
    </row>
    <row r="1315" spans="11:11" x14ac:dyDescent="0.25">
      <c r="K1315" s="1546"/>
    </row>
    <row r="1316" spans="11:11" x14ac:dyDescent="0.25">
      <c r="K1316" s="1546"/>
    </row>
    <row r="1317" spans="11:11" x14ac:dyDescent="0.25">
      <c r="K1317" s="1546"/>
    </row>
    <row r="1318" spans="11:11" x14ac:dyDescent="0.25">
      <c r="K1318" s="1546"/>
    </row>
    <row r="1319" spans="11:11" x14ac:dyDescent="0.25">
      <c r="K1319" s="1546"/>
    </row>
    <row r="1320" spans="11:11" x14ac:dyDescent="0.25">
      <c r="K1320" s="1546"/>
    </row>
    <row r="1321" spans="11:11" x14ac:dyDescent="0.25">
      <c r="K1321" s="1546"/>
    </row>
    <row r="1322" spans="11:11" x14ac:dyDescent="0.25">
      <c r="K1322" s="1546"/>
    </row>
    <row r="1323" spans="11:11" x14ac:dyDescent="0.25">
      <c r="K1323" s="1546"/>
    </row>
    <row r="1324" spans="11:11" x14ac:dyDescent="0.25">
      <c r="K1324" s="1546"/>
    </row>
    <row r="1325" spans="11:11" x14ac:dyDescent="0.25">
      <c r="K1325" s="1546"/>
    </row>
    <row r="1326" spans="11:11" x14ac:dyDescent="0.25">
      <c r="K1326" s="1546"/>
    </row>
    <row r="1327" spans="11:11" x14ac:dyDescent="0.25">
      <c r="K1327" s="1546"/>
    </row>
    <row r="1328" spans="11:11" x14ac:dyDescent="0.25">
      <c r="K1328" s="1546"/>
    </row>
    <row r="1329" spans="11:11" x14ac:dyDescent="0.25">
      <c r="K1329" s="1546"/>
    </row>
    <row r="1330" spans="11:11" x14ac:dyDescent="0.25">
      <c r="K1330" s="1546"/>
    </row>
    <row r="1331" spans="11:11" x14ac:dyDescent="0.25">
      <c r="K1331" s="1546"/>
    </row>
    <row r="1332" spans="11:11" x14ac:dyDescent="0.25">
      <c r="K1332" s="1546"/>
    </row>
    <row r="1333" spans="11:11" x14ac:dyDescent="0.25">
      <c r="K1333" s="1546"/>
    </row>
    <row r="1334" spans="11:11" x14ac:dyDescent="0.25">
      <c r="K1334" s="1546"/>
    </row>
    <row r="1335" spans="11:11" x14ac:dyDescent="0.25">
      <c r="K1335" s="1546"/>
    </row>
    <row r="1336" spans="11:11" x14ac:dyDescent="0.25">
      <c r="K1336" s="1546"/>
    </row>
    <row r="1337" spans="11:11" x14ac:dyDescent="0.25">
      <c r="K1337" s="1546"/>
    </row>
    <row r="1338" spans="11:11" x14ac:dyDescent="0.25">
      <c r="K1338" s="1546"/>
    </row>
    <row r="1339" spans="11:11" x14ac:dyDescent="0.25">
      <c r="K1339" s="1546"/>
    </row>
    <row r="1340" spans="11:11" x14ac:dyDescent="0.25">
      <c r="K1340" s="1546"/>
    </row>
    <row r="1341" spans="11:11" x14ac:dyDescent="0.25">
      <c r="K1341" s="1546"/>
    </row>
    <row r="1342" spans="11:11" x14ac:dyDescent="0.25">
      <c r="K1342" s="1546"/>
    </row>
    <row r="1343" spans="11:11" x14ac:dyDescent="0.25">
      <c r="K1343" s="1546"/>
    </row>
    <row r="1344" spans="11:11" x14ac:dyDescent="0.25">
      <c r="K1344" s="1546"/>
    </row>
    <row r="1345" spans="11:11" x14ac:dyDescent="0.25">
      <c r="K1345" s="1546"/>
    </row>
    <row r="1346" spans="11:11" x14ac:dyDescent="0.25">
      <c r="K1346" s="1546"/>
    </row>
    <row r="1347" spans="11:11" x14ac:dyDescent="0.25">
      <c r="K1347" s="1546"/>
    </row>
    <row r="1348" spans="11:11" x14ac:dyDescent="0.25">
      <c r="K1348" s="1546"/>
    </row>
    <row r="1349" spans="11:11" x14ac:dyDescent="0.25">
      <c r="K1349" s="1546"/>
    </row>
    <row r="1350" spans="11:11" x14ac:dyDescent="0.25">
      <c r="K1350" s="1546"/>
    </row>
    <row r="1351" spans="11:11" x14ac:dyDescent="0.25">
      <c r="K1351" s="1546"/>
    </row>
    <row r="1352" spans="11:11" x14ac:dyDescent="0.25">
      <c r="K1352" s="1546"/>
    </row>
    <row r="1353" spans="11:11" x14ac:dyDescent="0.25">
      <c r="K1353" s="1546"/>
    </row>
    <row r="1354" spans="11:11" x14ac:dyDescent="0.25">
      <c r="K1354" s="1546"/>
    </row>
    <row r="1355" spans="11:11" x14ac:dyDescent="0.25">
      <c r="K1355" s="1546"/>
    </row>
    <row r="1356" spans="11:11" x14ac:dyDescent="0.25">
      <c r="K1356" s="1546"/>
    </row>
    <row r="1357" spans="11:11" x14ac:dyDescent="0.25">
      <c r="K1357" s="1546"/>
    </row>
    <row r="1358" spans="11:11" x14ac:dyDescent="0.25">
      <c r="K1358" s="1546"/>
    </row>
    <row r="1359" spans="11:11" x14ac:dyDescent="0.25">
      <c r="K1359" s="1546"/>
    </row>
    <row r="1360" spans="11:11" x14ac:dyDescent="0.25">
      <c r="K1360" s="1546"/>
    </row>
    <row r="1361" spans="11:11" x14ac:dyDescent="0.25">
      <c r="K1361" s="1546"/>
    </row>
    <row r="1362" spans="11:11" x14ac:dyDescent="0.25">
      <c r="K1362" s="1546"/>
    </row>
    <row r="1363" spans="11:11" x14ac:dyDescent="0.25">
      <c r="K1363" s="1546"/>
    </row>
    <row r="1364" spans="11:11" x14ac:dyDescent="0.25">
      <c r="K1364" s="1546"/>
    </row>
    <row r="1365" spans="11:11" x14ac:dyDescent="0.25">
      <c r="K1365" s="1546"/>
    </row>
    <row r="1366" spans="11:11" x14ac:dyDescent="0.25">
      <c r="K1366" s="1546"/>
    </row>
    <row r="1367" spans="11:11" x14ac:dyDescent="0.25">
      <c r="K1367" s="1546"/>
    </row>
    <row r="1368" spans="11:11" x14ac:dyDescent="0.25">
      <c r="K1368" s="1546"/>
    </row>
    <row r="1369" spans="11:11" x14ac:dyDescent="0.25">
      <c r="K1369" s="1546"/>
    </row>
    <row r="1370" spans="11:11" x14ac:dyDescent="0.25">
      <c r="K1370" s="1546"/>
    </row>
    <row r="1371" spans="11:11" x14ac:dyDescent="0.25">
      <c r="K1371" s="1546"/>
    </row>
    <row r="1372" spans="11:11" x14ac:dyDescent="0.25">
      <c r="K1372" s="1546"/>
    </row>
    <row r="1373" spans="11:11" x14ac:dyDescent="0.25">
      <c r="K1373" s="1546"/>
    </row>
    <row r="1374" spans="11:11" x14ac:dyDescent="0.25">
      <c r="K1374" s="1546"/>
    </row>
    <row r="1375" spans="11:11" x14ac:dyDescent="0.25">
      <c r="K1375" s="1546"/>
    </row>
    <row r="1376" spans="11:11" x14ac:dyDescent="0.25">
      <c r="K1376" s="1546"/>
    </row>
    <row r="1377" spans="11:11" x14ac:dyDescent="0.25">
      <c r="K1377" s="1546"/>
    </row>
    <row r="1378" spans="11:11" x14ac:dyDescent="0.25">
      <c r="K1378" s="1546"/>
    </row>
    <row r="1379" spans="11:11" x14ac:dyDescent="0.25">
      <c r="K1379" s="1546"/>
    </row>
    <row r="1380" spans="11:11" x14ac:dyDescent="0.25">
      <c r="K1380" s="1546"/>
    </row>
    <row r="1381" spans="11:11" x14ac:dyDescent="0.25">
      <c r="K1381" s="1546"/>
    </row>
    <row r="1382" spans="11:11" x14ac:dyDescent="0.25">
      <c r="K1382" s="1546"/>
    </row>
    <row r="1383" spans="11:11" x14ac:dyDescent="0.25">
      <c r="K1383" s="1546"/>
    </row>
    <row r="1384" spans="11:11" x14ac:dyDescent="0.25">
      <c r="K1384" s="1546"/>
    </row>
    <row r="1385" spans="11:11" x14ac:dyDescent="0.25">
      <c r="K1385" s="1546"/>
    </row>
    <row r="1386" spans="11:11" x14ac:dyDescent="0.25">
      <c r="K1386" s="1546"/>
    </row>
    <row r="1387" spans="11:11" x14ac:dyDescent="0.25">
      <c r="K1387" s="1546"/>
    </row>
    <row r="1388" spans="11:11" x14ac:dyDescent="0.25">
      <c r="K1388" s="1546"/>
    </row>
    <row r="1389" spans="11:11" x14ac:dyDescent="0.25">
      <c r="K1389" s="1546"/>
    </row>
    <row r="1390" spans="11:11" x14ac:dyDescent="0.25">
      <c r="K1390" s="1546"/>
    </row>
    <row r="1391" spans="11:11" x14ac:dyDescent="0.25">
      <c r="K1391" s="1546"/>
    </row>
    <row r="1392" spans="11:11" x14ac:dyDescent="0.25">
      <c r="K1392" s="1546"/>
    </row>
    <row r="1393" spans="11:11" x14ac:dyDescent="0.25">
      <c r="K1393" s="1546"/>
    </row>
    <row r="1394" spans="11:11" x14ac:dyDescent="0.25">
      <c r="K1394" s="1546"/>
    </row>
    <row r="1395" spans="11:11" x14ac:dyDescent="0.25">
      <c r="K1395" s="1546"/>
    </row>
    <row r="1396" spans="11:11" x14ac:dyDescent="0.25">
      <c r="K1396" s="1546"/>
    </row>
    <row r="1397" spans="11:11" x14ac:dyDescent="0.25">
      <c r="K1397" s="1546"/>
    </row>
    <row r="1398" spans="11:11" x14ac:dyDescent="0.25">
      <c r="K1398" s="1546"/>
    </row>
    <row r="1399" spans="11:11" x14ac:dyDescent="0.25">
      <c r="K1399" s="1546"/>
    </row>
    <row r="1400" spans="11:11" x14ac:dyDescent="0.25">
      <c r="K1400" s="1546"/>
    </row>
    <row r="1401" spans="11:11" x14ac:dyDescent="0.25">
      <c r="K1401" s="1546"/>
    </row>
    <row r="1402" spans="11:11" x14ac:dyDescent="0.25">
      <c r="K1402" s="1546"/>
    </row>
    <row r="1403" spans="11:11" x14ac:dyDescent="0.25">
      <c r="K1403" s="1546"/>
    </row>
    <row r="1404" spans="11:11" x14ac:dyDescent="0.25">
      <c r="K1404" s="1546"/>
    </row>
    <row r="1405" spans="11:11" x14ac:dyDescent="0.25">
      <c r="K1405" s="1546"/>
    </row>
    <row r="1406" spans="11:11" x14ac:dyDescent="0.25">
      <c r="K1406" s="1546"/>
    </row>
    <row r="1407" spans="11:11" x14ac:dyDescent="0.25">
      <c r="K1407" s="1546"/>
    </row>
    <row r="1408" spans="11:11" x14ac:dyDescent="0.25">
      <c r="K1408" s="1546"/>
    </row>
    <row r="1409" spans="11:11" x14ac:dyDescent="0.25">
      <c r="K1409" s="1546"/>
    </row>
    <row r="1410" spans="11:11" x14ac:dyDescent="0.25">
      <c r="K1410" s="1546"/>
    </row>
    <row r="1411" spans="11:11" x14ac:dyDescent="0.25">
      <c r="K1411" s="1546"/>
    </row>
    <row r="1412" spans="11:11" x14ac:dyDescent="0.25">
      <c r="K1412" s="1546"/>
    </row>
    <row r="1413" spans="11:11" x14ac:dyDescent="0.25">
      <c r="K1413" s="1546"/>
    </row>
    <row r="1414" spans="11:11" x14ac:dyDescent="0.25">
      <c r="K1414" s="1546"/>
    </row>
    <row r="1415" spans="11:11" x14ac:dyDescent="0.25">
      <c r="K1415" s="1546"/>
    </row>
    <row r="1416" spans="11:11" x14ac:dyDescent="0.25">
      <c r="K1416" s="1546"/>
    </row>
    <row r="1417" spans="11:11" x14ac:dyDescent="0.25">
      <c r="K1417" s="1546"/>
    </row>
    <row r="1418" spans="11:11" x14ac:dyDescent="0.25">
      <c r="K1418" s="1546"/>
    </row>
    <row r="1419" spans="11:11" x14ac:dyDescent="0.25">
      <c r="K1419" s="1546"/>
    </row>
    <row r="1420" spans="11:11" x14ac:dyDescent="0.25">
      <c r="K1420" s="1546"/>
    </row>
    <row r="1421" spans="11:11" x14ac:dyDescent="0.25">
      <c r="K1421" s="1546"/>
    </row>
    <row r="1422" spans="11:11" x14ac:dyDescent="0.25">
      <c r="K1422" s="1546"/>
    </row>
    <row r="1423" spans="11:11" x14ac:dyDescent="0.25">
      <c r="K1423" s="1546"/>
    </row>
    <row r="1424" spans="11:11" x14ac:dyDescent="0.25">
      <c r="K1424" s="1546"/>
    </row>
    <row r="1425" spans="11:11" x14ac:dyDescent="0.25">
      <c r="K1425" s="1546"/>
    </row>
    <row r="1426" spans="11:11" x14ac:dyDescent="0.25">
      <c r="K1426" s="1546"/>
    </row>
    <row r="1427" spans="11:11" x14ac:dyDescent="0.25">
      <c r="K1427" s="1546"/>
    </row>
    <row r="1428" spans="11:11" x14ac:dyDescent="0.25">
      <c r="K1428" s="1546"/>
    </row>
    <row r="1429" spans="11:11" x14ac:dyDescent="0.25">
      <c r="K1429" s="1546"/>
    </row>
    <row r="1430" spans="11:11" x14ac:dyDescent="0.25">
      <c r="K1430" s="1546"/>
    </row>
    <row r="1431" spans="11:11" x14ac:dyDescent="0.25">
      <c r="K1431" s="1546"/>
    </row>
    <row r="1432" spans="11:11" x14ac:dyDescent="0.25">
      <c r="K1432" s="1546"/>
    </row>
    <row r="1433" spans="11:11" x14ac:dyDescent="0.25">
      <c r="K1433" s="1546"/>
    </row>
    <row r="1434" spans="11:11" x14ac:dyDescent="0.25">
      <c r="K1434" s="1546"/>
    </row>
    <row r="1435" spans="11:11" x14ac:dyDescent="0.25">
      <c r="K1435" s="1546"/>
    </row>
    <row r="1436" spans="11:11" x14ac:dyDescent="0.25">
      <c r="K1436" s="1546"/>
    </row>
    <row r="1437" spans="11:11" x14ac:dyDescent="0.25">
      <c r="K1437" s="1546"/>
    </row>
    <row r="1438" spans="11:11" x14ac:dyDescent="0.25">
      <c r="K1438" s="1546"/>
    </row>
    <row r="1439" spans="11:11" x14ac:dyDescent="0.25">
      <c r="K1439" s="1546"/>
    </row>
    <row r="1440" spans="11:11" x14ac:dyDescent="0.25">
      <c r="K1440" s="1546"/>
    </row>
    <row r="1441" spans="11:11" x14ac:dyDescent="0.25">
      <c r="K1441" s="1546"/>
    </row>
    <row r="1442" spans="11:11" x14ac:dyDescent="0.25">
      <c r="K1442" s="1546"/>
    </row>
    <row r="1443" spans="11:11" x14ac:dyDescent="0.25">
      <c r="K1443" s="1546"/>
    </row>
    <row r="1444" spans="11:11" x14ac:dyDescent="0.25">
      <c r="K1444" s="1546"/>
    </row>
    <row r="1445" spans="11:11" x14ac:dyDescent="0.25">
      <c r="K1445" s="1546"/>
    </row>
    <row r="1446" spans="11:11" x14ac:dyDescent="0.25">
      <c r="K1446" s="1546"/>
    </row>
    <row r="1447" spans="11:11" x14ac:dyDescent="0.25">
      <c r="K1447" s="1546"/>
    </row>
    <row r="1448" spans="11:11" x14ac:dyDescent="0.25">
      <c r="K1448" s="1546"/>
    </row>
    <row r="1449" spans="11:11" x14ac:dyDescent="0.25">
      <c r="K1449" s="1546"/>
    </row>
    <row r="1450" spans="11:11" x14ac:dyDescent="0.25">
      <c r="K1450" s="1546"/>
    </row>
    <row r="1451" spans="11:11" x14ac:dyDescent="0.25">
      <c r="K1451" s="1546"/>
    </row>
    <row r="1452" spans="11:11" x14ac:dyDescent="0.25">
      <c r="K1452" s="1546"/>
    </row>
    <row r="1453" spans="11:11" x14ac:dyDescent="0.25">
      <c r="K1453" s="1546"/>
    </row>
    <row r="1454" spans="11:11" x14ac:dyDescent="0.25">
      <c r="K1454" s="1546"/>
    </row>
    <row r="1455" spans="11:11" x14ac:dyDescent="0.25">
      <c r="K1455" s="1546"/>
    </row>
    <row r="1456" spans="11:11" x14ac:dyDescent="0.25">
      <c r="K1456" s="1546"/>
    </row>
    <row r="1457" spans="11:11" x14ac:dyDescent="0.25">
      <c r="K1457" s="1546"/>
    </row>
    <row r="1458" spans="11:11" x14ac:dyDescent="0.25">
      <c r="K1458" s="1546"/>
    </row>
    <row r="1459" spans="11:11" x14ac:dyDescent="0.25">
      <c r="K1459" s="1546"/>
    </row>
    <row r="1460" spans="11:11" x14ac:dyDescent="0.25">
      <c r="K1460" s="1546"/>
    </row>
    <row r="1461" spans="11:11" x14ac:dyDescent="0.25">
      <c r="K1461" s="1546"/>
    </row>
    <row r="1462" spans="11:11" x14ac:dyDescent="0.25">
      <c r="K1462" s="1546"/>
    </row>
    <row r="1463" spans="11:11" x14ac:dyDescent="0.25">
      <c r="K1463" s="1546"/>
    </row>
    <row r="1464" spans="11:11" x14ac:dyDescent="0.25">
      <c r="K1464" s="1546"/>
    </row>
    <row r="1465" spans="11:11" x14ac:dyDescent="0.25">
      <c r="K1465" s="1546"/>
    </row>
    <row r="1466" spans="11:11" x14ac:dyDescent="0.25">
      <c r="K1466" s="1546"/>
    </row>
    <row r="1467" spans="11:11" x14ac:dyDescent="0.25">
      <c r="K1467" s="1546"/>
    </row>
    <row r="1468" spans="11:11" x14ac:dyDescent="0.25">
      <c r="K1468" s="1546"/>
    </row>
    <row r="1469" spans="11:11" x14ac:dyDescent="0.25">
      <c r="K1469" s="1546"/>
    </row>
    <row r="1470" spans="11:11" x14ac:dyDescent="0.25">
      <c r="K1470" s="1546"/>
    </row>
    <row r="1471" spans="11:11" x14ac:dyDescent="0.25">
      <c r="K1471" s="1546"/>
    </row>
    <row r="1472" spans="11:11" x14ac:dyDescent="0.25">
      <c r="K1472" s="1546"/>
    </row>
    <row r="1473" spans="11:11" x14ac:dyDescent="0.25">
      <c r="K1473" s="1546"/>
    </row>
    <row r="1474" spans="11:11" x14ac:dyDescent="0.25">
      <c r="K1474" s="1546"/>
    </row>
    <row r="1475" spans="11:11" x14ac:dyDescent="0.25">
      <c r="K1475" s="1546"/>
    </row>
    <row r="1476" spans="11:11" x14ac:dyDescent="0.25">
      <c r="K1476" s="1546"/>
    </row>
    <row r="1477" spans="11:11" x14ac:dyDescent="0.25">
      <c r="K1477" s="1546"/>
    </row>
    <row r="1478" spans="11:11" x14ac:dyDescent="0.25">
      <c r="K1478" s="1546"/>
    </row>
    <row r="1479" spans="11:11" x14ac:dyDescent="0.25">
      <c r="K1479" s="1546"/>
    </row>
    <row r="1480" spans="11:11" x14ac:dyDescent="0.25">
      <c r="K1480" s="1546"/>
    </row>
    <row r="1481" spans="11:11" x14ac:dyDescent="0.25">
      <c r="K1481" s="1546"/>
    </row>
    <row r="1482" spans="11:11" x14ac:dyDescent="0.25">
      <c r="K1482" s="1546"/>
    </row>
    <row r="1483" spans="11:11" x14ac:dyDescent="0.25">
      <c r="K1483" s="1546"/>
    </row>
    <row r="1484" spans="11:11" x14ac:dyDescent="0.25">
      <c r="K1484" s="1546"/>
    </row>
    <row r="1485" spans="11:11" x14ac:dyDescent="0.25">
      <c r="K1485" s="1546"/>
    </row>
    <row r="1486" spans="11:11" x14ac:dyDescent="0.25">
      <c r="K1486" s="1546"/>
    </row>
    <row r="1487" spans="11:11" x14ac:dyDescent="0.25">
      <c r="K1487" s="1546"/>
    </row>
    <row r="1488" spans="11:11" x14ac:dyDescent="0.25">
      <c r="K1488" s="1546"/>
    </row>
    <row r="1489" spans="11:11" x14ac:dyDescent="0.25">
      <c r="K1489" s="1546"/>
    </row>
    <row r="1490" spans="11:11" x14ac:dyDescent="0.25">
      <c r="K1490" s="1546"/>
    </row>
    <row r="1491" spans="11:11" x14ac:dyDescent="0.25">
      <c r="K1491" s="1546"/>
    </row>
    <row r="1492" spans="11:11" x14ac:dyDescent="0.25">
      <c r="K1492" s="1546"/>
    </row>
    <row r="1493" spans="11:11" x14ac:dyDescent="0.25">
      <c r="K1493" s="1546"/>
    </row>
    <row r="1494" spans="11:11" x14ac:dyDescent="0.25">
      <c r="K1494" s="1546"/>
    </row>
    <row r="1495" spans="11:11" x14ac:dyDescent="0.25">
      <c r="K1495" s="1546"/>
    </row>
    <row r="1496" spans="11:11" x14ac:dyDescent="0.25">
      <c r="K1496" s="1546"/>
    </row>
    <row r="1497" spans="11:11" x14ac:dyDescent="0.25">
      <c r="K1497" s="1546"/>
    </row>
    <row r="1498" spans="11:11" x14ac:dyDescent="0.25">
      <c r="K1498" s="1546"/>
    </row>
    <row r="1499" spans="11:11" x14ac:dyDescent="0.25">
      <c r="K1499" s="1546"/>
    </row>
    <row r="1500" spans="11:11" x14ac:dyDescent="0.25">
      <c r="K1500" s="1546"/>
    </row>
    <row r="1501" spans="11:11" x14ac:dyDescent="0.25">
      <c r="K1501" s="1546"/>
    </row>
    <row r="1502" spans="11:11" x14ac:dyDescent="0.25">
      <c r="K1502" s="1546"/>
    </row>
    <row r="1503" spans="11:11" x14ac:dyDescent="0.25">
      <c r="K1503" s="1546"/>
    </row>
    <row r="1504" spans="11:11" x14ac:dyDescent="0.25">
      <c r="K1504" s="1546"/>
    </row>
    <row r="1505" spans="11:11" x14ac:dyDescent="0.25">
      <c r="K1505" s="1546"/>
    </row>
    <row r="1506" spans="11:11" x14ac:dyDescent="0.25">
      <c r="K1506" s="1546"/>
    </row>
    <row r="1507" spans="11:11" x14ac:dyDescent="0.25">
      <c r="K1507" s="1546"/>
    </row>
    <row r="1508" spans="11:11" x14ac:dyDescent="0.25">
      <c r="K1508" s="1546"/>
    </row>
    <row r="1509" spans="11:11" x14ac:dyDescent="0.25">
      <c r="K1509" s="1546"/>
    </row>
    <row r="1510" spans="11:11" x14ac:dyDescent="0.25">
      <c r="K1510" s="1546"/>
    </row>
    <row r="1511" spans="11:11" x14ac:dyDescent="0.25">
      <c r="K1511" s="1546"/>
    </row>
    <row r="1512" spans="11:11" x14ac:dyDescent="0.25">
      <c r="K1512" s="1546"/>
    </row>
    <row r="1513" spans="11:11" x14ac:dyDescent="0.25">
      <c r="K1513" s="1546"/>
    </row>
    <row r="1514" spans="11:11" x14ac:dyDescent="0.25">
      <c r="K1514" s="1546"/>
    </row>
    <row r="1515" spans="11:11" x14ac:dyDescent="0.25">
      <c r="K1515" s="1546"/>
    </row>
    <row r="1516" spans="11:11" x14ac:dyDescent="0.25">
      <c r="K1516" s="1546"/>
    </row>
    <row r="1517" spans="11:11" x14ac:dyDescent="0.25">
      <c r="K1517" s="1546"/>
    </row>
    <row r="1518" spans="11:11" x14ac:dyDescent="0.25">
      <c r="K1518" s="1546"/>
    </row>
    <row r="1519" spans="11:11" x14ac:dyDescent="0.25">
      <c r="K1519" s="1546"/>
    </row>
    <row r="1520" spans="11:11" x14ac:dyDescent="0.25">
      <c r="K1520" s="1546"/>
    </row>
    <row r="1521" spans="11:11" x14ac:dyDescent="0.25">
      <c r="K1521" s="1546"/>
    </row>
    <row r="1522" spans="11:11" x14ac:dyDescent="0.25">
      <c r="K1522" s="1546"/>
    </row>
    <row r="1523" spans="11:11" x14ac:dyDescent="0.25">
      <c r="K1523" s="1546"/>
    </row>
    <row r="1524" spans="11:11" x14ac:dyDescent="0.25">
      <c r="K1524" s="1546"/>
    </row>
    <row r="1525" spans="11:11" x14ac:dyDescent="0.25">
      <c r="K1525" s="1546"/>
    </row>
    <row r="1526" spans="11:11" x14ac:dyDescent="0.25">
      <c r="K1526" s="1546"/>
    </row>
    <row r="1527" spans="11:11" x14ac:dyDescent="0.25">
      <c r="K1527" s="1546"/>
    </row>
    <row r="1528" spans="11:11" x14ac:dyDescent="0.25">
      <c r="K1528" s="1546"/>
    </row>
    <row r="1529" spans="11:11" x14ac:dyDescent="0.25">
      <c r="K1529" s="1546"/>
    </row>
    <row r="1530" spans="11:11" x14ac:dyDescent="0.25">
      <c r="K1530" s="1546"/>
    </row>
    <row r="1531" spans="11:11" x14ac:dyDescent="0.25">
      <c r="K1531" s="1546"/>
    </row>
    <row r="1532" spans="11:11" x14ac:dyDescent="0.25">
      <c r="K1532" s="1546"/>
    </row>
    <row r="1533" spans="11:11" x14ac:dyDescent="0.25">
      <c r="K1533" s="1546"/>
    </row>
    <row r="1534" spans="11:11" x14ac:dyDescent="0.25">
      <c r="K1534" s="1546"/>
    </row>
    <row r="1535" spans="11:11" x14ac:dyDescent="0.25">
      <c r="K1535" s="1546"/>
    </row>
    <row r="1536" spans="11:11" x14ac:dyDescent="0.25">
      <c r="K1536" s="1546"/>
    </row>
    <row r="1537" spans="11:11" x14ac:dyDescent="0.25">
      <c r="K1537" s="1546"/>
    </row>
    <row r="1538" spans="11:11" x14ac:dyDescent="0.25">
      <c r="K1538" s="1546"/>
    </row>
    <row r="1539" spans="11:11" x14ac:dyDescent="0.25">
      <c r="K1539" s="1546"/>
    </row>
    <row r="1540" spans="11:11" x14ac:dyDescent="0.25">
      <c r="K1540" s="1546"/>
    </row>
    <row r="1541" spans="11:11" x14ac:dyDescent="0.25">
      <c r="K1541" s="1546"/>
    </row>
    <row r="1542" spans="11:11" x14ac:dyDescent="0.25">
      <c r="K1542" s="1546"/>
    </row>
    <row r="1543" spans="11:11" x14ac:dyDescent="0.25">
      <c r="K1543" s="1546"/>
    </row>
    <row r="1544" spans="11:11" x14ac:dyDescent="0.25">
      <c r="K1544" s="1546"/>
    </row>
    <row r="1545" spans="11:11" x14ac:dyDescent="0.25">
      <c r="K1545" s="1546"/>
    </row>
    <row r="1546" spans="11:11" x14ac:dyDescent="0.25">
      <c r="K1546" s="1546"/>
    </row>
    <row r="1547" spans="11:11" x14ac:dyDescent="0.25">
      <c r="K1547" s="1546"/>
    </row>
    <row r="1548" spans="11:11" x14ac:dyDescent="0.25">
      <c r="K1548" s="1546"/>
    </row>
    <row r="1549" spans="11:11" x14ac:dyDescent="0.25">
      <c r="K1549" s="1546"/>
    </row>
    <row r="1550" spans="11:11" x14ac:dyDescent="0.25">
      <c r="K1550" s="1546"/>
    </row>
    <row r="1551" spans="11:11" x14ac:dyDescent="0.25">
      <c r="K1551" s="1546"/>
    </row>
    <row r="1552" spans="11:11" x14ac:dyDescent="0.25">
      <c r="K1552" s="1546"/>
    </row>
    <row r="1553" spans="11:11" x14ac:dyDescent="0.25">
      <c r="K1553" s="1546"/>
    </row>
    <row r="1554" spans="11:11" x14ac:dyDescent="0.25">
      <c r="K1554" s="1546"/>
    </row>
    <row r="1555" spans="11:11" x14ac:dyDescent="0.25">
      <c r="K1555" s="1546"/>
    </row>
    <row r="1556" spans="11:11" x14ac:dyDescent="0.25">
      <c r="K1556" s="1546"/>
    </row>
    <row r="1557" spans="11:11" x14ac:dyDescent="0.25">
      <c r="K1557" s="1546"/>
    </row>
    <row r="1558" spans="11:11" x14ac:dyDescent="0.25">
      <c r="K1558" s="1546"/>
    </row>
    <row r="1559" spans="11:11" x14ac:dyDescent="0.25">
      <c r="K1559" s="1546"/>
    </row>
    <row r="1560" spans="11:11" x14ac:dyDescent="0.25">
      <c r="K1560" s="1546"/>
    </row>
    <row r="1561" spans="11:11" x14ac:dyDescent="0.25">
      <c r="K1561" s="1546"/>
    </row>
    <row r="1562" spans="11:11" x14ac:dyDescent="0.25">
      <c r="K1562" s="1546"/>
    </row>
    <row r="1563" spans="11:11" x14ac:dyDescent="0.25">
      <c r="K1563" s="1546"/>
    </row>
    <row r="1564" spans="11:11" x14ac:dyDescent="0.25">
      <c r="K1564" s="1546"/>
    </row>
    <row r="1565" spans="11:11" x14ac:dyDescent="0.25">
      <c r="K1565" s="1546"/>
    </row>
    <row r="1566" spans="11:11" x14ac:dyDescent="0.25">
      <c r="K1566" s="1546"/>
    </row>
    <row r="1567" spans="11:11" x14ac:dyDescent="0.25">
      <c r="K1567" s="1546"/>
    </row>
    <row r="1568" spans="11:11" x14ac:dyDescent="0.25">
      <c r="K1568" s="1546"/>
    </row>
    <row r="1569" spans="11:11" x14ac:dyDescent="0.25">
      <c r="K1569" s="1546"/>
    </row>
    <row r="1570" spans="11:11" x14ac:dyDescent="0.25">
      <c r="K1570" s="1546"/>
    </row>
    <row r="1571" spans="11:11" x14ac:dyDescent="0.25">
      <c r="K1571" s="1546"/>
    </row>
    <row r="1572" spans="11:11" x14ac:dyDescent="0.25">
      <c r="K1572" s="1546"/>
    </row>
    <row r="1573" spans="11:11" x14ac:dyDescent="0.25">
      <c r="K1573" s="1546"/>
    </row>
    <row r="1574" spans="11:11" x14ac:dyDescent="0.25">
      <c r="K1574" s="1546"/>
    </row>
    <row r="1575" spans="11:11" x14ac:dyDescent="0.25">
      <c r="K1575" s="1546"/>
    </row>
    <row r="1576" spans="11:11" x14ac:dyDescent="0.25">
      <c r="K1576" s="1546"/>
    </row>
    <row r="1577" spans="11:11" x14ac:dyDescent="0.25">
      <c r="K1577" s="1546"/>
    </row>
    <row r="1578" spans="11:11" x14ac:dyDescent="0.25">
      <c r="K1578" s="1546"/>
    </row>
    <row r="1579" spans="11:11" x14ac:dyDescent="0.25">
      <c r="K1579" s="1546"/>
    </row>
    <row r="1580" spans="11:11" x14ac:dyDescent="0.25">
      <c r="K1580" s="1546"/>
    </row>
    <row r="1581" spans="11:11" x14ac:dyDescent="0.25">
      <c r="K1581" s="1546"/>
    </row>
    <row r="1582" spans="11:11" x14ac:dyDescent="0.25">
      <c r="K1582" s="1546"/>
    </row>
    <row r="1583" spans="11:11" x14ac:dyDescent="0.25">
      <c r="K1583" s="1546"/>
    </row>
    <row r="1584" spans="11:11" x14ac:dyDescent="0.25">
      <c r="K1584" s="1546"/>
    </row>
    <row r="1585" spans="11:11" x14ac:dyDescent="0.25">
      <c r="K1585" s="1546"/>
    </row>
    <row r="1586" spans="11:11" x14ac:dyDescent="0.25">
      <c r="K1586" s="1546"/>
    </row>
    <row r="1587" spans="11:11" x14ac:dyDescent="0.25">
      <c r="K1587" s="1546"/>
    </row>
    <row r="1588" spans="11:11" x14ac:dyDescent="0.25">
      <c r="K1588" s="1546"/>
    </row>
    <row r="1589" spans="11:11" x14ac:dyDescent="0.25">
      <c r="K1589" s="1546"/>
    </row>
    <row r="1590" spans="11:11" x14ac:dyDescent="0.25">
      <c r="K1590" s="1546"/>
    </row>
    <row r="1591" spans="11:11" x14ac:dyDescent="0.25">
      <c r="K1591" s="1546"/>
    </row>
    <row r="1592" spans="11:11" x14ac:dyDescent="0.25">
      <c r="K1592" s="1546"/>
    </row>
    <row r="1593" spans="11:11" x14ac:dyDescent="0.25">
      <c r="K1593" s="1546"/>
    </row>
    <row r="1594" spans="11:11" x14ac:dyDescent="0.25">
      <c r="K1594" s="1546"/>
    </row>
    <row r="1595" spans="11:11" x14ac:dyDescent="0.25">
      <c r="K1595" s="1546"/>
    </row>
    <row r="1596" spans="11:11" x14ac:dyDescent="0.25">
      <c r="K1596" s="1546"/>
    </row>
    <row r="1597" spans="11:11" x14ac:dyDescent="0.25">
      <c r="K1597" s="1546"/>
    </row>
    <row r="1598" spans="11:11" x14ac:dyDescent="0.25">
      <c r="K1598" s="1546"/>
    </row>
    <row r="1599" spans="11:11" x14ac:dyDescent="0.25">
      <c r="K1599" s="1546"/>
    </row>
    <row r="1600" spans="11:11" x14ac:dyDescent="0.25">
      <c r="K1600" s="1546"/>
    </row>
    <row r="1601" spans="11:11" x14ac:dyDescent="0.25">
      <c r="K1601" s="1546"/>
    </row>
    <row r="1602" spans="11:11" x14ac:dyDescent="0.25">
      <c r="K1602" s="1546"/>
    </row>
    <row r="1603" spans="11:11" x14ac:dyDescent="0.25">
      <c r="K1603" s="1546"/>
    </row>
    <row r="1604" spans="11:11" x14ac:dyDescent="0.25">
      <c r="K1604" s="1546"/>
    </row>
    <row r="1605" spans="11:11" x14ac:dyDescent="0.25">
      <c r="K1605" s="1546"/>
    </row>
    <row r="1606" spans="11:11" x14ac:dyDescent="0.25">
      <c r="K1606" s="1546"/>
    </row>
    <row r="1607" spans="11:11" x14ac:dyDescent="0.25">
      <c r="K1607" s="1546"/>
    </row>
    <row r="1608" spans="11:11" x14ac:dyDescent="0.25">
      <c r="K1608" s="1546"/>
    </row>
    <row r="1609" spans="11:11" x14ac:dyDescent="0.25">
      <c r="K1609" s="1546"/>
    </row>
    <row r="1610" spans="11:11" x14ac:dyDescent="0.25">
      <c r="K1610" s="1546"/>
    </row>
    <row r="1611" spans="11:11" x14ac:dyDescent="0.25">
      <c r="K1611" s="1546"/>
    </row>
    <row r="1612" spans="11:11" x14ac:dyDescent="0.25">
      <c r="K1612" s="1546"/>
    </row>
    <row r="1613" spans="11:11" x14ac:dyDescent="0.25">
      <c r="K1613" s="1546"/>
    </row>
    <row r="1614" spans="11:11" x14ac:dyDescent="0.25">
      <c r="K1614" s="1546"/>
    </row>
    <row r="1615" spans="11:11" x14ac:dyDescent="0.25">
      <c r="K1615" s="1546"/>
    </row>
    <row r="1616" spans="11:11" x14ac:dyDescent="0.25">
      <c r="K1616" s="1546"/>
    </row>
    <row r="1617" spans="11:11" x14ac:dyDescent="0.25">
      <c r="K1617" s="1546"/>
    </row>
    <row r="1618" spans="11:11" x14ac:dyDescent="0.25">
      <c r="K1618" s="1546"/>
    </row>
    <row r="1619" spans="11:11" x14ac:dyDescent="0.25">
      <c r="K1619" s="1546"/>
    </row>
    <row r="1620" spans="11:11" x14ac:dyDescent="0.25">
      <c r="K1620" s="1546"/>
    </row>
    <row r="1621" spans="11:11" x14ac:dyDescent="0.25">
      <c r="K1621" s="1546"/>
    </row>
    <row r="1622" spans="11:11" x14ac:dyDescent="0.25">
      <c r="K1622" s="1546"/>
    </row>
    <row r="1623" spans="11:11" x14ac:dyDescent="0.25">
      <c r="K1623" s="1546"/>
    </row>
    <row r="1624" spans="11:11" x14ac:dyDescent="0.25">
      <c r="K1624" s="1546"/>
    </row>
    <row r="1625" spans="11:11" x14ac:dyDescent="0.25">
      <c r="K1625" s="1546"/>
    </row>
    <row r="1626" spans="11:11" x14ac:dyDescent="0.25">
      <c r="K1626" s="1546"/>
    </row>
    <row r="1627" spans="11:11" x14ac:dyDescent="0.25">
      <c r="K1627" s="1546"/>
    </row>
    <row r="1628" spans="11:11" x14ac:dyDescent="0.25">
      <c r="K1628" s="1546"/>
    </row>
    <row r="1629" spans="11:11" x14ac:dyDescent="0.25">
      <c r="K1629" s="1546"/>
    </row>
    <row r="1630" spans="11:11" x14ac:dyDescent="0.25">
      <c r="K1630" s="1546"/>
    </row>
    <row r="1631" spans="11:11" x14ac:dyDescent="0.25">
      <c r="K1631" s="1546"/>
    </row>
    <row r="1632" spans="11:11" x14ac:dyDescent="0.25">
      <c r="K1632" s="1546"/>
    </row>
    <row r="1633" spans="11:11" x14ac:dyDescent="0.25">
      <c r="K1633" s="1546"/>
    </row>
    <row r="1634" spans="11:11" x14ac:dyDescent="0.25">
      <c r="K1634" s="1546"/>
    </row>
    <row r="1635" spans="11:11" x14ac:dyDescent="0.25">
      <c r="K1635" s="1546"/>
    </row>
    <row r="1636" spans="11:11" x14ac:dyDescent="0.25">
      <c r="K1636" s="1546"/>
    </row>
    <row r="1637" spans="11:11" x14ac:dyDescent="0.25">
      <c r="K1637" s="1546"/>
    </row>
    <row r="1638" spans="11:11" x14ac:dyDescent="0.25">
      <c r="K1638" s="1546"/>
    </row>
    <row r="1639" spans="11:11" x14ac:dyDescent="0.25">
      <c r="K1639" s="1546"/>
    </row>
    <row r="1640" spans="11:11" x14ac:dyDescent="0.25">
      <c r="K1640" s="1546"/>
    </row>
    <row r="1641" spans="11:11" x14ac:dyDescent="0.25">
      <c r="K1641" s="1546"/>
    </row>
    <row r="1642" spans="11:11" x14ac:dyDescent="0.25">
      <c r="K1642" s="1546"/>
    </row>
    <row r="1643" spans="11:11" x14ac:dyDescent="0.25">
      <c r="K1643" s="1546"/>
    </row>
    <row r="1644" spans="11:11" x14ac:dyDescent="0.25">
      <c r="K1644" s="1546"/>
    </row>
    <row r="1645" spans="11:11" x14ac:dyDescent="0.25">
      <c r="K1645" s="1546"/>
    </row>
    <row r="1646" spans="11:11" x14ac:dyDescent="0.25">
      <c r="K1646" s="1546"/>
    </row>
    <row r="1647" spans="11:11" x14ac:dyDescent="0.25">
      <c r="K1647" s="1546"/>
    </row>
    <row r="1648" spans="11:11" x14ac:dyDescent="0.25">
      <c r="K1648" s="1546"/>
    </row>
    <row r="1649" spans="11:11" x14ac:dyDescent="0.25">
      <c r="K1649" s="1546"/>
    </row>
    <row r="1650" spans="11:11" x14ac:dyDescent="0.25">
      <c r="K1650" s="1546"/>
    </row>
    <row r="1651" spans="11:11" x14ac:dyDescent="0.25">
      <c r="K1651" s="1546"/>
    </row>
    <row r="1652" spans="11:11" x14ac:dyDescent="0.25">
      <c r="K1652" s="1546"/>
    </row>
    <row r="1653" spans="11:11" x14ac:dyDescent="0.25">
      <c r="K1653" s="1546"/>
    </row>
    <row r="1654" spans="11:11" x14ac:dyDescent="0.25">
      <c r="K1654" s="1546"/>
    </row>
    <row r="1655" spans="11:11" x14ac:dyDescent="0.25">
      <c r="K1655" s="1546"/>
    </row>
    <row r="1656" spans="11:11" x14ac:dyDescent="0.25">
      <c r="K1656" s="1546"/>
    </row>
    <row r="1657" spans="11:11" x14ac:dyDescent="0.25">
      <c r="K1657" s="1546"/>
    </row>
    <row r="1658" spans="11:11" x14ac:dyDescent="0.25">
      <c r="K1658" s="1546"/>
    </row>
    <row r="1659" spans="11:11" x14ac:dyDescent="0.25">
      <c r="K1659" s="1546"/>
    </row>
    <row r="1660" spans="11:11" x14ac:dyDescent="0.25">
      <c r="K1660" s="1546"/>
    </row>
    <row r="1661" spans="11:11" x14ac:dyDescent="0.25">
      <c r="K1661" s="1546"/>
    </row>
    <row r="1662" spans="11:11" x14ac:dyDescent="0.25">
      <c r="K1662" s="1546"/>
    </row>
    <row r="1663" spans="11:11" x14ac:dyDescent="0.25">
      <c r="K1663" s="1546"/>
    </row>
    <row r="1664" spans="11:11" x14ac:dyDescent="0.25">
      <c r="K1664" s="1546"/>
    </row>
  </sheetData>
  <autoFilter ref="A891:L1019" xr:uid="{D47F4829-F431-41A9-82D1-C22C9E58C86D}"/>
  <mergeCells count="11">
    <mergeCell ref="A18:C18"/>
    <mergeCell ref="D18:G18"/>
    <mergeCell ref="A2:J2"/>
    <mergeCell ref="A12:L12"/>
    <mergeCell ref="A13:L13"/>
    <mergeCell ref="A14:L14"/>
    <mergeCell ref="A16:G17"/>
    <mergeCell ref="H16:H17"/>
    <mergeCell ref="I16:J16"/>
    <mergeCell ref="K16:K17"/>
    <mergeCell ref="L16:L17"/>
  </mergeCells>
  <pageMargins left="0.7" right="0.7" top="0.75" bottom="2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25</vt:i4>
      </vt:variant>
    </vt:vector>
  </HeadingPairs>
  <TitlesOfParts>
    <vt:vector size="52" baseType="lpstr">
      <vt:lpstr>DU RKP</vt:lpstr>
      <vt:lpstr>BPJS</vt:lpstr>
      <vt:lpstr>BID 1 b</vt:lpstr>
      <vt:lpstr>Bid 2b</vt:lpstr>
      <vt:lpstr>Bid 3b</vt:lpstr>
      <vt:lpstr>BID 4 b</vt:lpstr>
      <vt:lpstr>Bid 5b</vt:lpstr>
      <vt:lpstr> Hitungan 2026</vt:lpstr>
      <vt:lpstr>Penjabaran APBDesa</vt:lpstr>
      <vt:lpstr>APBDES</vt:lpstr>
      <vt:lpstr>RKKD</vt:lpstr>
      <vt:lpstr>RAK</vt:lpstr>
      <vt:lpstr>RKA Kesra</vt:lpstr>
      <vt:lpstr>RKA Pelayanan</vt:lpstr>
      <vt:lpstr>RKA PEM</vt:lpstr>
      <vt:lpstr>RKA Umum</vt:lpstr>
      <vt:lpstr>RKA Perencanaan</vt:lpstr>
      <vt:lpstr>RKP 2026</vt:lpstr>
      <vt:lpstr>Sheet1</vt:lpstr>
      <vt:lpstr>Pencermatan RPJM</vt:lpstr>
      <vt:lpstr>Jadwal Pengukurang Fisik</vt:lpstr>
      <vt:lpstr>Prioritas Penggunaan DD 2025</vt:lpstr>
      <vt:lpstr>Rencana Pembiayaan Desa</vt:lpstr>
      <vt:lpstr>Daftar Usulan SDGs VI B</vt:lpstr>
      <vt:lpstr>Kerja Sama Antar Desa VI.C</vt:lpstr>
      <vt:lpstr>LPPK</vt:lpstr>
      <vt:lpstr>Kerja Sama Pihak Ke 3 VI.D</vt:lpstr>
      <vt:lpstr>'BID 1 b'!Print_Area</vt:lpstr>
      <vt:lpstr>'Bid 2b'!Print_Area</vt:lpstr>
      <vt:lpstr>'Bid 3b'!Print_Area</vt:lpstr>
      <vt:lpstr>'BID 4 b'!Print_Area</vt:lpstr>
      <vt:lpstr>'Bid 5b'!Print_Area</vt:lpstr>
      <vt:lpstr>'DU RKP'!Print_Area</vt:lpstr>
      <vt:lpstr>'Jadwal Pengukurang Fisik'!Print_Area</vt:lpstr>
      <vt:lpstr>'Pencermatan RPJM'!Print_Area</vt:lpstr>
      <vt:lpstr>'Penjabaran APBDesa'!Print_Area</vt:lpstr>
      <vt:lpstr>RAK!Print_Area</vt:lpstr>
      <vt:lpstr>'Rencana Pembiayaan Desa'!Print_Area</vt:lpstr>
      <vt:lpstr>'RKA Kesra'!Print_Area</vt:lpstr>
      <vt:lpstr>'RKA Pelayanan'!Print_Area</vt:lpstr>
      <vt:lpstr>'RKA PEM'!Print_Area</vt:lpstr>
      <vt:lpstr>'RKA Perencanaan'!Print_Area</vt:lpstr>
      <vt:lpstr>'RKA Umum'!Print_Area</vt:lpstr>
      <vt:lpstr>RKKD!Print_Area</vt:lpstr>
      <vt:lpstr>'Penjabaran APBDesa'!Print_Titles</vt:lpstr>
      <vt:lpstr>RAK!Print_Titles</vt:lpstr>
      <vt:lpstr>'RKA Kesra'!Print_Titles</vt:lpstr>
      <vt:lpstr>'RKA Pelayanan'!Print_Titles</vt:lpstr>
      <vt:lpstr>'RKA PEM'!Print_Titles</vt:lpstr>
      <vt:lpstr>'RKA Perencanaan'!Print_Titles</vt:lpstr>
      <vt:lpstr>'RKA Umum'!Print_Titles</vt:lpstr>
      <vt:lpstr>RKKD!Print_Titles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agis</dc:creator>
  <cp:lastModifiedBy>Windows User</cp:lastModifiedBy>
  <cp:lastPrinted>2026-03-10T05:16:46Z</cp:lastPrinted>
  <dcterms:created xsi:type="dcterms:W3CDTF">2022-08-08T01:08:34Z</dcterms:created>
  <dcterms:modified xsi:type="dcterms:W3CDTF">2026-05-11T02:53:03Z</dcterms:modified>
</cp:coreProperties>
</file>